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현재_통합_문서" defaultThemeVersion="124226"/>
  <bookViews>
    <workbookView xWindow="-210" yWindow="60" windowWidth="16410" windowHeight="12405" tabRatio="951"/>
  </bookViews>
  <sheets>
    <sheet name="표지" sheetId="9" r:id="rId1"/>
    <sheet name="공통사항" sheetId="10" r:id="rId2"/>
    <sheet name="9월변동사항" sheetId="31" state="hidden" r:id="rId3"/>
    <sheet name="1월변동사항" sheetId="72" r:id="rId4"/>
    <sheet name="NH농협기초" sheetId="79" r:id="rId5"/>
    <sheet name="NH농협세부" sheetId="54" r:id="rId6"/>
    <sheet name="알리안츠기초" sheetId="63" r:id="rId7"/>
    <sheet name="알리안츠세부" sheetId="64" r:id="rId8"/>
    <sheet name="현대기초" sheetId="84" r:id="rId9"/>
    <sheet name="현대세부" sheetId="85" r:id="rId10"/>
    <sheet name="신한기초" sheetId="61" r:id="rId11"/>
    <sheet name="신한세부" sheetId="62" r:id="rId12"/>
    <sheet name="삼성기초" sheetId="86" r:id="rId13"/>
    <sheet name="삼성세부" sheetId="87" r:id="rId14"/>
    <sheet name="미래기초" sheetId="49" r:id="rId15"/>
    <sheet name="미래세부" sheetId="50" r:id="rId16"/>
    <sheet name="메트기초" sheetId="21" r:id="rId17"/>
    <sheet name="메트세부" sheetId="22" r:id="rId18"/>
    <sheet name="한화기초" sheetId="80" r:id="rId19"/>
    <sheet name="한화세부" sheetId="81" r:id="rId20"/>
    <sheet name="라이나기초" sheetId="82" r:id="rId21"/>
    <sheet name="라이나세부" sheetId="83" r:id="rId22"/>
    <sheet name="동부기초" sheetId="34" r:id="rId23"/>
    <sheet name="동부세부" sheetId="67" r:id="rId24"/>
    <sheet name="동양기초" sheetId="51" r:id="rId25"/>
    <sheet name="동양세부" sheetId="52" r:id="rId26"/>
    <sheet name="교보기초" sheetId="19" r:id="rId27"/>
    <sheet name="교보세부" sheetId="20" r:id="rId28"/>
    <sheet name="KDB기초" sheetId="77" r:id="rId29"/>
    <sheet name="KDB세부" sheetId="78" r:id="rId30"/>
    <sheet name="AIA기초" sheetId="3" r:id="rId31"/>
    <sheet name="AIA세부" sheetId="60" r:id="rId32"/>
  </sheets>
  <definedNames>
    <definedName name="_xlnm.Print_Area" localSheetId="22">동부기초!$A$1:$P$37</definedName>
    <definedName name="_xlnm.Print_Area" localSheetId="14">미래기초!$A$1:$O$43</definedName>
    <definedName name="_xlnm.Print_Area" localSheetId="10">신한기초!$A$1:$S$44</definedName>
    <definedName name="_xlnm.Print_Area" localSheetId="6">알리안츠기초!$A$1:$T$28</definedName>
    <definedName name="_xlnm.Print_Area" localSheetId="19">한화세부!$A$1:$AH$38</definedName>
  </definedNames>
  <calcPr calcId="145621"/>
</workbook>
</file>

<file path=xl/calcChain.xml><?xml version="1.0" encoding="utf-8"?>
<calcChain xmlns="http://schemas.openxmlformats.org/spreadsheetml/2006/main">
  <c r="J19" i="64" l="1"/>
  <c r="R19" i="64" s="1"/>
  <c r="I19" i="64"/>
  <c r="H19" i="64"/>
  <c r="G19" i="64"/>
  <c r="O19" i="64" s="1"/>
  <c r="N17" i="64"/>
  <c r="M17" i="64"/>
  <c r="I17" i="64"/>
  <c r="H17" i="64"/>
  <c r="G17" i="64"/>
  <c r="L17" i="64" s="1"/>
  <c r="N15" i="64"/>
  <c r="L15" i="64"/>
  <c r="I15" i="64"/>
  <c r="H15" i="64"/>
  <c r="M15" i="64" s="1"/>
  <c r="G15" i="64"/>
  <c r="O15" i="64" s="1"/>
  <c r="M13" i="64"/>
  <c r="L13" i="64"/>
  <c r="I13" i="64"/>
  <c r="N13" i="64" s="1"/>
  <c r="H13" i="64"/>
  <c r="G13" i="64"/>
  <c r="J13" i="64" s="1"/>
  <c r="M11" i="64"/>
  <c r="L11" i="64"/>
  <c r="J11" i="64"/>
  <c r="I11" i="64"/>
  <c r="N11" i="64" s="1"/>
  <c r="H11" i="64"/>
  <c r="G11" i="64"/>
  <c r="O11" i="64" s="1"/>
  <c r="N9" i="64"/>
  <c r="M9" i="64"/>
  <c r="J9" i="64"/>
  <c r="I9" i="64"/>
  <c r="H9" i="64"/>
  <c r="G9" i="64"/>
  <c r="L9" i="64" s="1"/>
  <c r="N7" i="64"/>
  <c r="K7" i="64"/>
  <c r="I7" i="64"/>
  <c r="H7" i="64"/>
  <c r="M7" i="64" s="1"/>
  <c r="G7" i="64"/>
  <c r="J7" i="64" s="1"/>
  <c r="L7" i="64" l="1"/>
  <c r="R7" i="64" s="1"/>
  <c r="AA19" i="64"/>
  <c r="AA20" i="64" s="1"/>
  <c r="AD19" i="64"/>
  <c r="AD20" i="64" s="1"/>
  <c r="AG19" i="64"/>
  <c r="AG20" i="64" s="1"/>
  <c r="U19" i="64"/>
  <c r="U20" i="64" s="1"/>
  <c r="R20" i="64"/>
  <c r="X19" i="64"/>
  <c r="X20" i="64" s="1"/>
  <c r="O7" i="64"/>
  <c r="P7" i="64" s="1"/>
  <c r="K9" i="64"/>
  <c r="Q9" i="64" s="1"/>
  <c r="K13" i="64"/>
  <c r="R13" i="64" s="1"/>
  <c r="O13" i="64"/>
  <c r="J15" i="64"/>
  <c r="P19" i="64"/>
  <c r="Q11" i="64"/>
  <c r="K15" i="64"/>
  <c r="J17" i="64"/>
  <c r="Q19" i="64"/>
  <c r="K17" i="64"/>
  <c r="O17" i="64"/>
  <c r="O9" i="64"/>
  <c r="K11" i="64"/>
  <c r="R11" i="64" s="1"/>
  <c r="AD13" i="64" l="1"/>
  <c r="AD14" i="64" s="1"/>
  <c r="U13" i="64"/>
  <c r="U14" i="64" s="1"/>
  <c r="R14" i="64"/>
  <c r="X13" i="64"/>
  <c r="X14" i="64" s="1"/>
  <c r="AA13" i="64"/>
  <c r="AA14" i="64" s="1"/>
  <c r="AG13" i="64"/>
  <c r="AG14" i="64" s="1"/>
  <c r="AA11" i="64"/>
  <c r="AA12" i="64" s="1"/>
  <c r="AD11" i="64"/>
  <c r="AD12" i="64" s="1"/>
  <c r="AG11" i="64"/>
  <c r="AG12" i="64" s="1"/>
  <c r="U11" i="64"/>
  <c r="U12" i="64" s="1"/>
  <c r="R12" i="64"/>
  <c r="X11" i="64"/>
  <c r="X12" i="64" s="1"/>
  <c r="AF9" i="64"/>
  <c r="AF10" i="64" s="1"/>
  <c r="T9" i="64"/>
  <c r="T10" i="64" s="1"/>
  <c r="Q10" i="64"/>
  <c r="W9" i="64"/>
  <c r="W10" i="64" s="1"/>
  <c r="Z9" i="64"/>
  <c r="Z10" i="64" s="1"/>
  <c r="AC9" i="64"/>
  <c r="AC10" i="64" s="1"/>
  <c r="AG7" i="64"/>
  <c r="AG8" i="64" s="1"/>
  <c r="U7" i="64"/>
  <c r="U8" i="64" s="1"/>
  <c r="R8" i="64"/>
  <c r="AD7" i="64"/>
  <c r="AD8" i="64" s="1"/>
  <c r="AA7" i="64"/>
  <c r="AA8" i="64" s="1"/>
  <c r="X7" i="64"/>
  <c r="X8" i="64" s="1"/>
  <c r="Y7" i="64"/>
  <c r="Y8" i="64" s="1"/>
  <c r="P8" i="64"/>
  <c r="V7" i="64"/>
  <c r="V8" i="64" s="1"/>
  <c r="AB7" i="64"/>
  <c r="AB8" i="64" s="1"/>
  <c r="AE7" i="64"/>
  <c r="AE8" i="64" s="1"/>
  <c r="S7" i="64"/>
  <c r="S8" i="64" s="1"/>
  <c r="Q12" i="64"/>
  <c r="W11" i="64"/>
  <c r="W12" i="64" s="1"/>
  <c r="AC11" i="64"/>
  <c r="AC12" i="64" s="1"/>
  <c r="AF11" i="64"/>
  <c r="AF12" i="64" s="1"/>
  <c r="T11" i="64"/>
  <c r="T12" i="64" s="1"/>
  <c r="Z11" i="64"/>
  <c r="Z12" i="64" s="1"/>
  <c r="R9" i="64"/>
  <c r="Q7" i="64"/>
  <c r="Q20" i="64"/>
  <c r="W19" i="64"/>
  <c r="W20" i="64" s="1"/>
  <c r="Z19" i="64"/>
  <c r="Z20" i="64" s="1"/>
  <c r="AC19" i="64"/>
  <c r="AC20" i="64" s="1"/>
  <c r="AF19" i="64"/>
  <c r="AF20" i="64" s="1"/>
  <c r="T19" i="64"/>
  <c r="T20" i="64" s="1"/>
  <c r="AE19" i="64"/>
  <c r="AE20" i="64" s="1"/>
  <c r="S19" i="64"/>
  <c r="S20" i="64" s="1"/>
  <c r="P20" i="64"/>
  <c r="V19" i="64"/>
  <c r="V20" i="64" s="1"/>
  <c r="Y19" i="64"/>
  <c r="Y20" i="64" s="1"/>
  <c r="AB19" i="64"/>
  <c r="AB20" i="64" s="1"/>
  <c r="P11" i="64"/>
  <c r="P9" i="64"/>
  <c r="P13" i="64"/>
  <c r="P17" i="64"/>
  <c r="R17" i="64"/>
  <c r="Q17" i="64"/>
  <c r="Q15" i="64"/>
  <c r="P15" i="64"/>
  <c r="R15" i="64"/>
  <c r="Q13" i="64"/>
  <c r="AE11" i="64" l="1"/>
  <c r="AE12" i="64" s="1"/>
  <c r="S11" i="64"/>
  <c r="S12" i="64" s="1"/>
  <c r="V11" i="64"/>
  <c r="V12" i="64" s="1"/>
  <c r="Y11" i="64"/>
  <c r="Y12" i="64" s="1"/>
  <c r="AB11" i="64"/>
  <c r="AB12" i="64" s="1"/>
  <c r="P12" i="64"/>
  <c r="AB17" i="64"/>
  <c r="AB18" i="64" s="1"/>
  <c r="AE17" i="64"/>
  <c r="AE18" i="64" s="1"/>
  <c r="S17" i="64"/>
  <c r="S18" i="64" s="1"/>
  <c r="P18" i="64"/>
  <c r="V17" i="64"/>
  <c r="V18" i="64" s="1"/>
  <c r="Y17" i="64"/>
  <c r="Y18" i="64" s="1"/>
  <c r="R10" i="64"/>
  <c r="X9" i="64"/>
  <c r="X10" i="64" s="1"/>
  <c r="AD9" i="64"/>
  <c r="AD10" i="64" s="1"/>
  <c r="AG9" i="64"/>
  <c r="AG10" i="64" s="1"/>
  <c r="U9" i="64"/>
  <c r="U10" i="64" s="1"/>
  <c r="AA9" i="64"/>
  <c r="AA10" i="64" s="1"/>
  <c r="Z13" i="64"/>
  <c r="Z14" i="64" s="1"/>
  <c r="AF13" i="64"/>
  <c r="AF14" i="64" s="1"/>
  <c r="T13" i="64"/>
  <c r="T14" i="64" s="1"/>
  <c r="Q14" i="64"/>
  <c r="W13" i="64"/>
  <c r="W14" i="64" s="1"/>
  <c r="AC13" i="64"/>
  <c r="AC14" i="64" s="1"/>
  <c r="AF17" i="64"/>
  <c r="AF18" i="64" s="1"/>
  <c r="T17" i="64"/>
  <c r="T18" i="64" s="1"/>
  <c r="Q18" i="64"/>
  <c r="W17" i="64"/>
  <c r="W18" i="64" s="1"/>
  <c r="Z17" i="64"/>
  <c r="Z18" i="64" s="1"/>
  <c r="AC17" i="64"/>
  <c r="AC18" i="64" s="1"/>
  <c r="AB9" i="64"/>
  <c r="AB10" i="64" s="1"/>
  <c r="AE9" i="64"/>
  <c r="AE10" i="64" s="1"/>
  <c r="S9" i="64"/>
  <c r="S10" i="64" s="1"/>
  <c r="P10" i="64"/>
  <c r="V9" i="64"/>
  <c r="V10" i="64" s="1"/>
  <c r="Y9" i="64"/>
  <c r="Y10" i="64" s="1"/>
  <c r="AG15" i="64"/>
  <c r="AG16" i="64" s="1"/>
  <c r="U15" i="64"/>
  <c r="U16" i="64" s="1"/>
  <c r="R16" i="64"/>
  <c r="X15" i="64"/>
  <c r="X16" i="64" s="1"/>
  <c r="AA15" i="64"/>
  <c r="AA16" i="64" s="1"/>
  <c r="AD15" i="64"/>
  <c r="AD16" i="64" s="1"/>
  <c r="R18" i="64"/>
  <c r="X17" i="64"/>
  <c r="X18" i="64" s="1"/>
  <c r="AA17" i="64"/>
  <c r="AA18" i="64" s="1"/>
  <c r="AD17" i="64"/>
  <c r="AD18" i="64" s="1"/>
  <c r="AG17" i="64"/>
  <c r="AG18" i="64" s="1"/>
  <c r="U17" i="64"/>
  <c r="U18" i="64" s="1"/>
  <c r="Y15" i="64"/>
  <c r="Y16" i="64" s="1"/>
  <c r="AB15" i="64"/>
  <c r="AB16" i="64" s="1"/>
  <c r="AE15" i="64"/>
  <c r="AE16" i="64" s="1"/>
  <c r="S15" i="64"/>
  <c r="S16" i="64" s="1"/>
  <c r="P16" i="64"/>
  <c r="V15" i="64"/>
  <c r="V16" i="64" s="1"/>
  <c r="AC7" i="64"/>
  <c r="AC8" i="64" s="1"/>
  <c r="AF7" i="64"/>
  <c r="AF8" i="64" s="1"/>
  <c r="Z7" i="64"/>
  <c r="Z8" i="64" s="1"/>
  <c r="Q8" i="64"/>
  <c r="W7" i="64"/>
  <c r="W8" i="64" s="1"/>
  <c r="T7" i="64"/>
  <c r="T8" i="64" s="1"/>
  <c r="AC15" i="64"/>
  <c r="AC16" i="64" s="1"/>
  <c r="AF15" i="64"/>
  <c r="AF16" i="64" s="1"/>
  <c r="T15" i="64"/>
  <c r="T16" i="64" s="1"/>
  <c r="Q16" i="64"/>
  <c r="W15" i="64"/>
  <c r="W16" i="64" s="1"/>
  <c r="Z15" i="64"/>
  <c r="Z16" i="64" s="1"/>
  <c r="P14" i="64"/>
  <c r="V13" i="64"/>
  <c r="V14" i="64" s="1"/>
  <c r="Y13" i="64"/>
  <c r="Y14" i="64" s="1"/>
  <c r="AB13" i="64"/>
  <c r="AB14" i="64" s="1"/>
  <c r="AE13" i="64"/>
  <c r="AE14" i="64" s="1"/>
  <c r="S13" i="64"/>
  <c r="S14" i="64" s="1"/>
  <c r="G29" i="81" l="1"/>
  <c r="F29" i="81"/>
  <c r="K29" i="81" s="1"/>
  <c r="M29" i="81" s="1"/>
  <c r="G27" i="81"/>
  <c r="F27" i="81"/>
  <c r="K25" i="81"/>
  <c r="I25" i="81"/>
  <c r="G25" i="81"/>
  <c r="F25" i="81"/>
  <c r="H25" i="81" s="1"/>
  <c r="I23" i="81"/>
  <c r="G23" i="81"/>
  <c r="F23" i="81"/>
  <c r="J23" i="81" s="1"/>
  <c r="I21" i="81"/>
  <c r="G21" i="81"/>
  <c r="F21" i="81"/>
  <c r="H21" i="81" s="1"/>
  <c r="I19" i="81"/>
  <c r="G19" i="81"/>
  <c r="F19" i="81"/>
  <c r="J19" i="81" s="1"/>
  <c r="I17" i="81"/>
  <c r="G17" i="81"/>
  <c r="F17" i="81"/>
  <c r="H17" i="81" s="1"/>
  <c r="F15" i="81"/>
  <c r="J15" i="81" s="1"/>
  <c r="F13" i="81"/>
  <c r="K13" i="81" s="1"/>
  <c r="I11" i="81"/>
  <c r="H11" i="81"/>
  <c r="G11" i="81"/>
  <c r="F11" i="81"/>
  <c r="J11" i="81" s="1"/>
  <c r="F9" i="81"/>
  <c r="K9" i="81" s="1"/>
  <c r="I7" i="81"/>
  <c r="H7" i="81"/>
  <c r="F7" i="81"/>
  <c r="K7" i="81" s="1"/>
  <c r="K6" i="81"/>
  <c r="G15" i="81" l="1"/>
  <c r="I15" i="81"/>
  <c r="L17" i="81"/>
  <c r="K23" i="81"/>
  <c r="K19" i="81"/>
  <c r="J7" i="81"/>
  <c r="H9" i="81"/>
  <c r="H13" i="81"/>
  <c r="K17" i="81"/>
  <c r="M17" i="81" s="1"/>
  <c r="N23" i="81"/>
  <c r="M25" i="81"/>
  <c r="L25" i="81"/>
  <c r="K27" i="81"/>
  <c r="L27" i="81" s="1"/>
  <c r="J9" i="81"/>
  <c r="J13" i="81"/>
  <c r="M30" i="81"/>
  <c r="S29" i="81"/>
  <c r="S30" i="81" s="1"/>
  <c r="V29" i="81"/>
  <c r="V30" i="81" s="1"/>
  <c r="Y29" i="81"/>
  <c r="Y30" i="81" s="1"/>
  <c r="AB29" i="81"/>
  <c r="AB30" i="81" s="1"/>
  <c r="P29" i="81"/>
  <c r="P30" i="81" s="1"/>
  <c r="G7" i="81"/>
  <c r="I9" i="81"/>
  <c r="K11" i="81"/>
  <c r="L11" i="81" s="1"/>
  <c r="I13" i="81"/>
  <c r="K21" i="81"/>
  <c r="L21" i="81" s="1"/>
  <c r="N27" i="81"/>
  <c r="G9" i="81"/>
  <c r="G13" i="81"/>
  <c r="K15" i="81"/>
  <c r="L15" i="81" s="1"/>
  <c r="N19" i="81"/>
  <c r="M21" i="81"/>
  <c r="N29" i="81"/>
  <c r="H15" i="81"/>
  <c r="N15" i="81" s="1"/>
  <c r="J17" i="81"/>
  <c r="N17" i="81" s="1"/>
  <c r="H19" i="81"/>
  <c r="M19" i="81" s="1"/>
  <c r="L19" i="81"/>
  <c r="J21" i="81"/>
  <c r="N21" i="81" s="1"/>
  <c r="H23" i="81"/>
  <c r="M23" i="81" s="1"/>
  <c r="L23" i="81"/>
  <c r="J25" i="81"/>
  <c r="N25" i="81" s="1"/>
  <c r="L29" i="81"/>
  <c r="M15" i="81" l="1"/>
  <c r="V15" i="81" s="1"/>
  <c r="V16" i="81" s="1"/>
  <c r="AC17" i="81"/>
  <c r="AC18" i="81" s="1"/>
  <c r="Q17" i="81"/>
  <c r="Q18" i="81" s="1"/>
  <c r="N18" i="81"/>
  <c r="T17" i="81"/>
  <c r="T18" i="81" s="1"/>
  <c r="Z17" i="81"/>
  <c r="Z18" i="81" s="1"/>
  <c r="W17" i="81"/>
  <c r="W18" i="81" s="1"/>
  <c r="AC21" i="81"/>
  <c r="AC22" i="81" s="1"/>
  <c r="Q21" i="81"/>
  <c r="Q22" i="81" s="1"/>
  <c r="N22" i="81"/>
  <c r="T21" i="81"/>
  <c r="T22" i="81" s="1"/>
  <c r="Z21" i="81"/>
  <c r="Z22" i="81" s="1"/>
  <c r="W21" i="81"/>
  <c r="W22" i="81" s="1"/>
  <c r="AA15" i="81"/>
  <c r="AA16" i="81" s="1"/>
  <c r="O15" i="81"/>
  <c r="O16" i="81" s="1"/>
  <c r="L16" i="81"/>
  <c r="R15" i="81"/>
  <c r="R16" i="81" s="1"/>
  <c r="X15" i="81"/>
  <c r="X16" i="81" s="1"/>
  <c r="U15" i="81"/>
  <c r="U16" i="81" s="1"/>
  <c r="Y17" i="81"/>
  <c r="Y18" i="81" s="1"/>
  <c r="AB17" i="81"/>
  <c r="AB18" i="81" s="1"/>
  <c r="P17" i="81"/>
  <c r="P18" i="81" s="1"/>
  <c r="V17" i="81"/>
  <c r="V18" i="81" s="1"/>
  <c r="M18" i="81"/>
  <c r="S17" i="81"/>
  <c r="S18" i="81" s="1"/>
  <c r="W15" i="81"/>
  <c r="W16" i="81" s="1"/>
  <c r="Z15" i="81"/>
  <c r="Z16" i="81" s="1"/>
  <c r="N16" i="81"/>
  <c r="T15" i="81"/>
  <c r="T16" i="81" s="1"/>
  <c r="Q15" i="81"/>
  <c r="Q16" i="81" s="1"/>
  <c r="AC15" i="81"/>
  <c r="AC16" i="81" s="1"/>
  <c r="U21" i="81"/>
  <c r="U22" i="81" s="1"/>
  <c r="X21" i="81"/>
  <c r="X22" i="81" s="1"/>
  <c r="L22" i="81"/>
  <c r="R21" i="81"/>
  <c r="R22" i="81" s="1"/>
  <c r="AA21" i="81"/>
  <c r="AA22" i="81" s="1"/>
  <c r="O21" i="81"/>
  <c r="O22" i="81" s="1"/>
  <c r="AC25" i="81"/>
  <c r="AC26" i="81" s="1"/>
  <c r="Q25" i="81"/>
  <c r="Q26" i="81" s="1"/>
  <c r="N26" i="81"/>
  <c r="T25" i="81"/>
  <c r="T26" i="81" s="1"/>
  <c r="Z25" i="81"/>
  <c r="Z26" i="81" s="1"/>
  <c r="W25" i="81"/>
  <c r="W26" i="81" s="1"/>
  <c r="W29" i="81"/>
  <c r="W30" i="81" s="1"/>
  <c r="Z29" i="81"/>
  <c r="Z30" i="81" s="1"/>
  <c r="AC29" i="81"/>
  <c r="AC30" i="81" s="1"/>
  <c r="Q29" i="81"/>
  <c r="Q30" i="81" s="1"/>
  <c r="N30" i="81"/>
  <c r="T29" i="81"/>
  <c r="T30" i="81" s="1"/>
  <c r="Z27" i="81"/>
  <c r="Z28" i="81" s="1"/>
  <c r="AC27" i="81"/>
  <c r="AC28" i="81" s="1"/>
  <c r="Q27" i="81"/>
  <c r="Q28" i="81" s="1"/>
  <c r="N28" i="81"/>
  <c r="W27" i="81"/>
  <c r="W28" i="81" s="1"/>
  <c r="T27" i="81"/>
  <c r="T28" i="81" s="1"/>
  <c r="L28" i="81"/>
  <c r="R27" i="81"/>
  <c r="R28" i="81" s="1"/>
  <c r="U27" i="81"/>
  <c r="U28" i="81" s="1"/>
  <c r="AA27" i="81"/>
  <c r="AA28" i="81" s="1"/>
  <c r="O27" i="81"/>
  <c r="O28" i="81" s="1"/>
  <c r="X27" i="81"/>
  <c r="X28" i="81" s="1"/>
  <c r="U17" i="81"/>
  <c r="U18" i="81" s="1"/>
  <c r="X17" i="81"/>
  <c r="X18" i="81" s="1"/>
  <c r="L18" i="81"/>
  <c r="R17" i="81"/>
  <c r="R18" i="81" s="1"/>
  <c r="O17" i="81"/>
  <c r="O18" i="81" s="1"/>
  <c r="AA17" i="81"/>
  <c r="AA18" i="81" s="1"/>
  <c r="AA23" i="81"/>
  <c r="AA24" i="81" s="1"/>
  <c r="O23" i="81"/>
  <c r="O24" i="81" s="1"/>
  <c r="L24" i="81"/>
  <c r="R23" i="81"/>
  <c r="R24" i="81" s="1"/>
  <c r="X23" i="81"/>
  <c r="X24" i="81" s="1"/>
  <c r="U23" i="81"/>
  <c r="U24" i="81" s="1"/>
  <c r="M20" i="81"/>
  <c r="S19" i="81"/>
  <c r="S20" i="81" s="1"/>
  <c r="V19" i="81"/>
  <c r="V20" i="81" s="1"/>
  <c r="AB19" i="81"/>
  <c r="AB20" i="81" s="1"/>
  <c r="P19" i="81"/>
  <c r="P20" i="81" s="1"/>
  <c r="Y19" i="81"/>
  <c r="Y20" i="81" s="1"/>
  <c r="U11" i="81"/>
  <c r="U12" i="81" s="1"/>
  <c r="X11" i="81"/>
  <c r="X12" i="81" s="1"/>
  <c r="AA11" i="81"/>
  <c r="AA12" i="81" s="1"/>
  <c r="O11" i="81"/>
  <c r="O12" i="81" s="1"/>
  <c r="L12" i="81"/>
  <c r="R11" i="81"/>
  <c r="R12" i="81" s="1"/>
  <c r="W19" i="81"/>
  <c r="W20" i="81" s="1"/>
  <c r="Z19" i="81"/>
  <c r="Z20" i="81" s="1"/>
  <c r="N20" i="81"/>
  <c r="T19" i="81"/>
  <c r="T20" i="81" s="1"/>
  <c r="AC19" i="81"/>
  <c r="AC20" i="81" s="1"/>
  <c r="Q19" i="81"/>
  <c r="Q20" i="81" s="1"/>
  <c r="W23" i="81"/>
  <c r="W24" i="81" s="1"/>
  <c r="Z23" i="81"/>
  <c r="Z24" i="81" s="1"/>
  <c r="N24" i="81"/>
  <c r="T23" i="81"/>
  <c r="T24" i="81" s="1"/>
  <c r="Q23" i="81"/>
  <c r="Q24" i="81" s="1"/>
  <c r="AC23" i="81"/>
  <c r="AC24" i="81" s="1"/>
  <c r="M16" i="81"/>
  <c r="S15" i="81"/>
  <c r="S16" i="81" s="1"/>
  <c r="AB15" i="81"/>
  <c r="AB16" i="81" s="1"/>
  <c r="P15" i="81"/>
  <c r="P16" i="81" s="1"/>
  <c r="Y15" i="81"/>
  <c r="Y16" i="81" s="1"/>
  <c r="M27" i="81"/>
  <c r="M24" i="81"/>
  <c r="S23" i="81"/>
  <c r="S24" i="81" s="1"/>
  <c r="V23" i="81"/>
  <c r="V24" i="81" s="1"/>
  <c r="AB23" i="81"/>
  <c r="AB24" i="81" s="1"/>
  <c r="P23" i="81"/>
  <c r="P24" i="81" s="1"/>
  <c r="Y23" i="81"/>
  <c r="Y24" i="81" s="1"/>
  <c r="N13" i="81"/>
  <c r="M13" i="81"/>
  <c r="L13" i="81"/>
  <c r="U25" i="81"/>
  <c r="U26" i="81" s="1"/>
  <c r="X25" i="81"/>
  <c r="X26" i="81" s="1"/>
  <c r="L26" i="81"/>
  <c r="R25" i="81"/>
  <c r="R26" i="81" s="1"/>
  <c r="O25" i="81"/>
  <c r="O26" i="81" s="1"/>
  <c r="AA25" i="81"/>
  <c r="AA26" i="81" s="1"/>
  <c r="N11" i="81"/>
  <c r="AA19" i="81"/>
  <c r="AA20" i="81" s="1"/>
  <c r="O19" i="81"/>
  <c r="O20" i="81" s="1"/>
  <c r="L20" i="81"/>
  <c r="R19" i="81"/>
  <c r="R20" i="81" s="1"/>
  <c r="X19" i="81"/>
  <c r="X20" i="81" s="1"/>
  <c r="U19" i="81"/>
  <c r="U20" i="81" s="1"/>
  <c r="AA29" i="81"/>
  <c r="AA30" i="81" s="1"/>
  <c r="O29" i="81"/>
  <c r="O30" i="81" s="1"/>
  <c r="L30" i="81"/>
  <c r="R29" i="81"/>
  <c r="R30" i="81" s="1"/>
  <c r="U29" i="81"/>
  <c r="U30" i="81" s="1"/>
  <c r="X29" i="81"/>
  <c r="X30" i="81" s="1"/>
  <c r="Y21" i="81"/>
  <c r="Y22" i="81" s="1"/>
  <c r="AB21" i="81"/>
  <c r="AB22" i="81" s="1"/>
  <c r="P21" i="81"/>
  <c r="P22" i="81" s="1"/>
  <c r="V21" i="81"/>
  <c r="V22" i="81" s="1"/>
  <c r="S21" i="81"/>
  <c r="S22" i="81" s="1"/>
  <c r="M22" i="81"/>
  <c r="M9" i="81"/>
  <c r="L9" i="81"/>
  <c r="N9" i="81"/>
  <c r="M7" i="81"/>
  <c r="L7" i="81"/>
  <c r="N7" i="81"/>
  <c r="Y25" i="81"/>
  <c r="Y26" i="81" s="1"/>
  <c r="AB25" i="81"/>
  <c r="AB26" i="81" s="1"/>
  <c r="P25" i="81"/>
  <c r="P26" i="81" s="1"/>
  <c r="V25" i="81"/>
  <c r="V26" i="81" s="1"/>
  <c r="M26" i="81"/>
  <c r="S25" i="81"/>
  <c r="S26" i="81" s="1"/>
  <c r="M11" i="81"/>
  <c r="AA9" i="81" l="1"/>
  <c r="AA10" i="81" s="1"/>
  <c r="O9" i="81"/>
  <c r="O10" i="81" s="1"/>
  <c r="R9" i="81"/>
  <c r="R10" i="81" s="1"/>
  <c r="L10" i="81"/>
  <c r="U9" i="81"/>
  <c r="U10" i="81" s="1"/>
  <c r="X9" i="81"/>
  <c r="X10" i="81" s="1"/>
  <c r="M10" i="81"/>
  <c r="S9" i="81"/>
  <c r="S10" i="81" s="1"/>
  <c r="Y9" i="81"/>
  <c r="Y10" i="81" s="1"/>
  <c r="V9" i="81"/>
  <c r="V10" i="81" s="1"/>
  <c r="AB9" i="81"/>
  <c r="AB10" i="81" s="1"/>
  <c r="P9" i="81"/>
  <c r="P10" i="81" s="1"/>
  <c r="N14" i="81"/>
  <c r="Z13" i="81"/>
  <c r="Z14" i="81" s="1"/>
  <c r="W13" i="81"/>
  <c r="W14" i="81" s="1"/>
  <c r="Q13" i="81"/>
  <c r="Q14" i="81" s="1"/>
  <c r="T13" i="81"/>
  <c r="T14" i="81" s="1"/>
  <c r="AC13" i="81"/>
  <c r="AC14" i="81" s="1"/>
  <c r="W9" i="81"/>
  <c r="W10" i="81" s="1"/>
  <c r="AC9" i="81"/>
  <c r="AC10" i="81" s="1"/>
  <c r="Q9" i="81"/>
  <c r="Q10" i="81" s="1"/>
  <c r="N10" i="81"/>
  <c r="T9" i="81"/>
  <c r="T10" i="81" s="1"/>
  <c r="Z9" i="81"/>
  <c r="Z10" i="81" s="1"/>
  <c r="X13" i="81"/>
  <c r="X14" i="81" s="1"/>
  <c r="L14" i="81"/>
  <c r="O13" i="81"/>
  <c r="O14" i="81" s="1"/>
  <c r="AA13" i="81"/>
  <c r="AA14" i="81" s="1"/>
  <c r="U13" i="81"/>
  <c r="U14" i="81" s="1"/>
  <c r="R13" i="81"/>
  <c r="R14" i="81" s="1"/>
  <c r="AC11" i="81"/>
  <c r="AC12" i="81" s="1"/>
  <c r="Q11" i="81"/>
  <c r="Q12" i="81" s="1"/>
  <c r="W11" i="81"/>
  <c r="W12" i="81" s="1"/>
  <c r="Z11" i="81"/>
  <c r="Z12" i="81" s="1"/>
  <c r="N12" i="81"/>
  <c r="T11" i="81"/>
  <c r="T12" i="81" s="1"/>
  <c r="V27" i="81"/>
  <c r="V28" i="81" s="1"/>
  <c r="Y27" i="81"/>
  <c r="Y28" i="81" s="1"/>
  <c r="AB27" i="81"/>
  <c r="AB28" i="81" s="1"/>
  <c r="M28" i="81"/>
  <c r="S27" i="81"/>
  <c r="S28" i="81" s="1"/>
  <c r="P27" i="81"/>
  <c r="P28" i="81" s="1"/>
  <c r="Y11" i="81"/>
  <c r="Y12" i="81" s="1"/>
  <c r="M12" i="81"/>
  <c r="S11" i="81"/>
  <c r="S12" i="81" s="1"/>
  <c r="AB11" i="81"/>
  <c r="AB12" i="81" s="1"/>
  <c r="P11" i="81"/>
  <c r="P12" i="81" s="1"/>
  <c r="V11" i="81"/>
  <c r="V12" i="81" s="1"/>
  <c r="T7" i="81"/>
  <c r="T8" i="81" s="1"/>
  <c r="W7" i="81"/>
  <c r="W8" i="81" s="1"/>
  <c r="AC7" i="81"/>
  <c r="AC8" i="81" s="1"/>
  <c r="Z7" i="81"/>
  <c r="Z8" i="81" s="1"/>
  <c r="Q7" i="81"/>
  <c r="Q8" i="81" s="1"/>
  <c r="N8" i="81"/>
  <c r="AB13" i="81"/>
  <c r="AB14" i="81" s="1"/>
  <c r="M14" i="81"/>
  <c r="S13" i="81"/>
  <c r="S14" i="81" s="1"/>
  <c r="V13" i="81"/>
  <c r="V14" i="81" s="1"/>
  <c r="Y13" i="81"/>
  <c r="Y14" i="81" s="1"/>
  <c r="P13" i="81"/>
  <c r="P14" i="81" s="1"/>
  <c r="X7" i="81"/>
  <c r="X8" i="81" s="1"/>
  <c r="AA7" i="81"/>
  <c r="AA8" i="81" s="1"/>
  <c r="O7" i="81"/>
  <c r="O8" i="81" s="1"/>
  <c r="L8" i="81"/>
  <c r="R7" i="81"/>
  <c r="R8" i="81" s="1"/>
  <c r="U7" i="81"/>
  <c r="U8" i="81" s="1"/>
  <c r="Y7" i="81"/>
  <c r="Y8" i="81" s="1"/>
  <c r="M8" i="81"/>
  <c r="S7" i="81"/>
  <c r="S8" i="81" s="1"/>
  <c r="AB7" i="81"/>
  <c r="AB8" i="81" s="1"/>
  <c r="V7" i="81"/>
  <c r="V8" i="81" s="1"/>
  <c r="P7" i="81"/>
  <c r="P8" i="81" s="1"/>
  <c r="K23" i="50" l="1"/>
  <c r="J23" i="50"/>
  <c r="O23" i="50" s="1"/>
  <c r="I23" i="50"/>
  <c r="L21" i="50"/>
  <c r="J21" i="50"/>
  <c r="O21" i="50" s="1"/>
  <c r="I21" i="50"/>
  <c r="K21" i="50" s="1"/>
  <c r="O19" i="50"/>
  <c r="J19" i="50"/>
  <c r="L19" i="50" s="1"/>
  <c r="I19" i="50"/>
  <c r="K19" i="50" s="1"/>
  <c r="P17" i="50"/>
  <c r="R17" i="50" s="1"/>
  <c r="L15" i="50"/>
  <c r="N15" i="50" s="1"/>
  <c r="J15" i="50"/>
  <c r="O15" i="50" s="1"/>
  <c r="I15" i="50"/>
  <c r="K15" i="50" s="1"/>
  <c r="S13" i="50"/>
  <c r="P13" i="50"/>
  <c r="Q13" i="50" s="1"/>
  <c r="O13" i="50"/>
  <c r="L13" i="50"/>
  <c r="M13" i="50" s="1"/>
  <c r="K13" i="50"/>
  <c r="J13" i="50"/>
  <c r="I13" i="50"/>
  <c r="J11" i="50"/>
  <c r="L11" i="50" s="1"/>
  <c r="I11" i="50"/>
  <c r="K11" i="50" s="1"/>
  <c r="Q9" i="50"/>
  <c r="P9" i="50"/>
  <c r="S9" i="50" s="1"/>
  <c r="J9" i="50"/>
  <c r="O9" i="50" s="1"/>
  <c r="I9" i="50"/>
  <c r="K9" i="50" s="1"/>
  <c r="S7" i="50"/>
  <c r="R7" i="50"/>
  <c r="Q7" i="50"/>
  <c r="P7" i="50"/>
  <c r="J7" i="50"/>
  <c r="O7" i="50" s="1"/>
  <c r="I7" i="50"/>
  <c r="K7" i="50" s="1"/>
  <c r="T7" i="50" l="1"/>
  <c r="T11" i="50"/>
  <c r="U11" i="50"/>
  <c r="V23" i="50"/>
  <c r="L7" i="50"/>
  <c r="T9" i="50"/>
  <c r="U13" i="50"/>
  <c r="T21" i="50"/>
  <c r="V21" i="50"/>
  <c r="U21" i="50"/>
  <c r="N11" i="50"/>
  <c r="M11" i="50"/>
  <c r="V11" i="50" s="1"/>
  <c r="T15" i="50"/>
  <c r="U19" i="50"/>
  <c r="T19" i="50"/>
  <c r="V19" i="50"/>
  <c r="L9" i="50"/>
  <c r="N13" i="50"/>
  <c r="R13" i="50"/>
  <c r="V13" i="50"/>
  <c r="S17" i="50"/>
  <c r="T17" i="50"/>
  <c r="U23" i="50"/>
  <c r="R9" i="50"/>
  <c r="O11" i="50"/>
  <c r="T13" i="50"/>
  <c r="M15" i="50"/>
  <c r="V15" i="50" s="1"/>
  <c r="Q17" i="50"/>
  <c r="L23" i="50"/>
  <c r="T23" i="50" s="1"/>
  <c r="AH15" i="50" l="1"/>
  <c r="AH16" i="50" s="1"/>
  <c r="AK15" i="50"/>
  <c r="AK16" i="50" s="1"/>
  <c r="Y15" i="50"/>
  <c r="Y16" i="50" s="1"/>
  <c r="V16" i="50"/>
  <c r="AB15" i="50"/>
  <c r="AB16" i="50" s="1"/>
  <c r="AE15" i="50"/>
  <c r="AE16" i="50" s="1"/>
  <c r="AI23" i="50"/>
  <c r="AI24" i="50" s="1"/>
  <c r="W23" i="50"/>
  <c r="W24" i="50" s="1"/>
  <c r="T24" i="50"/>
  <c r="Z23" i="50"/>
  <c r="Z24" i="50" s="1"/>
  <c r="AC23" i="50"/>
  <c r="AC24" i="50" s="1"/>
  <c r="AF23" i="50"/>
  <c r="AF24" i="50" s="1"/>
  <c r="V12" i="50"/>
  <c r="AB11" i="50"/>
  <c r="AB12" i="50" s="1"/>
  <c r="AE11" i="50"/>
  <c r="AE12" i="50" s="1"/>
  <c r="AH11" i="50"/>
  <c r="AH12" i="50" s="1"/>
  <c r="AK11" i="50"/>
  <c r="AK12" i="50" s="1"/>
  <c r="Y11" i="50"/>
  <c r="Y12" i="50" s="1"/>
  <c r="U24" i="50"/>
  <c r="AA23" i="50"/>
  <c r="AA24" i="50" s="1"/>
  <c r="AD23" i="50"/>
  <c r="AD24" i="50" s="1"/>
  <c r="AG23" i="50"/>
  <c r="AG24" i="50" s="1"/>
  <c r="AJ23" i="50"/>
  <c r="AJ24" i="50" s="1"/>
  <c r="X23" i="50"/>
  <c r="X24" i="50" s="1"/>
  <c r="AK19" i="50"/>
  <c r="AK20" i="50" s="1"/>
  <c r="Y19" i="50"/>
  <c r="Y20" i="50" s="1"/>
  <c r="V20" i="50"/>
  <c r="AB19" i="50"/>
  <c r="AB20" i="50" s="1"/>
  <c r="AE19" i="50"/>
  <c r="AE20" i="50" s="1"/>
  <c r="AH19" i="50"/>
  <c r="AH20" i="50" s="1"/>
  <c r="AJ21" i="50"/>
  <c r="AJ22" i="50" s="1"/>
  <c r="X21" i="50"/>
  <c r="X22" i="50" s="1"/>
  <c r="U22" i="50"/>
  <c r="AA21" i="50"/>
  <c r="AA22" i="50" s="1"/>
  <c r="AD21" i="50"/>
  <c r="AD22" i="50" s="1"/>
  <c r="AG21" i="50"/>
  <c r="AG22" i="50" s="1"/>
  <c r="AE23" i="50"/>
  <c r="AE24" i="50" s="1"/>
  <c r="AH23" i="50"/>
  <c r="AH24" i="50" s="1"/>
  <c r="AK23" i="50"/>
  <c r="AK24" i="50" s="1"/>
  <c r="Y23" i="50"/>
  <c r="Y24" i="50" s="1"/>
  <c r="V24" i="50"/>
  <c r="AB23" i="50"/>
  <c r="AB24" i="50" s="1"/>
  <c r="AC13" i="50"/>
  <c r="AC14" i="50" s="1"/>
  <c r="AF13" i="50"/>
  <c r="AF14" i="50" s="1"/>
  <c r="AI13" i="50"/>
  <c r="AI14" i="50" s="1"/>
  <c r="W13" i="50"/>
  <c r="W14" i="50" s="1"/>
  <c r="T14" i="50"/>
  <c r="Z13" i="50"/>
  <c r="Z14" i="50" s="1"/>
  <c r="AC19" i="50"/>
  <c r="AC20" i="50" s="1"/>
  <c r="AF19" i="50"/>
  <c r="AF20" i="50" s="1"/>
  <c r="AI19" i="50"/>
  <c r="AI20" i="50" s="1"/>
  <c r="W19" i="50"/>
  <c r="W20" i="50" s="1"/>
  <c r="T20" i="50"/>
  <c r="Z19" i="50"/>
  <c r="Z20" i="50" s="1"/>
  <c r="V22" i="50"/>
  <c r="AB21" i="50"/>
  <c r="AB22" i="50" s="1"/>
  <c r="AE21" i="50"/>
  <c r="AE22" i="50" s="1"/>
  <c r="AH21" i="50"/>
  <c r="AH22" i="50" s="1"/>
  <c r="AK21" i="50"/>
  <c r="AK22" i="50" s="1"/>
  <c r="Y21" i="50"/>
  <c r="Y22" i="50" s="1"/>
  <c r="AG19" i="50"/>
  <c r="AG20" i="50" s="1"/>
  <c r="AJ19" i="50"/>
  <c r="AJ20" i="50" s="1"/>
  <c r="X19" i="50"/>
  <c r="X20" i="50" s="1"/>
  <c r="U20" i="50"/>
  <c r="AA19" i="50"/>
  <c r="AA20" i="50" s="1"/>
  <c r="AD19" i="50"/>
  <c r="AD20" i="50" s="1"/>
  <c r="AF21" i="50"/>
  <c r="AF22" i="50" s="1"/>
  <c r="AI21" i="50"/>
  <c r="AI22" i="50" s="1"/>
  <c r="W21" i="50"/>
  <c r="W22" i="50" s="1"/>
  <c r="T22" i="50"/>
  <c r="Z21" i="50"/>
  <c r="Z22" i="50" s="1"/>
  <c r="AC21" i="50"/>
  <c r="AC22" i="50" s="1"/>
  <c r="V17" i="50"/>
  <c r="U17" i="50"/>
  <c r="N9" i="50"/>
  <c r="M9" i="50"/>
  <c r="T16" i="50"/>
  <c r="Z15" i="50"/>
  <c r="Z16" i="50" s="1"/>
  <c r="AC15" i="50"/>
  <c r="AC16" i="50" s="1"/>
  <c r="AF15" i="50"/>
  <c r="AF16" i="50" s="1"/>
  <c r="AI15" i="50"/>
  <c r="AI16" i="50" s="1"/>
  <c r="W15" i="50"/>
  <c r="W16" i="50" s="1"/>
  <c r="AG13" i="50"/>
  <c r="AG14" i="50" s="1"/>
  <c r="AJ13" i="50"/>
  <c r="AJ14" i="50" s="1"/>
  <c r="X13" i="50"/>
  <c r="X14" i="50" s="1"/>
  <c r="U14" i="50"/>
  <c r="AA13" i="50"/>
  <c r="AA14" i="50" s="1"/>
  <c r="AD13" i="50"/>
  <c r="AD14" i="50" s="1"/>
  <c r="N7" i="50"/>
  <c r="M7" i="50"/>
  <c r="AF11" i="50"/>
  <c r="AF12" i="50" s="1"/>
  <c r="AI11" i="50"/>
  <c r="AI12" i="50" s="1"/>
  <c r="W11" i="50"/>
  <c r="W12" i="50" s="1"/>
  <c r="T12" i="50"/>
  <c r="Z11" i="50"/>
  <c r="Z12" i="50" s="1"/>
  <c r="AC11" i="50"/>
  <c r="AC12" i="50" s="1"/>
  <c r="AK13" i="50"/>
  <c r="AK14" i="50" s="1"/>
  <c r="Y13" i="50"/>
  <c r="Y14" i="50" s="1"/>
  <c r="V14" i="50"/>
  <c r="AB13" i="50"/>
  <c r="AB14" i="50" s="1"/>
  <c r="AE13" i="50"/>
  <c r="AE14" i="50" s="1"/>
  <c r="AH13" i="50"/>
  <c r="AH14" i="50" s="1"/>
  <c r="U15" i="50"/>
  <c r="AI9" i="50"/>
  <c r="AI10" i="50" s="1"/>
  <c r="W9" i="50"/>
  <c r="W10" i="50" s="1"/>
  <c r="T10" i="50"/>
  <c r="Z9" i="50"/>
  <c r="Z10" i="50" s="1"/>
  <c r="AC9" i="50"/>
  <c r="AC10" i="50" s="1"/>
  <c r="AF9" i="50"/>
  <c r="AF10" i="50" s="1"/>
  <c r="T18" i="50"/>
  <c r="Z17" i="50"/>
  <c r="Z18" i="50" s="1"/>
  <c r="AC17" i="50"/>
  <c r="AC18" i="50" s="1"/>
  <c r="AF17" i="50"/>
  <c r="AF18" i="50" s="1"/>
  <c r="AI17" i="50"/>
  <c r="AI18" i="50" s="1"/>
  <c r="W17" i="50"/>
  <c r="W18" i="50" s="1"/>
  <c r="AJ11" i="50"/>
  <c r="AJ12" i="50" s="1"/>
  <c r="X11" i="50"/>
  <c r="X12" i="50" s="1"/>
  <c r="U12" i="50"/>
  <c r="AA11" i="50"/>
  <c r="AA12" i="50" s="1"/>
  <c r="AD11" i="50"/>
  <c r="AD12" i="50" s="1"/>
  <c r="AG11" i="50"/>
  <c r="AG12" i="50" s="1"/>
  <c r="AI7" i="50"/>
  <c r="AI8" i="50" s="1"/>
  <c r="W7" i="50"/>
  <c r="W8" i="50" s="1"/>
  <c r="T8" i="50"/>
  <c r="AF7" i="50"/>
  <c r="AF8" i="50" s="1"/>
  <c r="Z7" i="50"/>
  <c r="Z8" i="50" s="1"/>
  <c r="AC7" i="50"/>
  <c r="AC8" i="50" s="1"/>
  <c r="V7" i="50" l="1"/>
  <c r="U7" i="50"/>
  <c r="V9" i="50"/>
  <c r="U9" i="50"/>
  <c r="AD15" i="50"/>
  <c r="AD16" i="50" s="1"/>
  <c r="AG15" i="50"/>
  <c r="AG16" i="50" s="1"/>
  <c r="AJ15" i="50"/>
  <c r="AJ16" i="50" s="1"/>
  <c r="X15" i="50"/>
  <c r="X16" i="50" s="1"/>
  <c r="U16" i="50"/>
  <c r="AA15" i="50"/>
  <c r="AA16" i="50" s="1"/>
  <c r="AD17" i="50"/>
  <c r="AD18" i="50" s="1"/>
  <c r="AG17" i="50"/>
  <c r="AG18" i="50" s="1"/>
  <c r="AJ17" i="50"/>
  <c r="AJ18" i="50" s="1"/>
  <c r="X17" i="50"/>
  <c r="X18" i="50" s="1"/>
  <c r="U18" i="50"/>
  <c r="AA17" i="50"/>
  <c r="AA18" i="50" s="1"/>
  <c r="AH17" i="50"/>
  <c r="AH18" i="50" s="1"/>
  <c r="AK17" i="50"/>
  <c r="AK18" i="50" s="1"/>
  <c r="Y17" i="50"/>
  <c r="Y18" i="50" s="1"/>
  <c r="V18" i="50"/>
  <c r="AB17" i="50"/>
  <c r="AB18" i="50" s="1"/>
  <c r="AE17" i="50"/>
  <c r="AE18" i="50" s="1"/>
  <c r="AE9" i="50" l="1"/>
  <c r="AE10" i="50" s="1"/>
  <c r="AH9" i="50"/>
  <c r="AH10" i="50" s="1"/>
  <c r="AK9" i="50"/>
  <c r="AK10" i="50" s="1"/>
  <c r="Y9" i="50"/>
  <c r="Y10" i="50" s="1"/>
  <c r="V10" i="50"/>
  <c r="AB9" i="50"/>
  <c r="AB10" i="50" s="1"/>
  <c r="U8" i="50"/>
  <c r="AA7" i="50"/>
  <c r="AA8" i="50" s="1"/>
  <c r="AD7" i="50"/>
  <c r="AD8" i="50" s="1"/>
  <c r="AG7" i="50"/>
  <c r="AG8" i="50" s="1"/>
  <c r="AJ7" i="50"/>
  <c r="AJ8" i="50" s="1"/>
  <c r="X7" i="50"/>
  <c r="X8" i="50" s="1"/>
  <c r="AE7" i="50"/>
  <c r="AE8" i="50" s="1"/>
  <c r="Y7" i="50"/>
  <c r="Y8" i="50" s="1"/>
  <c r="V8" i="50"/>
  <c r="AB7" i="50"/>
  <c r="AB8" i="50" s="1"/>
  <c r="AH7" i="50"/>
  <c r="AH8" i="50" s="1"/>
  <c r="AK7" i="50"/>
  <c r="AK8" i="50" s="1"/>
  <c r="U10" i="50"/>
  <c r="AA9" i="50"/>
  <c r="AA10" i="50" s="1"/>
  <c r="AD9" i="50"/>
  <c r="AD10" i="50" s="1"/>
  <c r="AG9" i="50"/>
  <c r="AG10" i="50" s="1"/>
  <c r="AJ9" i="50"/>
  <c r="AJ10" i="50" s="1"/>
  <c r="X9" i="50"/>
  <c r="X10" i="50" s="1"/>
  <c r="R15" i="67" l="1"/>
  <c r="AA15" i="67" s="1"/>
  <c r="AA16" i="67" s="1"/>
  <c r="Q15" i="67"/>
  <c r="Q16" i="67" s="1"/>
  <c r="K15" i="67"/>
  <c r="P15" i="67" s="1"/>
  <c r="N13" i="67"/>
  <c r="J13" i="67"/>
  <c r="P13" i="67" s="1"/>
  <c r="I13" i="67"/>
  <c r="M13" i="67" s="1"/>
  <c r="H13" i="67"/>
  <c r="L13" i="67" s="1"/>
  <c r="G13" i="67"/>
  <c r="O13" i="67" s="1"/>
  <c r="I11" i="67"/>
  <c r="M11" i="67" s="1"/>
  <c r="H11" i="67"/>
  <c r="L11" i="67" s="1"/>
  <c r="G11" i="67"/>
  <c r="K11" i="67" s="1"/>
  <c r="I9" i="67"/>
  <c r="M9" i="67" s="1"/>
  <c r="H9" i="67"/>
  <c r="L9" i="67" s="1"/>
  <c r="G9" i="67"/>
  <c r="N9" i="67" s="1"/>
  <c r="N7" i="67"/>
  <c r="J7" i="67"/>
  <c r="I7" i="67"/>
  <c r="M7" i="67" s="1"/>
  <c r="H7" i="67"/>
  <c r="L7" i="67" s="1"/>
  <c r="G7" i="67"/>
  <c r="O7" i="67" s="1"/>
  <c r="R11" i="67" l="1"/>
  <c r="AE15" i="67"/>
  <c r="AE16" i="67" s="1"/>
  <c r="S15" i="67"/>
  <c r="S16" i="67" s="1"/>
  <c r="P16" i="67"/>
  <c r="Y15" i="67"/>
  <c r="Y16" i="67" s="1"/>
  <c r="AB15" i="67"/>
  <c r="AB16" i="67" s="1"/>
  <c r="V15" i="67"/>
  <c r="V16" i="67" s="1"/>
  <c r="AB13" i="67"/>
  <c r="AB14" i="67" s="1"/>
  <c r="S13" i="67"/>
  <c r="S14" i="67" s="1"/>
  <c r="P14" i="67"/>
  <c r="V13" i="67"/>
  <c r="V14" i="67" s="1"/>
  <c r="Y13" i="67"/>
  <c r="Y14" i="67" s="1"/>
  <c r="AE13" i="67"/>
  <c r="AE14" i="67" s="1"/>
  <c r="P7" i="67"/>
  <c r="O11" i="67"/>
  <c r="K13" i="67"/>
  <c r="K9" i="67"/>
  <c r="O9" i="67"/>
  <c r="J11" i="67"/>
  <c r="N11" i="67"/>
  <c r="Q11" i="67" s="1"/>
  <c r="T15" i="67"/>
  <c r="T16" i="67" s="1"/>
  <c r="X15" i="67"/>
  <c r="X16" i="67" s="1"/>
  <c r="AF15" i="67"/>
  <c r="AF16" i="67" s="1"/>
  <c r="R16" i="67"/>
  <c r="U15" i="67"/>
  <c r="U16" i="67" s="1"/>
  <c r="AC15" i="67"/>
  <c r="AC16" i="67" s="1"/>
  <c r="AG15" i="67"/>
  <c r="AG16" i="67" s="1"/>
  <c r="Z15" i="67"/>
  <c r="Z16" i="67" s="1"/>
  <c r="AD15" i="67"/>
  <c r="AD16" i="67" s="1"/>
  <c r="K7" i="67"/>
  <c r="J9" i="67"/>
  <c r="W15" i="67"/>
  <c r="W16" i="67" s="1"/>
  <c r="AC11" i="67" l="1"/>
  <c r="AC12" i="67" s="1"/>
  <c r="T11" i="67"/>
  <c r="T12" i="67" s="1"/>
  <c r="Q12" i="67"/>
  <c r="W11" i="67"/>
  <c r="W12" i="67" s="1"/>
  <c r="Z11" i="67"/>
  <c r="Z12" i="67" s="1"/>
  <c r="AF11" i="67"/>
  <c r="AF12" i="67" s="1"/>
  <c r="R9" i="67"/>
  <c r="Q9" i="67"/>
  <c r="AG11" i="67"/>
  <c r="AG12" i="67" s="1"/>
  <c r="U11" i="67"/>
  <c r="U12" i="67" s="1"/>
  <c r="R12" i="67"/>
  <c r="X11" i="67"/>
  <c r="X12" i="67" s="1"/>
  <c r="AA11" i="67"/>
  <c r="AA12" i="67" s="1"/>
  <c r="AD11" i="67"/>
  <c r="AD12" i="67" s="1"/>
  <c r="R13" i="67"/>
  <c r="Q13" i="67"/>
  <c r="P9" i="67"/>
  <c r="P11" i="67"/>
  <c r="R7" i="67"/>
  <c r="Q7" i="67"/>
  <c r="AE7" i="67"/>
  <c r="AE8" i="67" s="1"/>
  <c r="S7" i="67"/>
  <c r="S8" i="67" s="1"/>
  <c r="Y7" i="67"/>
  <c r="Y8" i="67" s="1"/>
  <c r="P8" i="67"/>
  <c r="AB7" i="67"/>
  <c r="AB8" i="67" s="1"/>
  <c r="V7" i="67"/>
  <c r="V8" i="67" s="1"/>
  <c r="AA7" i="67" l="1"/>
  <c r="AA8" i="67" s="1"/>
  <c r="R8" i="67"/>
  <c r="X7" i="67"/>
  <c r="X8" i="67" s="1"/>
  <c r="AD7" i="67"/>
  <c r="AD8" i="67" s="1"/>
  <c r="AG7" i="67"/>
  <c r="AG8" i="67" s="1"/>
  <c r="U7" i="67"/>
  <c r="U8" i="67" s="1"/>
  <c r="R14" i="67"/>
  <c r="X13" i="67"/>
  <c r="X14" i="67" s="1"/>
  <c r="AA13" i="67"/>
  <c r="AA14" i="67" s="1"/>
  <c r="AD13" i="67"/>
  <c r="AD14" i="67" s="1"/>
  <c r="AG13" i="67"/>
  <c r="AG14" i="67" s="1"/>
  <c r="U13" i="67"/>
  <c r="U14" i="67" s="1"/>
  <c r="AD9" i="67"/>
  <c r="AD10" i="67" s="1"/>
  <c r="AG9" i="67"/>
  <c r="AG10" i="67" s="1"/>
  <c r="U9" i="67"/>
  <c r="U10" i="67" s="1"/>
  <c r="AA9" i="67"/>
  <c r="AA10" i="67" s="1"/>
  <c r="R10" i="67"/>
  <c r="X9" i="67"/>
  <c r="X10" i="67" s="1"/>
  <c r="Y11" i="67"/>
  <c r="Y12" i="67" s="1"/>
  <c r="AB11" i="67"/>
  <c r="AB12" i="67" s="1"/>
  <c r="AE11" i="67"/>
  <c r="AE12" i="67" s="1"/>
  <c r="S11" i="67"/>
  <c r="S12" i="67" s="1"/>
  <c r="P12" i="67"/>
  <c r="V11" i="67"/>
  <c r="V12" i="67" s="1"/>
  <c r="P10" i="67"/>
  <c r="V9" i="67"/>
  <c r="V10" i="67" s="1"/>
  <c r="AB9" i="67"/>
  <c r="AB10" i="67" s="1"/>
  <c r="AE9" i="67"/>
  <c r="AE10" i="67" s="1"/>
  <c r="S9" i="67"/>
  <c r="S10" i="67" s="1"/>
  <c r="Y9" i="67"/>
  <c r="Y10" i="67" s="1"/>
  <c r="Q8" i="67"/>
  <c r="W7" i="67"/>
  <c r="W8" i="67" s="1"/>
  <c r="Z7" i="67"/>
  <c r="Z8" i="67" s="1"/>
  <c r="AC7" i="67"/>
  <c r="AC8" i="67" s="1"/>
  <c r="AF7" i="67"/>
  <c r="AF8" i="67" s="1"/>
  <c r="T7" i="67"/>
  <c r="T8" i="67" s="1"/>
  <c r="AF13" i="67"/>
  <c r="AF14" i="67" s="1"/>
  <c r="T13" i="67"/>
  <c r="T14" i="67" s="1"/>
  <c r="Q14" i="67"/>
  <c r="Z13" i="67"/>
  <c r="Z14" i="67" s="1"/>
  <c r="AC13" i="67"/>
  <c r="AC14" i="67" s="1"/>
  <c r="W13" i="67"/>
  <c r="W14" i="67" s="1"/>
  <c r="Z9" i="67"/>
  <c r="Z10" i="67" s="1"/>
  <c r="AC9" i="67"/>
  <c r="AC10" i="67" s="1"/>
  <c r="AF9" i="67"/>
  <c r="AF10" i="67" s="1"/>
  <c r="T9" i="67"/>
  <c r="T10" i="67" s="1"/>
  <c r="Q10" i="67"/>
  <c r="W9" i="67"/>
  <c r="W10" i="67" s="1"/>
  <c r="K23" i="62" l="1"/>
  <c r="G23" i="62"/>
  <c r="J23" i="62" s="1"/>
  <c r="V23" i="62" s="1"/>
  <c r="G21" i="62"/>
  <c r="K21" i="62" s="1"/>
  <c r="I19" i="62"/>
  <c r="Q19" i="62" s="1"/>
  <c r="H19" i="62"/>
  <c r="S19" i="62" s="1"/>
  <c r="G19" i="62"/>
  <c r="K19" i="62" s="1"/>
  <c r="J17" i="62"/>
  <c r="I17" i="62"/>
  <c r="Q17" i="62" s="1"/>
  <c r="H17" i="62"/>
  <c r="P17" i="62" s="1"/>
  <c r="G17" i="62"/>
  <c r="O17" i="62" s="1"/>
  <c r="K15" i="62"/>
  <c r="I15" i="62"/>
  <c r="Q15" i="62" s="1"/>
  <c r="H15" i="62"/>
  <c r="P15" i="62" s="1"/>
  <c r="G15" i="62"/>
  <c r="I13" i="62"/>
  <c r="T13" i="62" s="1"/>
  <c r="H13" i="62"/>
  <c r="G13" i="62"/>
  <c r="O13" i="62" s="1"/>
  <c r="I11" i="62"/>
  <c r="H11" i="62"/>
  <c r="P11" i="62" s="1"/>
  <c r="G11" i="62"/>
  <c r="K11" i="62" s="1"/>
  <c r="I9" i="62"/>
  <c r="T9" i="62" s="1"/>
  <c r="H9" i="62"/>
  <c r="R9" i="62" s="1"/>
  <c r="G9" i="62"/>
  <c r="L9" i="62" s="1"/>
  <c r="I7" i="62"/>
  <c r="T7" i="62" s="1"/>
  <c r="H7" i="62"/>
  <c r="R7" i="62" s="1"/>
  <c r="G7" i="62"/>
  <c r="N7" i="62" s="1"/>
  <c r="Q7" i="62" l="1"/>
  <c r="R11" i="62"/>
  <c r="L13" i="62"/>
  <c r="R15" i="62"/>
  <c r="N17" i="62"/>
  <c r="J9" i="62"/>
  <c r="Q13" i="62"/>
  <c r="S15" i="62"/>
  <c r="P19" i="62"/>
  <c r="J21" i="62"/>
  <c r="U21" i="62" s="1"/>
  <c r="P9" i="62"/>
  <c r="T15" i="62"/>
  <c r="R19" i="62"/>
  <c r="P7" i="62"/>
  <c r="Q9" i="62"/>
  <c r="N11" i="62"/>
  <c r="L17" i="62"/>
  <c r="T19" i="62"/>
  <c r="V24" i="62"/>
  <c r="AB23" i="62"/>
  <c r="AB24" i="62" s="1"/>
  <c r="AE23" i="62"/>
  <c r="AE24" i="62" s="1"/>
  <c r="AK23" i="62"/>
  <c r="AK24" i="62" s="1"/>
  <c r="Y23" i="62"/>
  <c r="Y24" i="62" s="1"/>
  <c r="AH23" i="62"/>
  <c r="AH24" i="62" s="1"/>
  <c r="L7" i="62"/>
  <c r="N15" i="62"/>
  <c r="M15" i="62"/>
  <c r="M17" i="62"/>
  <c r="O15" i="62"/>
  <c r="J15" i="62"/>
  <c r="W21" i="62"/>
  <c r="J7" i="62"/>
  <c r="O7" i="62"/>
  <c r="S7" i="62"/>
  <c r="O9" i="62"/>
  <c r="S9" i="62"/>
  <c r="S13" i="62"/>
  <c r="R13" i="62"/>
  <c r="P13" i="62"/>
  <c r="K7" i="62"/>
  <c r="W23" i="62"/>
  <c r="U23" i="62"/>
  <c r="K9" i="62"/>
  <c r="V9" i="62" s="1"/>
  <c r="N19" i="62"/>
  <c r="L19" i="62"/>
  <c r="O19" i="62"/>
  <c r="J19" i="62"/>
  <c r="T11" i="62"/>
  <c r="Q11" i="62"/>
  <c r="L11" i="62"/>
  <c r="K13" i="62"/>
  <c r="J11" i="62"/>
  <c r="O11" i="62"/>
  <c r="S11" i="62"/>
  <c r="N13" i="62"/>
  <c r="K17" i="62"/>
  <c r="U17" i="62" s="1"/>
  <c r="V21" i="62"/>
  <c r="J13" i="62"/>
  <c r="AJ21" i="62" l="1"/>
  <c r="AJ22" i="62" s="1"/>
  <c r="U22" i="62"/>
  <c r="X21" i="62"/>
  <c r="X22" i="62" s="1"/>
  <c r="AA21" i="62"/>
  <c r="AA22" i="62" s="1"/>
  <c r="AG21" i="62"/>
  <c r="AG22" i="62" s="1"/>
  <c r="AD21" i="62"/>
  <c r="AD22" i="62" s="1"/>
  <c r="W17" i="62"/>
  <c r="U9" i="62"/>
  <c r="X9" i="62" s="1"/>
  <c r="X10" i="62" s="1"/>
  <c r="V17" i="62"/>
  <c r="W9" i="62"/>
  <c r="W10" i="62"/>
  <c r="AF9" i="62"/>
  <c r="AF10" i="62" s="1"/>
  <c r="AL9" i="62"/>
  <c r="AL10" i="62" s="1"/>
  <c r="AI9" i="62"/>
  <c r="AI10" i="62" s="1"/>
  <c r="AC9" i="62"/>
  <c r="AC10" i="62" s="1"/>
  <c r="Z9" i="62"/>
  <c r="Z10" i="62" s="1"/>
  <c r="AK9" i="62"/>
  <c r="AK10" i="62" s="1"/>
  <c r="V10" i="62"/>
  <c r="AB9" i="62"/>
  <c r="AB10" i="62" s="1"/>
  <c r="AH9" i="62"/>
  <c r="AH10" i="62" s="1"/>
  <c r="AE9" i="62"/>
  <c r="AE10" i="62" s="1"/>
  <c r="Y9" i="62"/>
  <c r="Y10" i="62" s="1"/>
  <c r="AI17" i="62"/>
  <c r="AI18" i="62" s="1"/>
  <c r="AL17" i="62"/>
  <c r="AL18" i="62" s="1"/>
  <c r="Z17" i="62"/>
  <c r="Z18" i="62" s="1"/>
  <c r="AF17" i="62"/>
  <c r="AF18" i="62" s="1"/>
  <c r="AC17" i="62"/>
  <c r="AC18" i="62" s="1"/>
  <c r="W18" i="62"/>
  <c r="W13" i="62"/>
  <c r="V13" i="62"/>
  <c r="U13" i="62"/>
  <c r="AJ9" i="62"/>
  <c r="AJ10" i="62" s="1"/>
  <c r="AD9" i="62"/>
  <c r="AD10" i="62" s="1"/>
  <c r="U18" i="62"/>
  <c r="AA17" i="62"/>
  <c r="AA18" i="62" s="1"/>
  <c r="AD17" i="62"/>
  <c r="AD18" i="62" s="1"/>
  <c r="AJ17" i="62"/>
  <c r="AJ18" i="62" s="1"/>
  <c r="X17" i="62"/>
  <c r="X18" i="62" s="1"/>
  <c r="AG17" i="62"/>
  <c r="AG18" i="62" s="1"/>
  <c r="W11" i="62"/>
  <c r="U11" i="62"/>
  <c r="V11" i="62"/>
  <c r="V7" i="62"/>
  <c r="W7" i="62"/>
  <c r="U7" i="62"/>
  <c r="V15" i="62"/>
  <c r="U15" i="62"/>
  <c r="W15" i="62"/>
  <c r="V19" i="62"/>
  <c r="U19" i="62"/>
  <c r="W19" i="62"/>
  <c r="AI21" i="62"/>
  <c r="AI22" i="62" s="1"/>
  <c r="AL21" i="62"/>
  <c r="AL22" i="62" s="1"/>
  <c r="Z21" i="62"/>
  <c r="Z22" i="62" s="1"/>
  <c r="AF21" i="62"/>
  <c r="AF22" i="62" s="1"/>
  <c r="AC21" i="62"/>
  <c r="AC22" i="62" s="1"/>
  <c r="W22" i="62"/>
  <c r="AJ23" i="62"/>
  <c r="AJ24" i="62" s="1"/>
  <c r="X23" i="62"/>
  <c r="X24" i="62" s="1"/>
  <c r="U24" i="62"/>
  <c r="AA23" i="62"/>
  <c r="AA24" i="62" s="1"/>
  <c r="AG23" i="62"/>
  <c r="AG24" i="62" s="1"/>
  <c r="AD23" i="62"/>
  <c r="AD24" i="62" s="1"/>
  <c r="AE17" i="62"/>
  <c r="AE18" i="62" s="1"/>
  <c r="AH17" i="62"/>
  <c r="AH18" i="62" s="1"/>
  <c r="V18" i="62"/>
  <c r="AB17" i="62"/>
  <c r="AB18" i="62" s="1"/>
  <c r="Y17" i="62"/>
  <c r="Y18" i="62" s="1"/>
  <c r="AK17" i="62"/>
  <c r="AK18" i="62" s="1"/>
  <c r="AE21" i="62"/>
  <c r="AE22" i="62" s="1"/>
  <c r="AH21" i="62"/>
  <c r="AH22" i="62" s="1"/>
  <c r="V22" i="62"/>
  <c r="AB21" i="62"/>
  <c r="AB22" i="62" s="1"/>
  <c r="AK21" i="62"/>
  <c r="AK22" i="62" s="1"/>
  <c r="Y21" i="62"/>
  <c r="Y22" i="62" s="1"/>
  <c r="AF23" i="62"/>
  <c r="AF24" i="62" s="1"/>
  <c r="AI23" i="62"/>
  <c r="AI24" i="62" s="1"/>
  <c r="W24" i="62"/>
  <c r="AC23" i="62"/>
  <c r="AC24" i="62" s="1"/>
  <c r="Z23" i="62"/>
  <c r="Z24" i="62" s="1"/>
  <c r="AL23" i="62"/>
  <c r="AL24" i="62" s="1"/>
  <c r="U10" i="62" l="1"/>
  <c r="AA9" i="62"/>
  <c r="AA10" i="62" s="1"/>
  <c r="AG9" i="62"/>
  <c r="AG10" i="62" s="1"/>
  <c r="AH19" i="62"/>
  <c r="AH20" i="62" s="1"/>
  <c r="AK19" i="62"/>
  <c r="AK20" i="62" s="1"/>
  <c r="Y19" i="62"/>
  <c r="Y20" i="62" s="1"/>
  <c r="AE19" i="62"/>
  <c r="AE20" i="62" s="1"/>
  <c r="AB19" i="62"/>
  <c r="AB20" i="62" s="1"/>
  <c r="V20" i="62"/>
  <c r="AJ11" i="62"/>
  <c r="AJ12" i="62" s="1"/>
  <c r="X11" i="62"/>
  <c r="X12" i="62" s="1"/>
  <c r="U12" i="62"/>
  <c r="AA11" i="62"/>
  <c r="AA12" i="62" s="1"/>
  <c r="AG11" i="62"/>
  <c r="AG12" i="62" s="1"/>
  <c r="AD11" i="62"/>
  <c r="AD12" i="62" s="1"/>
  <c r="AL15" i="62"/>
  <c r="AL16" i="62" s="1"/>
  <c r="Z15" i="62"/>
  <c r="Z16" i="62" s="1"/>
  <c r="W16" i="62"/>
  <c r="AC15" i="62"/>
  <c r="AC16" i="62" s="1"/>
  <c r="AI15" i="62"/>
  <c r="AI16" i="62" s="1"/>
  <c r="AF15" i="62"/>
  <c r="AF16" i="62" s="1"/>
  <c r="AL19" i="62"/>
  <c r="AL20" i="62" s="1"/>
  <c r="Z19" i="62"/>
  <c r="Z20" i="62" s="1"/>
  <c r="W20" i="62"/>
  <c r="AC19" i="62"/>
  <c r="AC20" i="62" s="1"/>
  <c r="AI19" i="62"/>
  <c r="AI20" i="62" s="1"/>
  <c r="AF19" i="62"/>
  <c r="AF20" i="62" s="1"/>
  <c r="AD15" i="62"/>
  <c r="AD16" i="62" s="1"/>
  <c r="AG15" i="62"/>
  <c r="AG16" i="62" s="1"/>
  <c r="U16" i="62"/>
  <c r="AA15" i="62"/>
  <c r="AA16" i="62" s="1"/>
  <c r="X15" i="62"/>
  <c r="X16" i="62" s="1"/>
  <c r="AJ15" i="62"/>
  <c r="AJ16" i="62" s="1"/>
  <c r="AH7" i="62"/>
  <c r="AH8" i="62" s="1"/>
  <c r="Y7" i="62"/>
  <c r="Y8" i="62" s="1"/>
  <c r="AE7" i="62"/>
  <c r="AE8" i="62" s="1"/>
  <c r="AK7" i="62"/>
  <c r="AK8" i="62" s="1"/>
  <c r="V8" i="62"/>
  <c r="AB7" i="62"/>
  <c r="AB8" i="62" s="1"/>
  <c r="U14" i="62"/>
  <c r="AA13" i="62"/>
  <c r="AA14" i="62" s="1"/>
  <c r="AD13" i="62"/>
  <c r="AD14" i="62" s="1"/>
  <c r="AJ13" i="62"/>
  <c r="AJ14" i="62" s="1"/>
  <c r="X13" i="62"/>
  <c r="X14" i="62" s="1"/>
  <c r="AG13" i="62"/>
  <c r="AG14" i="62" s="1"/>
  <c r="AD19" i="62"/>
  <c r="AD20" i="62" s="1"/>
  <c r="AG19" i="62"/>
  <c r="AG20" i="62" s="1"/>
  <c r="U20" i="62"/>
  <c r="AA19" i="62"/>
  <c r="AA20" i="62" s="1"/>
  <c r="AJ19" i="62"/>
  <c r="AJ20" i="62" s="1"/>
  <c r="X19" i="62"/>
  <c r="X20" i="62" s="1"/>
  <c r="AH15" i="62"/>
  <c r="AH16" i="62" s="1"/>
  <c r="AK15" i="62"/>
  <c r="AK16" i="62" s="1"/>
  <c r="Y15" i="62"/>
  <c r="Y16" i="62" s="1"/>
  <c r="AE15" i="62"/>
  <c r="AE16" i="62" s="1"/>
  <c r="V16" i="62"/>
  <c r="AB15" i="62"/>
  <c r="AB16" i="62" s="1"/>
  <c r="V12" i="62"/>
  <c r="AB11" i="62"/>
  <c r="AB12" i="62" s="1"/>
  <c r="AE11" i="62"/>
  <c r="AE12" i="62" s="1"/>
  <c r="AK11" i="62"/>
  <c r="AK12" i="62" s="1"/>
  <c r="Y11" i="62"/>
  <c r="Y12" i="62" s="1"/>
  <c r="AH11" i="62"/>
  <c r="AH12" i="62" s="1"/>
  <c r="AE13" i="62"/>
  <c r="AE14" i="62" s="1"/>
  <c r="AH13" i="62"/>
  <c r="AH14" i="62" s="1"/>
  <c r="V14" i="62"/>
  <c r="AB13" i="62"/>
  <c r="AB14" i="62" s="1"/>
  <c r="Y13" i="62"/>
  <c r="Y14" i="62" s="1"/>
  <c r="AK13" i="62"/>
  <c r="AK14" i="62" s="1"/>
  <c r="AI13" i="62"/>
  <c r="AI14" i="62" s="1"/>
  <c r="AL13" i="62"/>
  <c r="AL14" i="62" s="1"/>
  <c r="Z13" i="62"/>
  <c r="Z14" i="62" s="1"/>
  <c r="AF13" i="62"/>
  <c r="AF14" i="62" s="1"/>
  <c r="AC13" i="62"/>
  <c r="AC14" i="62" s="1"/>
  <c r="W14" i="62"/>
  <c r="AD7" i="62"/>
  <c r="AD8" i="62" s="1"/>
  <c r="AG7" i="62"/>
  <c r="AG8" i="62" s="1"/>
  <c r="X7" i="62"/>
  <c r="X8" i="62" s="1"/>
  <c r="AJ7" i="62"/>
  <c r="AJ8" i="62" s="1"/>
  <c r="U8" i="62"/>
  <c r="AA7" i="62"/>
  <c r="AA8" i="62" s="1"/>
  <c r="AL7" i="62"/>
  <c r="AL8" i="62" s="1"/>
  <c r="Z7" i="62"/>
  <c r="Z8" i="62" s="1"/>
  <c r="W8" i="62"/>
  <c r="AF7" i="62"/>
  <c r="AF8" i="62" s="1"/>
  <c r="AI7" i="62"/>
  <c r="AI8" i="62" s="1"/>
  <c r="AC7" i="62"/>
  <c r="AC8" i="62" s="1"/>
  <c r="AF11" i="62"/>
  <c r="AF12" i="62" s="1"/>
  <c r="AI11" i="62"/>
  <c r="AI12" i="62" s="1"/>
  <c r="W12" i="62"/>
  <c r="AC11" i="62"/>
  <c r="AC12" i="62" s="1"/>
  <c r="Z11" i="62"/>
  <c r="Z12" i="62" s="1"/>
  <c r="AL11" i="62"/>
  <c r="AL12" i="62" s="1"/>
  <c r="H31" i="87" l="1"/>
  <c r="F31" i="87"/>
  <c r="F29" i="87"/>
  <c r="H27" i="87"/>
  <c r="F27" i="87"/>
  <c r="I27" i="87" s="1"/>
  <c r="F25" i="87"/>
  <c r="J25" i="87" s="1"/>
  <c r="H23" i="87"/>
  <c r="F23" i="87"/>
  <c r="I23" i="87" s="1"/>
  <c r="F21" i="87"/>
  <c r="J21" i="87" s="1"/>
  <c r="H19" i="87"/>
  <c r="F19" i="87"/>
  <c r="I19" i="87" s="1"/>
  <c r="F17" i="87"/>
  <c r="H17" i="87" s="1"/>
  <c r="F15" i="87"/>
  <c r="I13" i="87"/>
  <c r="H13" i="87"/>
  <c r="F13" i="87"/>
  <c r="K13" i="87" s="1"/>
  <c r="F11" i="87"/>
  <c r="I9" i="87"/>
  <c r="H9" i="87"/>
  <c r="F9" i="87"/>
  <c r="K9" i="87" s="1"/>
  <c r="G8" i="87"/>
  <c r="G31" i="87" s="1"/>
  <c r="N31" i="87" l="1"/>
  <c r="M31" i="87"/>
  <c r="H15" i="87"/>
  <c r="K15" i="87"/>
  <c r="G15" i="87"/>
  <c r="M15" i="87" s="1"/>
  <c r="I15" i="87"/>
  <c r="H11" i="87"/>
  <c r="K11" i="87"/>
  <c r="I11" i="87"/>
  <c r="G11" i="87"/>
  <c r="M11" i="87" s="1"/>
  <c r="J15" i="87"/>
  <c r="J11" i="87"/>
  <c r="J9" i="87"/>
  <c r="N9" i="87" s="1"/>
  <c r="J13" i="87"/>
  <c r="N13" i="87" s="1"/>
  <c r="G9" i="87"/>
  <c r="G13" i="87"/>
  <c r="M13" i="87" s="1"/>
  <c r="K17" i="87"/>
  <c r="G17" i="87"/>
  <c r="I17" i="87"/>
  <c r="N17" i="87" s="1"/>
  <c r="K25" i="87"/>
  <c r="G25" i="87"/>
  <c r="I25" i="87"/>
  <c r="H25" i="87"/>
  <c r="G29" i="87"/>
  <c r="L19" i="87"/>
  <c r="J17" i="87"/>
  <c r="K21" i="87"/>
  <c r="G21" i="87"/>
  <c r="M21" i="87" s="1"/>
  <c r="I21" i="87"/>
  <c r="H21" i="87"/>
  <c r="L31" i="87"/>
  <c r="J19" i="87"/>
  <c r="N19" i="87" s="1"/>
  <c r="J23" i="87"/>
  <c r="N23" i="87" s="1"/>
  <c r="J27" i="87"/>
  <c r="H29" i="87"/>
  <c r="G19" i="87"/>
  <c r="M19" i="87" s="1"/>
  <c r="K19" i="87"/>
  <c r="G23" i="87"/>
  <c r="M23" i="87" s="1"/>
  <c r="K23" i="87"/>
  <c r="G27" i="87"/>
  <c r="M27" i="87" s="1"/>
  <c r="K27" i="87"/>
  <c r="N27" i="87" s="1"/>
  <c r="S31" i="78"/>
  <c r="T31" i="78" s="1"/>
  <c r="G29" i="78"/>
  <c r="H29" i="78" s="1"/>
  <c r="H27" i="78"/>
  <c r="G27" i="78"/>
  <c r="I27" i="78" s="1"/>
  <c r="M25" i="78"/>
  <c r="K25" i="78"/>
  <c r="O25" i="78" s="1"/>
  <c r="I25" i="78"/>
  <c r="L25" i="78" s="1"/>
  <c r="H25" i="78"/>
  <c r="G25" i="78"/>
  <c r="Q25" i="78" s="1"/>
  <c r="K23" i="78"/>
  <c r="G23" i="78"/>
  <c r="P23" i="78" s="1"/>
  <c r="K21" i="78"/>
  <c r="J21" i="78"/>
  <c r="G21" i="78"/>
  <c r="R19" i="78"/>
  <c r="J19" i="78"/>
  <c r="I19" i="78"/>
  <c r="H19" i="78"/>
  <c r="G19" i="78"/>
  <c r="K19" i="78" s="1"/>
  <c r="N17" i="78"/>
  <c r="J17" i="78"/>
  <c r="O17" i="78" s="1"/>
  <c r="I17" i="78"/>
  <c r="L17" i="78" s="1"/>
  <c r="G17" i="78"/>
  <c r="K17" i="78" s="1"/>
  <c r="R15" i="78"/>
  <c r="Q15" i="78"/>
  <c r="L15" i="78"/>
  <c r="J15" i="78"/>
  <c r="I15" i="78"/>
  <c r="N15" i="78" s="1"/>
  <c r="H15" i="78"/>
  <c r="G15" i="78"/>
  <c r="K15" i="78" s="1"/>
  <c r="M15" i="78" s="1"/>
  <c r="Q13" i="78"/>
  <c r="K13" i="78"/>
  <c r="I13" i="78"/>
  <c r="N13" i="78" s="1"/>
  <c r="H13" i="78"/>
  <c r="G13" i="78"/>
  <c r="G11" i="78"/>
  <c r="Q11" i="78" s="1"/>
  <c r="Q9" i="78"/>
  <c r="L9" i="78"/>
  <c r="J9" i="78"/>
  <c r="O9" i="78" s="1"/>
  <c r="I9" i="78"/>
  <c r="N9" i="78" s="1"/>
  <c r="H9" i="78"/>
  <c r="G9" i="78"/>
  <c r="K9" i="78" s="1"/>
  <c r="Q7" i="78"/>
  <c r="L7" i="78"/>
  <c r="J7" i="78"/>
  <c r="O7" i="78" s="1"/>
  <c r="I7" i="78"/>
  <c r="N7" i="78" s="1"/>
  <c r="H7" i="78"/>
  <c r="U7" i="78" s="1"/>
  <c r="G7" i="78"/>
  <c r="K7" i="78" s="1"/>
  <c r="M7" i="78" s="1"/>
  <c r="M55" i="60"/>
  <c r="L55" i="60"/>
  <c r="K55" i="60"/>
  <c r="J55" i="60"/>
  <c r="G55" i="60"/>
  <c r="I55" i="60" s="1"/>
  <c r="P55" i="60" s="1"/>
  <c r="N53" i="60"/>
  <c r="W53" i="60" s="1"/>
  <c r="W54" i="60" s="1"/>
  <c r="M53" i="60"/>
  <c r="L53" i="60"/>
  <c r="K53" i="60"/>
  <c r="J53" i="60"/>
  <c r="G53" i="60"/>
  <c r="O53" i="60" s="1"/>
  <c r="E52" i="60"/>
  <c r="D52" i="60"/>
  <c r="C52" i="60"/>
  <c r="K51" i="60"/>
  <c r="J51" i="60"/>
  <c r="G51" i="60"/>
  <c r="N51" i="60" s="1"/>
  <c r="N50" i="60"/>
  <c r="E50" i="60"/>
  <c r="K49" i="60" s="1"/>
  <c r="D50" i="60"/>
  <c r="C50" i="60"/>
  <c r="X49" i="60"/>
  <c r="X50" i="60" s="1"/>
  <c r="W49" i="60"/>
  <c r="W50" i="60" s="1"/>
  <c r="T49" i="60"/>
  <c r="T50" i="60" s="1"/>
  <c r="O49" i="60"/>
  <c r="O50" i="60" s="1"/>
  <c r="N49" i="60"/>
  <c r="Z49" i="60" s="1"/>
  <c r="Z50" i="60" s="1"/>
  <c r="J49" i="60"/>
  <c r="P49" i="60" s="1"/>
  <c r="I49" i="60"/>
  <c r="H49" i="60"/>
  <c r="G49" i="60"/>
  <c r="E48" i="60"/>
  <c r="D48" i="60"/>
  <c r="C48" i="60"/>
  <c r="G47" i="60" s="1"/>
  <c r="K47" i="60"/>
  <c r="J47" i="60"/>
  <c r="E46" i="60"/>
  <c r="D46" i="60"/>
  <c r="C46" i="60"/>
  <c r="G45" i="60" s="1"/>
  <c r="K45" i="60"/>
  <c r="J45" i="60"/>
  <c r="E44" i="60"/>
  <c r="D44" i="60"/>
  <c r="C44" i="60"/>
  <c r="G43" i="60" s="1"/>
  <c r="K43" i="60"/>
  <c r="J43" i="60"/>
  <c r="E42" i="60"/>
  <c r="D42" i="60"/>
  <c r="C42" i="60"/>
  <c r="G41" i="60" s="1"/>
  <c r="K41" i="60"/>
  <c r="J41" i="60"/>
  <c r="E40" i="60"/>
  <c r="D40" i="60"/>
  <c r="C40" i="60"/>
  <c r="G39" i="60" s="1"/>
  <c r="K39" i="60"/>
  <c r="J39" i="60"/>
  <c r="E38" i="60"/>
  <c r="D38" i="60"/>
  <c r="C38" i="60"/>
  <c r="G37" i="60" s="1"/>
  <c r="K37" i="60"/>
  <c r="J37" i="60"/>
  <c r="E36" i="60"/>
  <c r="D36" i="60"/>
  <c r="C36" i="60"/>
  <c r="G35" i="60" s="1"/>
  <c r="K35" i="60"/>
  <c r="J35" i="60"/>
  <c r="E34" i="60"/>
  <c r="D34" i="60"/>
  <c r="C34" i="60"/>
  <c r="G33" i="60" s="1"/>
  <c r="K33" i="60"/>
  <c r="J33" i="60"/>
  <c r="E32" i="60"/>
  <c r="D32" i="60"/>
  <c r="C32" i="60"/>
  <c r="G31" i="60" s="1"/>
  <c r="K31" i="60"/>
  <c r="J31" i="60"/>
  <c r="E30" i="60"/>
  <c r="D30" i="60"/>
  <c r="C30" i="60"/>
  <c r="G29" i="60" s="1"/>
  <c r="K29" i="60"/>
  <c r="J29" i="60"/>
  <c r="E28" i="60"/>
  <c r="D28" i="60"/>
  <c r="C28" i="60"/>
  <c r="G27" i="60" s="1"/>
  <c r="K27" i="60"/>
  <c r="J27" i="60"/>
  <c r="E26" i="60"/>
  <c r="K25" i="60" s="1"/>
  <c r="D26" i="60"/>
  <c r="C26" i="60"/>
  <c r="G25" i="60" s="1"/>
  <c r="J25" i="60"/>
  <c r="E24" i="60"/>
  <c r="K23" i="60" s="1"/>
  <c r="D24" i="60"/>
  <c r="C24" i="60"/>
  <c r="G23" i="60" s="1"/>
  <c r="J23" i="60"/>
  <c r="E22" i="60"/>
  <c r="D22" i="60"/>
  <c r="C22" i="60"/>
  <c r="G21" i="60" s="1"/>
  <c r="K21" i="60"/>
  <c r="J21" i="60"/>
  <c r="E20" i="60"/>
  <c r="K19" i="60" s="1"/>
  <c r="D20" i="60"/>
  <c r="C20" i="60"/>
  <c r="G19" i="60" s="1"/>
  <c r="J19" i="60"/>
  <c r="E18" i="60"/>
  <c r="D18" i="60"/>
  <c r="C18" i="60"/>
  <c r="G17" i="60" s="1"/>
  <c r="K17" i="60"/>
  <c r="J17" i="60"/>
  <c r="E16" i="60"/>
  <c r="K15" i="60" s="1"/>
  <c r="D16" i="60"/>
  <c r="C16" i="60"/>
  <c r="G15" i="60" s="1"/>
  <c r="J15" i="60"/>
  <c r="E14" i="60"/>
  <c r="K13" i="60" s="1"/>
  <c r="D14" i="60"/>
  <c r="C14" i="60"/>
  <c r="G13" i="60" s="1"/>
  <c r="J13" i="60"/>
  <c r="E12" i="60"/>
  <c r="M11" i="60" s="1"/>
  <c r="D12" i="60"/>
  <c r="C12" i="60"/>
  <c r="G11" i="60" s="1"/>
  <c r="L11" i="60"/>
  <c r="K11" i="60"/>
  <c r="J11" i="60"/>
  <c r="H11" i="60"/>
  <c r="E10" i="60"/>
  <c r="L9" i="60" s="1"/>
  <c r="D10" i="60"/>
  <c r="J9" i="60" s="1"/>
  <c r="C10" i="60"/>
  <c r="AC9" i="60"/>
  <c r="AC10" i="60" s="1"/>
  <c r="Q9" i="60"/>
  <c r="Q10" i="60" s="1"/>
  <c r="N9" i="60"/>
  <c r="N10" i="60" s="1"/>
  <c r="M9" i="60"/>
  <c r="I9" i="60"/>
  <c r="H9" i="60"/>
  <c r="G9" i="60"/>
  <c r="O9" i="60" s="1"/>
  <c r="E8" i="60"/>
  <c r="D8" i="60"/>
  <c r="C8" i="60"/>
  <c r="G7" i="60" s="1"/>
  <c r="K7" i="60"/>
  <c r="J7" i="60"/>
  <c r="E6" i="60"/>
  <c r="D6" i="60"/>
  <c r="C6" i="60"/>
  <c r="G5" i="60" s="1"/>
  <c r="K5" i="60"/>
  <c r="J5" i="60"/>
  <c r="H5" i="60"/>
  <c r="Z9" i="87" l="1"/>
  <c r="Z10" i="87" s="1"/>
  <c r="AC9" i="87"/>
  <c r="AC10" i="87" s="1"/>
  <c r="W9" i="87"/>
  <c r="W10" i="87" s="1"/>
  <c r="Q9" i="87"/>
  <c r="Q10" i="87" s="1"/>
  <c r="N10" i="87"/>
  <c r="T9" i="87"/>
  <c r="T10" i="87" s="1"/>
  <c r="AC19" i="87"/>
  <c r="AC20" i="87" s="1"/>
  <c r="Q19" i="87"/>
  <c r="Q20" i="87" s="1"/>
  <c r="W19" i="87"/>
  <c r="W20" i="87" s="1"/>
  <c r="Z19" i="87"/>
  <c r="Z20" i="87" s="1"/>
  <c r="N20" i="87"/>
  <c r="T19" i="87"/>
  <c r="T20" i="87" s="1"/>
  <c r="AC27" i="87"/>
  <c r="AC28" i="87" s="1"/>
  <c r="Q27" i="87"/>
  <c r="Q28" i="87" s="1"/>
  <c r="N28" i="87"/>
  <c r="W27" i="87"/>
  <c r="W28" i="87" s="1"/>
  <c r="Z27" i="87"/>
  <c r="Z28" i="87" s="1"/>
  <c r="T27" i="87"/>
  <c r="T28" i="87" s="1"/>
  <c r="W17" i="87"/>
  <c r="W18" i="87" s="1"/>
  <c r="AC17" i="87"/>
  <c r="AC18" i="87" s="1"/>
  <c r="Q17" i="87"/>
  <c r="Q18" i="87" s="1"/>
  <c r="N18" i="87"/>
  <c r="Z17" i="87"/>
  <c r="Z18" i="87" s="1"/>
  <c r="T17" i="87"/>
  <c r="T18" i="87" s="1"/>
  <c r="Z13" i="87"/>
  <c r="Z14" i="87" s="1"/>
  <c r="Q13" i="87"/>
  <c r="Q14" i="87" s="1"/>
  <c r="AC13" i="87"/>
  <c r="AC14" i="87" s="1"/>
  <c r="W13" i="87"/>
  <c r="W14" i="87" s="1"/>
  <c r="T13" i="87"/>
  <c r="T14" i="87" s="1"/>
  <c r="N14" i="87"/>
  <c r="AC23" i="87"/>
  <c r="AC24" i="87" s="1"/>
  <c r="Q23" i="87"/>
  <c r="Q24" i="87" s="1"/>
  <c r="W23" i="87"/>
  <c r="W24" i="87" s="1"/>
  <c r="Z23" i="87"/>
  <c r="Z24" i="87" s="1"/>
  <c r="T23" i="87"/>
  <c r="T24" i="87" s="1"/>
  <c r="N24" i="87"/>
  <c r="Y23" i="87"/>
  <c r="Y24" i="87" s="1"/>
  <c r="M24" i="87"/>
  <c r="S23" i="87"/>
  <c r="S24" i="87" s="1"/>
  <c r="V23" i="87"/>
  <c r="V24" i="87" s="1"/>
  <c r="P23" i="87"/>
  <c r="P24" i="87" s="1"/>
  <c r="AB23" i="87"/>
  <c r="AB24" i="87" s="1"/>
  <c r="M29" i="87"/>
  <c r="M25" i="87"/>
  <c r="M17" i="87"/>
  <c r="L13" i="87"/>
  <c r="L11" i="87"/>
  <c r="N11" i="87"/>
  <c r="L21" i="87"/>
  <c r="N21" i="87"/>
  <c r="AB11" i="87"/>
  <c r="AB12" i="87" s="1"/>
  <c r="P11" i="87"/>
  <c r="P12" i="87" s="1"/>
  <c r="M12" i="87"/>
  <c r="S11" i="87"/>
  <c r="S12" i="87" s="1"/>
  <c r="Y11" i="87"/>
  <c r="Y12" i="87" s="1"/>
  <c r="V11" i="87"/>
  <c r="V12" i="87" s="1"/>
  <c r="L23" i="87"/>
  <c r="L15" i="87"/>
  <c r="N15" i="87"/>
  <c r="Y27" i="87"/>
  <c r="Y28" i="87" s="1"/>
  <c r="AB27" i="87"/>
  <c r="AB28" i="87" s="1"/>
  <c r="M28" i="87"/>
  <c r="S27" i="87"/>
  <c r="S28" i="87" s="1"/>
  <c r="V27" i="87"/>
  <c r="V28" i="87" s="1"/>
  <c r="P27" i="87"/>
  <c r="P28" i="87" s="1"/>
  <c r="Y19" i="87"/>
  <c r="Y20" i="87" s="1"/>
  <c r="M20" i="87"/>
  <c r="S19" i="87"/>
  <c r="S20" i="87" s="1"/>
  <c r="V19" i="87"/>
  <c r="V20" i="87" s="1"/>
  <c r="P19" i="87"/>
  <c r="P20" i="87" s="1"/>
  <c r="AB19" i="87"/>
  <c r="AB20" i="87" s="1"/>
  <c r="L27" i="87"/>
  <c r="L25" i="87"/>
  <c r="N25" i="87"/>
  <c r="Y13" i="87"/>
  <c r="Y14" i="87" s="1"/>
  <c r="M14" i="87"/>
  <c r="S13" i="87"/>
  <c r="S14" i="87" s="1"/>
  <c r="V13" i="87"/>
  <c r="V14" i="87" s="1"/>
  <c r="AB13" i="87"/>
  <c r="AB14" i="87" s="1"/>
  <c r="P13" i="87"/>
  <c r="P14" i="87" s="1"/>
  <c r="L17" i="87"/>
  <c r="M32" i="87"/>
  <c r="S31" i="87"/>
  <c r="S32" i="87" s="1"/>
  <c r="V31" i="87"/>
  <c r="V32" i="87" s="1"/>
  <c r="Y31" i="87"/>
  <c r="Y32" i="87" s="1"/>
  <c r="AB31" i="87"/>
  <c r="AB32" i="87" s="1"/>
  <c r="P31" i="87"/>
  <c r="P32" i="87" s="1"/>
  <c r="N29" i="87"/>
  <c r="L29" i="87"/>
  <c r="AA31" i="87"/>
  <c r="AA32" i="87" s="1"/>
  <c r="O31" i="87"/>
  <c r="O32" i="87" s="1"/>
  <c r="L32" i="87"/>
  <c r="R31" i="87"/>
  <c r="R32" i="87" s="1"/>
  <c r="U31" i="87"/>
  <c r="U32" i="87" s="1"/>
  <c r="X31" i="87"/>
  <c r="X32" i="87" s="1"/>
  <c r="M22" i="87"/>
  <c r="S21" i="87"/>
  <c r="S22" i="87" s="1"/>
  <c r="Y21" i="87"/>
  <c r="Y22" i="87" s="1"/>
  <c r="AB21" i="87"/>
  <c r="AB22" i="87" s="1"/>
  <c r="P21" i="87"/>
  <c r="P22" i="87" s="1"/>
  <c r="V21" i="87"/>
  <c r="V22" i="87" s="1"/>
  <c r="U19" i="87"/>
  <c r="U20" i="87" s="1"/>
  <c r="AA19" i="87"/>
  <c r="AA20" i="87" s="1"/>
  <c r="O19" i="87"/>
  <c r="O20" i="87" s="1"/>
  <c r="L20" i="87"/>
  <c r="R19" i="87"/>
  <c r="R20" i="87" s="1"/>
  <c r="X19" i="87"/>
  <c r="X20" i="87" s="1"/>
  <c r="M9" i="87"/>
  <c r="L9" i="87"/>
  <c r="AB15" i="87"/>
  <c r="AB16" i="87" s="1"/>
  <c r="P15" i="87"/>
  <c r="P16" i="87" s="1"/>
  <c r="M16" i="87"/>
  <c r="S15" i="87"/>
  <c r="S16" i="87" s="1"/>
  <c r="Y15" i="87"/>
  <c r="Y16" i="87" s="1"/>
  <c r="V15" i="87"/>
  <c r="V16" i="87" s="1"/>
  <c r="W31" i="87"/>
  <c r="W32" i="87" s="1"/>
  <c r="Z31" i="87"/>
  <c r="Z32" i="87" s="1"/>
  <c r="AC31" i="87"/>
  <c r="AC32" i="87" s="1"/>
  <c r="Q31" i="87"/>
  <c r="Q32" i="87" s="1"/>
  <c r="N32" i="87"/>
  <c r="T31" i="87"/>
  <c r="T32" i="87" s="1"/>
  <c r="AJ7" i="78"/>
  <c r="AJ8" i="78" s="1"/>
  <c r="X7" i="78"/>
  <c r="X8" i="78" s="1"/>
  <c r="AD7" i="78"/>
  <c r="AD8" i="78" s="1"/>
  <c r="U8" i="78"/>
  <c r="AG7" i="78"/>
  <c r="AG8" i="78" s="1"/>
  <c r="AA7" i="78"/>
  <c r="AA8" i="78" s="1"/>
  <c r="T9" i="78"/>
  <c r="V7" i="78"/>
  <c r="K11" i="78"/>
  <c r="R13" i="78"/>
  <c r="J13" i="78"/>
  <c r="L13" i="78"/>
  <c r="O15" i="78"/>
  <c r="V15" i="78" s="1"/>
  <c r="R11" i="78"/>
  <c r="I11" i="78"/>
  <c r="T13" i="78"/>
  <c r="H11" i="78"/>
  <c r="T15" i="78"/>
  <c r="U15" i="78"/>
  <c r="M17" i="78"/>
  <c r="L19" i="78"/>
  <c r="N19" i="78"/>
  <c r="T19" i="78" s="1"/>
  <c r="T7" i="78"/>
  <c r="V9" i="78"/>
  <c r="M9" i="78"/>
  <c r="U9" i="78"/>
  <c r="J11" i="78"/>
  <c r="U13" i="78"/>
  <c r="O19" i="78"/>
  <c r="M19" i="78"/>
  <c r="V19" i="78" s="1"/>
  <c r="M21" i="78"/>
  <c r="O21" i="78"/>
  <c r="H17" i="78"/>
  <c r="Q17" i="78"/>
  <c r="U19" i="78"/>
  <c r="P21" i="78"/>
  <c r="H21" i="78"/>
  <c r="Q21" i="78"/>
  <c r="I21" i="78"/>
  <c r="H23" i="78"/>
  <c r="N25" i="78"/>
  <c r="V25" i="78" s="1"/>
  <c r="T27" i="78"/>
  <c r="T25" i="78"/>
  <c r="U25" i="78"/>
  <c r="Q23" i="78"/>
  <c r="I23" i="78"/>
  <c r="J23" i="78"/>
  <c r="N27" i="78"/>
  <c r="L27" i="78"/>
  <c r="U27" i="78" s="1"/>
  <c r="AI31" i="78"/>
  <c r="AI32" i="78" s="1"/>
  <c r="W31" i="78"/>
  <c r="W32" i="78" s="1"/>
  <c r="T32" i="78"/>
  <c r="Z31" i="78"/>
  <c r="Z32" i="78" s="1"/>
  <c r="V31" i="78"/>
  <c r="AC31" i="78"/>
  <c r="AC32" i="78" s="1"/>
  <c r="U31" i="78"/>
  <c r="AF31" i="78"/>
  <c r="AF32" i="78" s="1"/>
  <c r="Q19" i="78"/>
  <c r="K27" i="78"/>
  <c r="I29" i="78"/>
  <c r="Q27" i="78"/>
  <c r="K29" i="78"/>
  <c r="Q29" i="78"/>
  <c r="N7" i="60"/>
  <c r="H7" i="60"/>
  <c r="I7" i="60" s="1"/>
  <c r="P7" i="60" s="1"/>
  <c r="P9" i="60"/>
  <c r="I11" i="60"/>
  <c r="P11" i="60" s="1"/>
  <c r="O11" i="60"/>
  <c r="N11" i="60"/>
  <c r="I15" i="60"/>
  <c r="P15" i="60" s="1"/>
  <c r="O5" i="60"/>
  <c r="N5" i="60"/>
  <c r="I5" i="60"/>
  <c r="P5" i="60" s="1"/>
  <c r="R9" i="60"/>
  <c r="R10" i="60" s="1"/>
  <c r="U9" i="60"/>
  <c r="U10" i="60" s="1"/>
  <c r="O10" i="60"/>
  <c r="X9" i="60"/>
  <c r="X10" i="60" s="1"/>
  <c r="AA9" i="60"/>
  <c r="AA10" i="60" s="1"/>
  <c r="AD9" i="60"/>
  <c r="AD10" i="60" s="1"/>
  <c r="K9" i="60"/>
  <c r="T9" i="60"/>
  <c r="T10" i="60" s="1"/>
  <c r="N17" i="60"/>
  <c r="H17" i="60"/>
  <c r="N21" i="60"/>
  <c r="H21" i="60"/>
  <c r="I21" i="60" s="1"/>
  <c r="P21" i="60" s="1"/>
  <c r="N23" i="60"/>
  <c r="H23" i="60"/>
  <c r="I23" i="60" s="1"/>
  <c r="P23" i="60" s="1"/>
  <c r="N25" i="60"/>
  <c r="H25" i="60"/>
  <c r="I25" i="60" s="1"/>
  <c r="P25" i="60" s="1"/>
  <c r="N27" i="60"/>
  <c r="H27" i="60"/>
  <c r="O27" i="60" s="1"/>
  <c r="Z9" i="60"/>
  <c r="Z10" i="60" s="1"/>
  <c r="W9" i="60"/>
  <c r="W10" i="60" s="1"/>
  <c r="N13" i="60"/>
  <c r="H13" i="60"/>
  <c r="O13" i="60" s="1"/>
  <c r="N15" i="60"/>
  <c r="H15" i="60"/>
  <c r="O15" i="60" s="1"/>
  <c r="O19" i="60"/>
  <c r="N19" i="60"/>
  <c r="H19" i="60"/>
  <c r="I19" i="60" s="1"/>
  <c r="P19" i="60" s="1"/>
  <c r="N33" i="60"/>
  <c r="H33" i="60"/>
  <c r="I33" i="60" s="1"/>
  <c r="P33" i="60" s="1"/>
  <c r="O33" i="60"/>
  <c r="N35" i="60"/>
  <c r="H35" i="60"/>
  <c r="I35" i="60" s="1"/>
  <c r="P35" i="60" s="1"/>
  <c r="O35" i="60"/>
  <c r="AB49" i="60"/>
  <c r="AB50" i="60" s="1"/>
  <c r="AE49" i="60"/>
  <c r="AE50" i="60" s="1"/>
  <c r="S49" i="60"/>
  <c r="S50" i="60" s="1"/>
  <c r="V49" i="60"/>
  <c r="V50" i="60" s="1"/>
  <c r="P50" i="60"/>
  <c r="Y49" i="60"/>
  <c r="Y50" i="60" s="1"/>
  <c r="N29" i="60"/>
  <c r="H29" i="60"/>
  <c r="O29" i="60"/>
  <c r="I29" i="60"/>
  <c r="P29" i="60" s="1"/>
  <c r="N37" i="60"/>
  <c r="H37" i="60"/>
  <c r="O37" i="60"/>
  <c r="I37" i="60"/>
  <c r="P37" i="60" s="1"/>
  <c r="N31" i="60"/>
  <c r="H31" i="60"/>
  <c r="O31" i="60"/>
  <c r="I31" i="60"/>
  <c r="P31" i="60" s="1"/>
  <c r="N39" i="60"/>
  <c r="H39" i="60"/>
  <c r="O39" i="60"/>
  <c r="I39" i="60"/>
  <c r="P39" i="60" s="1"/>
  <c r="N43" i="60"/>
  <c r="H43" i="60"/>
  <c r="O47" i="60"/>
  <c r="I47" i="60"/>
  <c r="P47" i="60" s="1"/>
  <c r="N47" i="60"/>
  <c r="H47" i="60"/>
  <c r="AA53" i="60"/>
  <c r="AA54" i="60" s="1"/>
  <c r="AD53" i="60"/>
  <c r="AD54" i="60" s="1"/>
  <c r="R53" i="60"/>
  <c r="R54" i="60" s="1"/>
  <c r="O54" i="60"/>
  <c r="U53" i="60"/>
  <c r="U54" i="60" s="1"/>
  <c r="X53" i="60"/>
  <c r="X54" i="60" s="1"/>
  <c r="N41" i="60"/>
  <c r="H41" i="60"/>
  <c r="O43" i="60"/>
  <c r="I43" i="60"/>
  <c r="P43" i="60" s="1"/>
  <c r="O45" i="60"/>
  <c r="N45" i="60"/>
  <c r="H45" i="60"/>
  <c r="I45" i="60" s="1"/>
  <c r="P45" i="60" s="1"/>
  <c r="T51" i="60"/>
  <c r="T52" i="60" s="1"/>
  <c r="N52" i="60"/>
  <c r="W51" i="60"/>
  <c r="W52" i="60" s="1"/>
  <c r="Z51" i="60"/>
  <c r="Z52" i="60" s="1"/>
  <c r="AC51" i="60"/>
  <c r="AC52" i="60" s="1"/>
  <c r="Q51" i="60"/>
  <c r="Q52" i="60" s="1"/>
  <c r="Y55" i="60"/>
  <c r="Y56" i="60" s="1"/>
  <c r="AB55" i="60"/>
  <c r="AB56" i="60" s="1"/>
  <c r="AE55" i="60"/>
  <c r="AE56" i="60" s="1"/>
  <c r="S55" i="60"/>
  <c r="S56" i="60" s="1"/>
  <c r="P56" i="60"/>
  <c r="V55" i="60"/>
  <c r="V56" i="60" s="1"/>
  <c r="Q49" i="60"/>
  <c r="Q50" i="60" s="1"/>
  <c r="U49" i="60"/>
  <c r="U50" i="60" s="1"/>
  <c r="AC49" i="60"/>
  <c r="AC50" i="60" s="1"/>
  <c r="T53" i="60"/>
  <c r="T54" i="60" s="1"/>
  <c r="N54" i="60"/>
  <c r="N55" i="60"/>
  <c r="R49" i="60"/>
  <c r="R50" i="60" s="1"/>
  <c r="AD49" i="60"/>
  <c r="AD50" i="60" s="1"/>
  <c r="H51" i="60"/>
  <c r="I53" i="60"/>
  <c r="P53" i="60" s="1"/>
  <c r="Q53" i="60"/>
  <c r="Q54" i="60" s="1"/>
  <c r="AC53" i="60"/>
  <c r="AC54" i="60" s="1"/>
  <c r="O55" i="60"/>
  <c r="AA49" i="60"/>
  <c r="AA50" i="60" s="1"/>
  <c r="Z53" i="60"/>
  <c r="Z54" i="60" s="1"/>
  <c r="F19" i="54"/>
  <c r="K19" i="54" s="1"/>
  <c r="F17" i="54"/>
  <c r="K17" i="54" s="1"/>
  <c r="F15" i="54"/>
  <c r="K15" i="54" s="1"/>
  <c r="F13" i="54"/>
  <c r="J13" i="54" s="1"/>
  <c r="F11" i="54"/>
  <c r="K11" i="54" s="1"/>
  <c r="F9" i="54"/>
  <c r="K9" i="54" s="1"/>
  <c r="F7" i="54"/>
  <c r="I7" i="54" s="1"/>
  <c r="G17" i="54" l="1"/>
  <c r="N17" i="54" s="1"/>
  <c r="G19" i="54"/>
  <c r="M19" i="54" s="1"/>
  <c r="H17" i="54"/>
  <c r="H19" i="54"/>
  <c r="M10" i="87"/>
  <c r="S9" i="87"/>
  <c r="S10" i="87" s="1"/>
  <c r="V9" i="87"/>
  <c r="V10" i="87" s="1"/>
  <c r="Y9" i="87"/>
  <c r="Y10" i="87" s="1"/>
  <c r="P9" i="87"/>
  <c r="P10" i="87" s="1"/>
  <c r="AB9" i="87"/>
  <c r="AB10" i="87" s="1"/>
  <c r="Z29" i="87"/>
  <c r="Z30" i="87" s="1"/>
  <c r="AC29" i="87"/>
  <c r="AC30" i="87" s="1"/>
  <c r="Q29" i="87"/>
  <c r="Q30" i="87" s="1"/>
  <c r="N30" i="87"/>
  <c r="T29" i="87"/>
  <c r="T30" i="87" s="1"/>
  <c r="W29" i="87"/>
  <c r="W30" i="87" s="1"/>
  <c r="U27" i="87"/>
  <c r="U28" i="87" s="1"/>
  <c r="X27" i="87"/>
  <c r="X28" i="87" s="1"/>
  <c r="AA27" i="87"/>
  <c r="AA28" i="87" s="1"/>
  <c r="O27" i="87"/>
  <c r="O28" i="87" s="1"/>
  <c r="L28" i="87"/>
  <c r="R27" i="87"/>
  <c r="R28" i="87" s="1"/>
  <c r="W11" i="87"/>
  <c r="W12" i="87" s="1"/>
  <c r="AC11" i="87"/>
  <c r="AC12" i="87" s="1"/>
  <c r="Q11" i="87"/>
  <c r="Q12" i="87" s="1"/>
  <c r="N12" i="87"/>
  <c r="T11" i="87"/>
  <c r="T12" i="87" s="1"/>
  <c r="Z11" i="87"/>
  <c r="Z12" i="87" s="1"/>
  <c r="M26" i="87"/>
  <c r="S25" i="87"/>
  <c r="S26" i="87" s="1"/>
  <c r="Y25" i="87"/>
  <c r="Y26" i="87" s="1"/>
  <c r="AB25" i="87"/>
  <c r="AB26" i="87" s="1"/>
  <c r="P25" i="87"/>
  <c r="P26" i="87" s="1"/>
  <c r="V25" i="87"/>
  <c r="V26" i="87" s="1"/>
  <c r="N16" i="87"/>
  <c r="T15" i="87"/>
  <c r="T16" i="87" s="1"/>
  <c r="W15" i="87"/>
  <c r="W16" i="87" s="1"/>
  <c r="AC15" i="87"/>
  <c r="AC16" i="87" s="1"/>
  <c r="Q15" i="87"/>
  <c r="Q16" i="87" s="1"/>
  <c r="Z15" i="87"/>
  <c r="Z16" i="87" s="1"/>
  <c r="U11" i="87"/>
  <c r="U12" i="87" s="1"/>
  <c r="X11" i="87"/>
  <c r="X12" i="87" s="1"/>
  <c r="AA11" i="87"/>
  <c r="AA12" i="87" s="1"/>
  <c r="O11" i="87"/>
  <c r="O12" i="87" s="1"/>
  <c r="L12" i="87"/>
  <c r="R11" i="87"/>
  <c r="R12" i="87" s="1"/>
  <c r="W25" i="87"/>
  <c r="W26" i="87" s="1"/>
  <c r="AC25" i="87"/>
  <c r="AC26" i="87" s="1"/>
  <c r="Q25" i="87"/>
  <c r="Q26" i="87" s="1"/>
  <c r="N26" i="87"/>
  <c r="T25" i="87"/>
  <c r="T26" i="87" s="1"/>
  <c r="Z25" i="87"/>
  <c r="Z26" i="87" s="1"/>
  <c r="X15" i="87"/>
  <c r="X16" i="87" s="1"/>
  <c r="U15" i="87"/>
  <c r="U16" i="87" s="1"/>
  <c r="AA15" i="87"/>
  <c r="AA16" i="87" s="1"/>
  <c r="O15" i="87"/>
  <c r="O16" i="87" s="1"/>
  <c r="R15" i="87"/>
  <c r="R16" i="87" s="1"/>
  <c r="L16" i="87"/>
  <c r="W21" i="87"/>
  <c r="W22" i="87" s="1"/>
  <c r="AC21" i="87"/>
  <c r="AC22" i="87" s="1"/>
  <c r="Q21" i="87"/>
  <c r="Q22" i="87" s="1"/>
  <c r="N22" i="87"/>
  <c r="T21" i="87"/>
  <c r="T22" i="87" s="1"/>
  <c r="Z21" i="87"/>
  <c r="Z22" i="87" s="1"/>
  <c r="L14" i="87"/>
  <c r="R13" i="87"/>
  <c r="R14" i="87" s="1"/>
  <c r="AA13" i="87"/>
  <c r="AA14" i="87" s="1"/>
  <c r="O13" i="87"/>
  <c r="O14" i="87" s="1"/>
  <c r="U13" i="87"/>
  <c r="U14" i="87" s="1"/>
  <c r="X13" i="87"/>
  <c r="X14" i="87" s="1"/>
  <c r="V29" i="87"/>
  <c r="V30" i="87" s="1"/>
  <c r="Y29" i="87"/>
  <c r="Y30" i="87" s="1"/>
  <c r="AB29" i="87"/>
  <c r="AB30" i="87" s="1"/>
  <c r="P29" i="87"/>
  <c r="P30" i="87" s="1"/>
  <c r="M30" i="87"/>
  <c r="S29" i="87"/>
  <c r="S30" i="87" s="1"/>
  <c r="AA9" i="87"/>
  <c r="AA10" i="87" s="1"/>
  <c r="O9" i="87"/>
  <c r="O10" i="87" s="1"/>
  <c r="L10" i="87"/>
  <c r="R9" i="87"/>
  <c r="R10" i="87" s="1"/>
  <c r="X9" i="87"/>
  <c r="X10" i="87" s="1"/>
  <c r="U9" i="87"/>
  <c r="U10" i="87" s="1"/>
  <c r="L30" i="87"/>
  <c r="R29" i="87"/>
  <c r="R30" i="87" s="1"/>
  <c r="U29" i="87"/>
  <c r="U30" i="87" s="1"/>
  <c r="X29" i="87"/>
  <c r="X30" i="87" s="1"/>
  <c r="AA29" i="87"/>
  <c r="AA30" i="87" s="1"/>
  <c r="O29" i="87"/>
  <c r="O30" i="87" s="1"/>
  <c r="AA17" i="87"/>
  <c r="AA18" i="87" s="1"/>
  <c r="O17" i="87"/>
  <c r="O18" i="87" s="1"/>
  <c r="U17" i="87"/>
  <c r="U18" i="87" s="1"/>
  <c r="X17" i="87"/>
  <c r="X18" i="87" s="1"/>
  <c r="L18" i="87"/>
  <c r="R17" i="87"/>
  <c r="R18" i="87" s="1"/>
  <c r="AA25" i="87"/>
  <c r="AA26" i="87" s="1"/>
  <c r="O25" i="87"/>
  <c r="O26" i="87" s="1"/>
  <c r="U25" i="87"/>
  <c r="U26" i="87" s="1"/>
  <c r="X25" i="87"/>
  <c r="X26" i="87" s="1"/>
  <c r="L26" i="87"/>
  <c r="R25" i="87"/>
  <c r="R26" i="87" s="1"/>
  <c r="U23" i="87"/>
  <c r="U24" i="87" s="1"/>
  <c r="AA23" i="87"/>
  <c r="AA24" i="87" s="1"/>
  <c r="O23" i="87"/>
  <c r="O24" i="87" s="1"/>
  <c r="L24" i="87"/>
  <c r="R23" i="87"/>
  <c r="R24" i="87" s="1"/>
  <c r="X23" i="87"/>
  <c r="X24" i="87" s="1"/>
  <c r="AA21" i="87"/>
  <c r="AA22" i="87" s="1"/>
  <c r="O21" i="87"/>
  <c r="O22" i="87" s="1"/>
  <c r="U21" i="87"/>
  <c r="U22" i="87" s="1"/>
  <c r="X21" i="87"/>
  <c r="X22" i="87" s="1"/>
  <c r="R21" i="87"/>
  <c r="R22" i="87" s="1"/>
  <c r="L22" i="87"/>
  <c r="M18" i="87"/>
  <c r="S17" i="87"/>
  <c r="S18" i="87" s="1"/>
  <c r="Y17" i="87"/>
  <c r="Y18" i="87" s="1"/>
  <c r="AB17" i="87"/>
  <c r="AB18" i="87" s="1"/>
  <c r="P17" i="87"/>
  <c r="P18" i="87" s="1"/>
  <c r="V17" i="87"/>
  <c r="V18" i="87" s="1"/>
  <c r="AG27" i="78"/>
  <c r="AG28" i="78" s="1"/>
  <c r="AJ27" i="78"/>
  <c r="AJ28" i="78" s="1"/>
  <c r="X27" i="78"/>
  <c r="X28" i="78" s="1"/>
  <c r="U28" i="78"/>
  <c r="AA27" i="78"/>
  <c r="AA28" i="78" s="1"/>
  <c r="AD27" i="78"/>
  <c r="AD28" i="78" s="1"/>
  <c r="V16" i="78"/>
  <c r="AB15" i="78"/>
  <c r="AB16" i="78" s="1"/>
  <c r="AK15" i="78"/>
  <c r="AK16" i="78" s="1"/>
  <c r="Y15" i="78"/>
  <c r="Y16" i="78" s="1"/>
  <c r="AH15" i="78"/>
  <c r="AH16" i="78" s="1"/>
  <c r="AE15" i="78"/>
  <c r="AE16" i="78" s="1"/>
  <c r="AK19" i="78"/>
  <c r="AK20" i="78" s="1"/>
  <c r="Y19" i="78"/>
  <c r="Y20" i="78" s="1"/>
  <c r="AH19" i="78"/>
  <c r="AH20" i="78" s="1"/>
  <c r="AE19" i="78"/>
  <c r="AE20" i="78" s="1"/>
  <c r="V20" i="78"/>
  <c r="AB19" i="78"/>
  <c r="AB20" i="78" s="1"/>
  <c r="AC19" i="78"/>
  <c r="AC20" i="78" s="1"/>
  <c r="T20" i="78"/>
  <c r="Z19" i="78"/>
  <c r="Z20" i="78" s="1"/>
  <c r="W19" i="78"/>
  <c r="W20" i="78" s="1"/>
  <c r="AF19" i="78"/>
  <c r="AF20" i="78" s="1"/>
  <c r="AI19" i="78"/>
  <c r="AI20" i="78" s="1"/>
  <c r="AH25" i="78"/>
  <c r="AH26" i="78" s="1"/>
  <c r="AE25" i="78"/>
  <c r="AE26" i="78" s="1"/>
  <c r="V26" i="78"/>
  <c r="AK25" i="78"/>
  <c r="AK26" i="78" s="1"/>
  <c r="AB25" i="78"/>
  <c r="AB26" i="78" s="1"/>
  <c r="Y25" i="78"/>
  <c r="Y26" i="78" s="1"/>
  <c r="AC27" i="78"/>
  <c r="AC28" i="78" s="1"/>
  <c r="AF27" i="78"/>
  <c r="AF28" i="78" s="1"/>
  <c r="AI27" i="78"/>
  <c r="AI28" i="78" s="1"/>
  <c r="W27" i="78"/>
  <c r="W28" i="78" s="1"/>
  <c r="T28" i="78"/>
  <c r="Z27" i="78"/>
  <c r="Z28" i="78" s="1"/>
  <c r="L29" i="78"/>
  <c r="T29" i="78" s="1"/>
  <c r="N29" i="78"/>
  <c r="L21" i="78"/>
  <c r="T21" i="78" s="1"/>
  <c r="N21" i="78"/>
  <c r="AJ15" i="78"/>
  <c r="AJ16" i="78" s="1"/>
  <c r="X15" i="78"/>
  <c r="X16" i="78" s="1"/>
  <c r="AG15" i="78"/>
  <c r="AG16" i="78" s="1"/>
  <c r="U16" i="78"/>
  <c r="AD15" i="78"/>
  <c r="AD16" i="78" s="1"/>
  <c r="AA15" i="78"/>
  <c r="AA16" i="78" s="1"/>
  <c r="N11" i="78"/>
  <c r="L11" i="78"/>
  <c r="U11" i="78" s="1"/>
  <c r="M13" i="78"/>
  <c r="V13" i="78" s="1"/>
  <c r="O13" i="78"/>
  <c r="M29" i="78"/>
  <c r="O29" i="78"/>
  <c r="M23" i="78"/>
  <c r="O23" i="78"/>
  <c r="V21" i="78"/>
  <c r="U21" i="78"/>
  <c r="T17" i="78"/>
  <c r="V17" i="78"/>
  <c r="U17" i="78"/>
  <c r="T11" i="78"/>
  <c r="N23" i="78"/>
  <c r="T23" i="78" s="1"/>
  <c r="L23" i="78"/>
  <c r="V23" i="78"/>
  <c r="U23" i="78"/>
  <c r="U14" i="78"/>
  <c r="AA13" i="78"/>
  <c r="AA14" i="78" s="1"/>
  <c r="AJ13" i="78"/>
  <c r="AJ14" i="78" s="1"/>
  <c r="X13" i="78"/>
  <c r="X14" i="78" s="1"/>
  <c r="AG13" i="78"/>
  <c r="AG14" i="78" s="1"/>
  <c r="AD13" i="78"/>
  <c r="AD14" i="78" s="1"/>
  <c r="AH9" i="78"/>
  <c r="AH10" i="78" s="1"/>
  <c r="AK9" i="78"/>
  <c r="AK10" i="78" s="1"/>
  <c r="Y9" i="78"/>
  <c r="Y10" i="78" s="1"/>
  <c r="AE9" i="78"/>
  <c r="AE10" i="78" s="1"/>
  <c r="V10" i="78"/>
  <c r="AB9" i="78"/>
  <c r="AB10" i="78" s="1"/>
  <c r="AI13" i="78"/>
  <c r="AI14" i="78" s="1"/>
  <c r="W13" i="78"/>
  <c r="W14" i="78" s="1"/>
  <c r="AF13" i="78"/>
  <c r="AF14" i="78" s="1"/>
  <c r="AC13" i="78"/>
  <c r="AC14" i="78" s="1"/>
  <c r="Z13" i="78"/>
  <c r="Z14" i="78" s="1"/>
  <c r="T14" i="78"/>
  <c r="V8" i="78"/>
  <c r="AB7" i="78"/>
  <c r="AB8" i="78" s="1"/>
  <c r="AK7" i="78"/>
  <c r="AK8" i="78" s="1"/>
  <c r="AE7" i="78"/>
  <c r="AE8" i="78" s="1"/>
  <c r="Y7" i="78"/>
  <c r="Y8" i="78" s="1"/>
  <c r="AH7" i="78"/>
  <c r="AH8" i="78" s="1"/>
  <c r="AF7" i="78"/>
  <c r="AF8" i="78" s="1"/>
  <c r="Z7" i="78"/>
  <c r="Z8" i="78" s="1"/>
  <c r="AC7" i="78"/>
  <c r="AC8" i="78" s="1"/>
  <c r="W7" i="78"/>
  <c r="W8" i="78" s="1"/>
  <c r="T8" i="78"/>
  <c r="AI7" i="78"/>
  <c r="AI8" i="78" s="1"/>
  <c r="AE31" i="78"/>
  <c r="AE32" i="78" s="1"/>
  <c r="AH31" i="78"/>
  <c r="AH32" i="78" s="1"/>
  <c r="AK31" i="78"/>
  <c r="AK32" i="78" s="1"/>
  <c r="Y31" i="78"/>
  <c r="Y32" i="78" s="1"/>
  <c r="V32" i="78"/>
  <c r="AB31" i="78"/>
  <c r="AB32" i="78" s="1"/>
  <c r="AD25" i="78"/>
  <c r="AD26" i="78" s="1"/>
  <c r="U26" i="78"/>
  <c r="AA25" i="78"/>
  <c r="AA26" i="78" s="1"/>
  <c r="X25" i="78"/>
  <c r="X26" i="78" s="1"/>
  <c r="AJ25" i="78"/>
  <c r="AJ26" i="78" s="1"/>
  <c r="AG25" i="78"/>
  <c r="AG26" i="78" s="1"/>
  <c r="AG19" i="78"/>
  <c r="AG20" i="78" s="1"/>
  <c r="AD19" i="78"/>
  <c r="AD20" i="78" s="1"/>
  <c r="U20" i="78"/>
  <c r="X19" i="78"/>
  <c r="X20" i="78" s="1"/>
  <c r="AA19" i="78"/>
  <c r="AA20" i="78" s="1"/>
  <c r="AJ19" i="78"/>
  <c r="AJ20" i="78" s="1"/>
  <c r="M11" i="78"/>
  <c r="O11" i="78"/>
  <c r="T10" i="78"/>
  <c r="Z9" i="78"/>
  <c r="Z10" i="78" s="1"/>
  <c r="AF9" i="78"/>
  <c r="AF10" i="78" s="1"/>
  <c r="AI9" i="78"/>
  <c r="AI10" i="78" s="1"/>
  <c r="AC9" i="78"/>
  <c r="AC10" i="78" s="1"/>
  <c r="W9" i="78"/>
  <c r="W10" i="78" s="1"/>
  <c r="O27" i="78"/>
  <c r="M27" i="78"/>
  <c r="V27" i="78" s="1"/>
  <c r="U32" i="78"/>
  <c r="AA31" i="78"/>
  <c r="AA32" i="78" s="1"/>
  <c r="AD31" i="78"/>
  <c r="AD32" i="78" s="1"/>
  <c r="AG31" i="78"/>
  <c r="AG32" i="78" s="1"/>
  <c r="AJ31" i="78"/>
  <c r="AJ32" i="78" s="1"/>
  <c r="X31" i="78"/>
  <c r="X32" i="78" s="1"/>
  <c r="T26" i="78"/>
  <c r="Z25" i="78"/>
  <c r="Z26" i="78" s="1"/>
  <c r="AI25" i="78"/>
  <c r="AI26" i="78" s="1"/>
  <c r="W25" i="78"/>
  <c r="W26" i="78" s="1"/>
  <c r="AF25" i="78"/>
  <c r="AF26" i="78" s="1"/>
  <c r="AC25" i="78"/>
  <c r="AC26" i="78" s="1"/>
  <c r="AD9" i="78"/>
  <c r="AD10" i="78" s="1"/>
  <c r="AA9" i="78"/>
  <c r="AA10" i="78" s="1"/>
  <c r="AJ9" i="78"/>
  <c r="AJ10" i="78" s="1"/>
  <c r="X9" i="78"/>
  <c r="X10" i="78" s="1"/>
  <c r="U10" i="78"/>
  <c r="AG9" i="78"/>
  <c r="AG10" i="78" s="1"/>
  <c r="AF15" i="78"/>
  <c r="AF16" i="78" s="1"/>
  <c r="AC15" i="78"/>
  <c r="AC16" i="78" s="1"/>
  <c r="Z15" i="78"/>
  <c r="Z16" i="78" s="1"/>
  <c r="W15" i="78"/>
  <c r="W16" i="78" s="1"/>
  <c r="T16" i="78"/>
  <c r="AI15" i="78"/>
  <c r="AI16" i="78" s="1"/>
  <c r="V33" i="60"/>
  <c r="V34" i="60" s="1"/>
  <c r="P34" i="60"/>
  <c r="Y33" i="60"/>
  <c r="Y34" i="60" s="1"/>
  <c r="AB33" i="60"/>
  <c r="AB34" i="60" s="1"/>
  <c r="AE33" i="60"/>
  <c r="AE34" i="60" s="1"/>
  <c r="S33" i="60"/>
  <c r="S34" i="60" s="1"/>
  <c r="V35" i="60"/>
  <c r="V36" i="60" s="1"/>
  <c r="P36" i="60"/>
  <c r="Y35" i="60"/>
  <c r="Y36" i="60" s="1"/>
  <c r="AB35" i="60"/>
  <c r="AB36" i="60" s="1"/>
  <c r="AE35" i="60"/>
  <c r="AE36" i="60" s="1"/>
  <c r="S35" i="60"/>
  <c r="S36" i="60" s="1"/>
  <c r="P26" i="60"/>
  <c r="Y25" i="60"/>
  <c r="Y26" i="60" s="1"/>
  <c r="AB25" i="60"/>
  <c r="AB26" i="60" s="1"/>
  <c r="AE25" i="60"/>
  <c r="AE26" i="60" s="1"/>
  <c r="S25" i="60"/>
  <c r="S26" i="60" s="1"/>
  <c r="V25" i="60"/>
  <c r="V26" i="60" s="1"/>
  <c r="P22" i="60"/>
  <c r="Y21" i="60"/>
  <c r="Y22" i="60" s="1"/>
  <c r="AB21" i="60"/>
  <c r="AB22" i="60" s="1"/>
  <c r="AE21" i="60"/>
  <c r="AE22" i="60" s="1"/>
  <c r="S21" i="60"/>
  <c r="S22" i="60" s="1"/>
  <c r="V21" i="60"/>
  <c r="V22" i="60" s="1"/>
  <c r="Y7" i="60"/>
  <c r="Y8" i="60" s="1"/>
  <c r="AE7" i="60"/>
  <c r="AE8" i="60" s="1"/>
  <c r="S7" i="60"/>
  <c r="S8" i="60" s="1"/>
  <c r="AB7" i="60"/>
  <c r="AB8" i="60" s="1"/>
  <c r="V7" i="60"/>
  <c r="V8" i="60" s="1"/>
  <c r="P8" i="60"/>
  <c r="AE45" i="60"/>
  <c r="AE46" i="60" s="1"/>
  <c r="S45" i="60"/>
  <c r="S46" i="60" s="1"/>
  <c r="V45" i="60"/>
  <c r="V46" i="60" s="1"/>
  <c r="P46" i="60"/>
  <c r="Y45" i="60"/>
  <c r="Y46" i="60" s="1"/>
  <c r="AB45" i="60"/>
  <c r="AB46" i="60" s="1"/>
  <c r="AD27" i="60"/>
  <c r="AD28" i="60" s="1"/>
  <c r="R27" i="60"/>
  <c r="R28" i="60" s="1"/>
  <c r="U27" i="60"/>
  <c r="U28" i="60" s="1"/>
  <c r="AA27" i="60"/>
  <c r="AA28" i="60" s="1"/>
  <c r="O28" i="60"/>
  <c r="X27" i="60"/>
  <c r="X28" i="60" s="1"/>
  <c r="P24" i="60"/>
  <c r="Y23" i="60"/>
  <c r="Y24" i="60" s="1"/>
  <c r="AB23" i="60"/>
  <c r="AB24" i="60" s="1"/>
  <c r="AE23" i="60"/>
  <c r="AE24" i="60" s="1"/>
  <c r="S23" i="60"/>
  <c r="S24" i="60" s="1"/>
  <c r="V23" i="60"/>
  <c r="V24" i="60" s="1"/>
  <c r="O56" i="60"/>
  <c r="U55" i="60"/>
  <c r="U56" i="60" s="1"/>
  <c r="X55" i="60"/>
  <c r="X56" i="60" s="1"/>
  <c r="AA55" i="60"/>
  <c r="AA56" i="60" s="1"/>
  <c r="AD55" i="60"/>
  <c r="AD56" i="60" s="1"/>
  <c r="R55" i="60"/>
  <c r="R56" i="60" s="1"/>
  <c r="AA45" i="60"/>
  <c r="AA46" i="60" s="1"/>
  <c r="AD45" i="60"/>
  <c r="AD46" i="60" s="1"/>
  <c r="R45" i="60"/>
  <c r="R46" i="60" s="1"/>
  <c r="U45" i="60"/>
  <c r="U46" i="60" s="1"/>
  <c r="O46" i="60"/>
  <c r="X45" i="60"/>
  <c r="X46" i="60" s="1"/>
  <c r="N44" i="60"/>
  <c r="Z43" i="60"/>
  <c r="Z44" i="60" s="1"/>
  <c r="AC43" i="60"/>
  <c r="AC44" i="60" s="1"/>
  <c r="Q43" i="60"/>
  <c r="Q44" i="60" s="1"/>
  <c r="W43" i="60"/>
  <c r="W44" i="60" s="1"/>
  <c r="T43" i="60"/>
  <c r="T44" i="60" s="1"/>
  <c r="AE47" i="60"/>
  <c r="AE48" i="60" s="1"/>
  <c r="S47" i="60"/>
  <c r="S48" i="60" s="1"/>
  <c r="V47" i="60"/>
  <c r="V48" i="60" s="1"/>
  <c r="P48" i="60"/>
  <c r="Y47" i="60"/>
  <c r="Y48" i="60" s="1"/>
  <c r="AB47" i="60"/>
  <c r="AB48" i="60" s="1"/>
  <c r="V31" i="60"/>
  <c r="V32" i="60" s="1"/>
  <c r="P32" i="60"/>
  <c r="Y31" i="60"/>
  <c r="Y32" i="60" s="1"/>
  <c r="AB31" i="60"/>
  <c r="AB32" i="60" s="1"/>
  <c r="AE31" i="60"/>
  <c r="AE32" i="60" s="1"/>
  <c r="S31" i="60"/>
  <c r="S32" i="60" s="1"/>
  <c r="U19" i="60"/>
  <c r="U20" i="60" s="1"/>
  <c r="O20" i="60"/>
  <c r="X19" i="60"/>
  <c r="X20" i="60" s="1"/>
  <c r="AA19" i="60"/>
  <c r="AA20" i="60" s="1"/>
  <c r="AD19" i="60"/>
  <c r="AD20" i="60" s="1"/>
  <c r="R19" i="60"/>
  <c r="R20" i="60" s="1"/>
  <c r="AC23" i="60"/>
  <c r="AC24" i="60" s="1"/>
  <c r="Q23" i="60"/>
  <c r="Q24" i="60" s="1"/>
  <c r="T23" i="60"/>
  <c r="T24" i="60" s="1"/>
  <c r="N24" i="60"/>
  <c r="W23" i="60"/>
  <c r="W24" i="60" s="1"/>
  <c r="Z23" i="60"/>
  <c r="Z24" i="60" s="1"/>
  <c r="P16" i="60"/>
  <c r="Y15" i="60"/>
  <c r="Y16" i="60" s="1"/>
  <c r="V15" i="60"/>
  <c r="V16" i="60" s="1"/>
  <c r="AE15" i="60"/>
  <c r="AE16" i="60" s="1"/>
  <c r="AB15" i="60"/>
  <c r="AB16" i="60" s="1"/>
  <c r="S15" i="60"/>
  <c r="S16" i="60" s="1"/>
  <c r="N46" i="60"/>
  <c r="W45" i="60"/>
  <c r="W46" i="60" s="1"/>
  <c r="Z45" i="60"/>
  <c r="Z46" i="60" s="1"/>
  <c r="AC45" i="60"/>
  <c r="AC46" i="60" s="1"/>
  <c r="Q45" i="60"/>
  <c r="Q46" i="60" s="1"/>
  <c r="T45" i="60"/>
  <c r="T46" i="60" s="1"/>
  <c r="AE53" i="60"/>
  <c r="AE54" i="60" s="1"/>
  <c r="S53" i="60"/>
  <c r="S54" i="60" s="1"/>
  <c r="P54" i="60"/>
  <c r="V53" i="60"/>
  <c r="V54" i="60" s="1"/>
  <c r="Y53" i="60"/>
  <c r="Y54" i="60" s="1"/>
  <c r="AB53" i="60"/>
  <c r="AB54" i="60" s="1"/>
  <c r="AC55" i="60"/>
  <c r="AC56" i="60" s="1"/>
  <c r="Q55" i="60"/>
  <c r="Q56" i="60" s="1"/>
  <c r="N56" i="60"/>
  <c r="T55" i="60"/>
  <c r="T56" i="60" s="1"/>
  <c r="W55" i="60"/>
  <c r="W56" i="60" s="1"/>
  <c r="Z55" i="60"/>
  <c r="Z56" i="60" s="1"/>
  <c r="I41" i="60"/>
  <c r="P41" i="60" s="1"/>
  <c r="O41" i="60"/>
  <c r="P20" i="60"/>
  <c r="Y19" i="60"/>
  <c r="Y20" i="60" s="1"/>
  <c r="AB19" i="60"/>
  <c r="AB20" i="60" s="1"/>
  <c r="AE19" i="60"/>
  <c r="AE20" i="60" s="1"/>
  <c r="S19" i="60"/>
  <c r="S20" i="60" s="1"/>
  <c r="V19" i="60"/>
  <c r="V20" i="60" s="1"/>
  <c r="AC15" i="60"/>
  <c r="AC16" i="60" s="1"/>
  <c r="Q15" i="60"/>
  <c r="Q16" i="60" s="1"/>
  <c r="Z15" i="60"/>
  <c r="Z16" i="60" s="1"/>
  <c r="N16" i="60"/>
  <c r="W15" i="60"/>
  <c r="W16" i="60" s="1"/>
  <c r="T15" i="60"/>
  <c r="T16" i="60" s="1"/>
  <c r="Z27" i="60"/>
  <c r="Z28" i="60" s="1"/>
  <c r="AC27" i="60"/>
  <c r="AC28" i="60" s="1"/>
  <c r="Q27" i="60"/>
  <c r="Q28" i="60" s="1"/>
  <c r="N28" i="60"/>
  <c r="W27" i="60"/>
  <c r="W28" i="60" s="1"/>
  <c r="T27" i="60"/>
  <c r="T28" i="60" s="1"/>
  <c r="O25" i="60"/>
  <c r="O23" i="60"/>
  <c r="O21" i="60"/>
  <c r="T5" i="60"/>
  <c r="T6" i="60" s="1"/>
  <c r="W5" i="60"/>
  <c r="W6" i="60" s="1"/>
  <c r="N6" i="60"/>
  <c r="Z5" i="60"/>
  <c r="Z6" i="60" s="1"/>
  <c r="AC5" i="60"/>
  <c r="AC6" i="60" s="1"/>
  <c r="Q5" i="60"/>
  <c r="Q6" i="60" s="1"/>
  <c r="AC11" i="60"/>
  <c r="AC12" i="60" s="1"/>
  <c r="Q11" i="60"/>
  <c r="Q12" i="60" s="1"/>
  <c r="N12" i="60"/>
  <c r="Z11" i="60"/>
  <c r="Z12" i="60" s="1"/>
  <c r="W11" i="60"/>
  <c r="W12" i="60" s="1"/>
  <c r="T11" i="60"/>
  <c r="T12" i="60" s="1"/>
  <c r="O7" i="60"/>
  <c r="Z41" i="60"/>
  <c r="Z42" i="60" s="1"/>
  <c r="AC41" i="60"/>
  <c r="AC42" i="60" s="1"/>
  <c r="Q41" i="60"/>
  <c r="Q42" i="60" s="1"/>
  <c r="N42" i="60"/>
  <c r="W41" i="60"/>
  <c r="W42" i="60" s="1"/>
  <c r="T41" i="60"/>
  <c r="T42" i="60" s="1"/>
  <c r="Z39" i="60"/>
  <c r="Z40" i="60" s="1"/>
  <c r="AC39" i="60"/>
  <c r="AC40" i="60" s="1"/>
  <c r="Q39" i="60"/>
  <c r="Q40" i="60" s="1"/>
  <c r="T39" i="60"/>
  <c r="T40" i="60" s="1"/>
  <c r="N40" i="60"/>
  <c r="W39" i="60"/>
  <c r="W40" i="60" s="1"/>
  <c r="Z31" i="60"/>
  <c r="Z32" i="60" s="1"/>
  <c r="AC31" i="60"/>
  <c r="AC32" i="60" s="1"/>
  <c r="Q31" i="60"/>
  <c r="Q32" i="60" s="1"/>
  <c r="T31" i="60"/>
  <c r="T32" i="60" s="1"/>
  <c r="N32" i="60"/>
  <c r="W31" i="60"/>
  <c r="W32" i="60" s="1"/>
  <c r="Z37" i="60"/>
  <c r="Z38" i="60" s="1"/>
  <c r="AC37" i="60"/>
  <c r="AC38" i="60" s="1"/>
  <c r="Q37" i="60"/>
  <c r="Q38" i="60" s="1"/>
  <c r="T37" i="60"/>
  <c r="T38" i="60" s="1"/>
  <c r="N38" i="60"/>
  <c r="W37" i="60"/>
  <c r="W38" i="60" s="1"/>
  <c r="Z29" i="60"/>
  <c r="Z30" i="60" s="1"/>
  <c r="AC29" i="60"/>
  <c r="AC30" i="60" s="1"/>
  <c r="Q29" i="60"/>
  <c r="Q30" i="60" s="1"/>
  <c r="N30" i="60"/>
  <c r="W29" i="60"/>
  <c r="W30" i="60" s="1"/>
  <c r="T29" i="60"/>
  <c r="T30" i="60" s="1"/>
  <c r="AD35" i="60"/>
  <c r="AD36" i="60" s="1"/>
  <c r="R35" i="60"/>
  <c r="R36" i="60" s="1"/>
  <c r="U35" i="60"/>
  <c r="U36" i="60" s="1"/>
  <c r="O36" i="60"/>
  <c r="X35" i="60"/>
  <c r="X36" i="60" s="1"/>
  <c r="AA35" i="60"/>
  <c r="AA36" i="60" s="1"/>
  <c r="AD33" i="60"/>
  <c r="AD34" i="60" s="1"/>
  <c r="R33" i="60"/>
  <c r="R34" i="60" s="1"/>
  <c r="U33" i="60"/>
  <c r="U34" i="60" s="1"/>
  <c r="O34" i="60"/>
  <c r="X33" i="60"/>
  <c r="X34" i="60" s="1"/>
  <c r="AA33" i="60"/>
  <c r="AA34" i="60" s="1"/>
  <c r="AC19" i="60"/>
  <c r="AC20" i="60" s="1"/>
  <c r="Q19" i="60"/>
  <c r="Q20" i="60" s="1"/>
  <c r="T19" i="60"/>
  <c r="T20" i="60" s="1"/>
  <c r="N20" i="60"/>
  <c r="W19" i="60"/>
  <c r="W20" i="60" s="1"/>
  <c r="Z19" i="60"/>
  <c r="Z20" i="60" s="1"/>
  <c r="U13" i="60"/>
  <c r="U14" i="60" s="1"/>
  <c r="AD13" i="60"/>
  <c r="AD14" i="60" s="1"/>
  <c r="R13" i="60"/>
  <c r="R14" i="60" s="1"/>
  <c r="O14" i="60"/>
  <c r="X13" i="60"/>
  <c r="X14" i="60" s="1"/>
  <c r="AA13" i="60"/>
  <c r="AA14" i="60" s="1"/>
  <c r="O17" i="60"/>
  <c r="I17" i="60"/>
  <c r="P17" i="60" s="1"/>
  <c r="X5" i="60"/>
  <c r="X6" i="60" s="1"/>
  <c r="AD5" i="60"/>
  <c r="AD6" i="60" s="1"/>
  <c r="R5" i="60"/>
  <c r="R6" i="60" s="1"/>
  <c r="U5" i="60"/>
  <c r="U6" i="60" s="1"/>
  <c r="O6" i="60"/>
  <c r="AA5" i="60"/>
  <c r="AA6" i="60" s="1"/>
  <c r="U11" i="60"/>
  <c r="U12" i="60" s="1"/>
  <c r="O12" i="60"/>
  <c r="AA11" i="60"/>
  <c r="AA12" i="60" s="1"/>
  <c r="AD11" i="60"/>
  <c r="AD12" i="60" s="1"/>
  <c r="X11" i="60"/>
  <c r="X12" i="60" s="1"/>
  <c r="R11" i="60"/>
  <c r="R12" i="60" s="1"/>
  <c r="V29" i="60"/>
  <c r="V30" i="60" s="1"/>
  <c r="P30" i="60"/>
  <c r="Y29" i="60"/>
  <c r="Y30" i="60" s="1"/>
  <c r="AE29" i="60"/>
  <c r="AE30" i="60" s="1"/>
  <c r="S29" i="60"/>
  <c r="S30" i="60" s="1"/>
  <c r="AB29" i="60"/>
  <c r="AB30" i="60" s="1"/>
  <c r="I27" i="60"/>
  <c r="P27" i="60" s="1"/>
  <c r="AC21" i="60"/>
  <c r="AC22" i="60" s="1"/>
  <c r="Q21" i="60"/>
  <c r="Q22" i="60" s="1"/>
  <c r="T21" i="60"/>
  <c r="T22" i="60" s="1"/>
  <c r="N22" i="60"/>
  <c r="W21" i="60"/>
  <c r="W22" i="60" s="1"/>
  <c r="Z21" i="60"/>
  <c r="Z22" i="60" s="1"/>
  <c r="P12" i="60"/>
  <c r="Y11" i="60"/>
  <c r="Y12" i="60" s="1"/>
  <c r="V11" i="60"/>
  <c r="V12" i="60" s="1"/>
  <c r="AE11" i="60"/>
  <c r="AE12" i="60" s="1"/>
  <c r="S11" i="60"/>
  <c r="S12" i="60" s="1"/>
  <c r="AB11" i="60"/>
  <c r="AB12" i="60" s="1"/>
  <c r="Q7" i="60"/>
  <c r="Q8" i="60" s="1"/>
  <c r="W7" i="60"/>
  <c r="W8" i="60" s="1"/>
  <c r="N8" i="60"/>
  <c r="Z7" i="60"/>
  <c r="Z8" i="60" s="1"/>
  <c r="AC7" i="60"/>
  <c r="AC8" i="60" s="1"/>
  <c r="T7" i="60"/>
  <c r="T8" i="60" s="1"/>
  <c r="O51" i="60"/>
  <c r="I51" i="60"/>
  <c r="P51" i="60" s="1"/>
  <c r="N48" i="60"/>
  <c r="W47" i="60"/>
  <c r="W48" i="60" s="1"/>
  <c r="Z47" i="60"/>
  <c r="Z48" i="60" s="1"/>
  <c r="AC47" i="60"/>
  <c r="AC48" i="60" s="1"/>
  <c r="Q47" i="60"/>
  <c r="Q48" i="60" s="1"/>
  <c r="T47" i="60"/>
  <c r="T48" i="60" s="1"/>
  <c r="AE43" i="60"/>
  <c r="AE44" i="60" s="1"/>
  <c r="V43" i="60"/>
  <c r="V44" i="60" s="1"/>
  <c r="P44" i="60"/>
  <c r="Y43" i="60"/>
  <c r="Y44" i="60" s="1"/>
  <c r="AB43" i="60"/>
  <c r="AB44" i="60" s="1"/>
  <c r="S43" i="60"/>
  <c r="S44" i="60" s="1"/>
  <c r="V39" i="60"/>
  <c r="V40" i="60" s="1"/>
  <c r="P40" i="60"/>
  <c r="Y39" i="60"/>
  <c r="Y40" i="60" s="1"/>
  <c r="AB39" i="60"/>
  <c r="AB40" i="60" s="1"/>
  <c r="S39" i="60"/>
  <c r="S40" i="60" s="1"/>
  <c r="AE39" i="60"/>
  <c r="AE40" i="60" s="1"/>
  <c r="V37" i="60"/>
  <c r="V38" i="60" s="1"/>
  <c r="P38" i="60"/>
  <c r="Y37" i="60"/>
  <c r="Y38" i="60" s="1"/>
  <c r="AB37" i="60"/>
  <c r="AB38" i="60" s="1"/>
  <c r="AE37" i="60"/>
  <c r="AE38" i="60" s="1"/>
  <c r="S37" i="60"/>
  <c r="S38" i="60" s="1"/>
  <c r="AC13" i="60"/>
  <c r="AC14" i="60" s="1"/>
  <c r="Q13" i="60"/>
  <c r="Q14" i="60" s="1"/>
  <c r="Z13" i="60"/>
  <c r="Z14" i="60" s="1"/>
  <c r="N14" i="60"/>
  <c r="W13" i="60"/>
  <c r="W14" i="60" s="1"/>
  <c r="T13" i="60"/>
  <c r="T14" i="60" s="1"/>
  <c r="AC25" i="60"/>
  <c r="AC26" i="60" s="1"/>
  <c r="Q25" i="60"/>
  <c r="Q26" i="60" s="1"/>
  <c r="T25" i="60"/>
  <c r="T26" i="60" s="1"/>
  <c r="N26" i="60"/>
  <c r="W25" i="60"/>
  <c r="W26" i="60" s="1"/>
  <c r="Z25" i="60"/>
  <c r="Z26" i="60" s="1"/>
  <c r="AC17" i="60"/>
  <c r="AC18" i="60" s="1"/>
  <c r="Q17" i="60"/>
  <c r="Q18" i="60" s="1"/>
  <c r="Z17" i="60"/>
  <c r="Z18" i="60" s="1"/>
  <c r="N18" i="60"/>
  <c r="W17" i="60"/>
  <c r="W18" i="60" s="1"/>
  <c r="T17" i="60"/>
  <c r="T18" i="60" s="1"/>
  <c r="AA43" i="60"/>
  <c r="AA44" i="60" s="1"/>
  <c r="AD43" i="60"/>
  <c r="AD44" i="60" s="1"/>
  <c r="R43" i="60"/>
  <c r="R44" i="60" s="1"/>
  <c r="U43" i="60"/>
  <c r="U44" i="60" s="1"/>
  <c r="X43" i="60"/>
  <c r="X44" i="60" s="1"/>
  <c r="O44" i="60"/>
  <c r="AA47" i="60"/>
  <c r="AA48" i="60" s="1"/>
  <c r="AD47" i="60"/>
  <c r="AD48" i="60" s="1"/>
  <c r="R47" i="60"/>
  <c r="R48" i="60" s="1"/>
  <c r="U47" i="60"/>
  <c r="U48" i="60" s="1"/>
  <c r="X47" i="60"/>
  <c r="X48" i="60" s="1"/>
  <c r="O48" i="60"/>
  <c r="AD39" i="60"/>
  <c r="AD40" i="60" s="1"/>
  <c r="R39" i="60"/>
  <c r="R40" i="60" s="1"/>
  <c r="U39" i="60"/>
  <c r="U40" i="60" s="1"/>
  <c r="AA39" i="60"/>
  <c r="AA40" i="60" s="1"/>
  <c r="O40" i="60"/>
  <c r="X39" i="60"/>
  <c r="X40" i="60" s="1"/>
  <c r="AD31" i="60"/>
  <c r="AD32" i="60" s="1"/>
  <c r="R31" i="60"/>
  <c r="R32" i="60" s="1"/>
  <c r="U31" i="60"/>
  <c r="U32" i="60" s="1"/>
  <c r="O32" i="60"/>
  <c r="X31" i="60"/>
  <c r="X32" i="60" s="1"/>
  <c r="AA31" i="60"/>
  <c r="AA32" i="60" s="1"/>
  <c r="AD37" i="60"/>
  <c r="AD38" i="60" s="1"/>
  <c r="R37" i="60"/>
  <c r="R38" i="60" s="1"/>
  <c r="U37" i="60"/>
  <c r="U38" i="60" s="1"/>
  <c r="O38" i="60"/>
  <c r="X37" i="60"/>
  <c r="X38" i="60" s="1"/>
  <c r="AA37" i="60"/>
  <c r="AA38" i="60" s="1"/>
  <c r="AD29" i="60"/>
  <c r="AD30" i="60" s="1"/>
  <c r="R29" i="60"/>
  <c r="R30" i="60" s="1"/>
  <c r="U29" i="60"/>
  <c r="U30" i="60" s="1"/>
  <c r="O30" i="60"/>
  <c r="AA29" i="60"/>
  <c r="AA30" i="60" s="1"/>
  <c r="X29" i="60"/>
  <c r="X30" i="60" s="1"/>
  <c r="Z35" i="60"/>
  <c r="Z36" i="60" s="1"/>
  <c r="AC35" i="60"/>
  <c r="AC36" i="60" s="1"/>
  <c r="Q35" i="60"/>
  <c r="Q36" i="60" s="1"/>
  <c r="T35" i="60"/>
  <c r="T36" i="60" s="1"/>
  <c r="N36" i="60"/>
  <c r="W35" i="60"/>
  <c r="W36" i="60" s="1"/>
  <c r="Z33" i="60"/>
  <c r="Z34" i="60" s="1"/>
  <c r="AC33" i="60"/>
  <c r="AC34" i="60" s="1"/>
  <c r="Q33" i="60"/>
  <c r="Q34" i="60" s="1"/>
  <c r="T33" i="60"/>
  <c r="T34" i="60" s="1"/>
  <c r="N34" i="60"/>
  <c r="W33" i="60"/>
  <c r="W34" i="60" s="1"/>
  <c r="U15" i="60"/>
  <c r="U16" i="60" s="1"/>
  <c r="AD15" i="60"/>
  <c r="AD16" i="60" s="1"/>
  <c r="R15" i="60"/>
  <c r="R16" i="60" s="1"/>
  <c r="O16" i="60"/>
  <c r="X15" i="60"/>
  <c r="X16" i="60" s="1"/>
  <c r="AA15" i="60"/>
  <c r="AA16" i="60" s="1"/>
  <c r="Y5" i="60"/>
  <c r="Y6" i="60" s="1"/>
  <c r="AE5" i="60"/>
  <c r="AE6" i="60" s="1"/>
  <c r="S5" i="60"/>
  <c r="S6" i="60" s="1"/>
  <c r="V5" i="60"/>
  <c r="V6" i="60" s="1"/>
  <c r="P6" i="60"/>
  <c r="AB5" i="60"/>
  <c r="AB6" i="60" s="1"/>
  <c r="I13" i="60"/>
  <c r="P13" i="60" s="1"/>
  <c r="P10" i="60"/>
  <c r="Y9" i="60"/>
  <c r="Y10" i="60" s="1"/>
  <c r="AB9" i="60"/>
  <c r="AB10" i="60" s="1"/>
  <c r="AE9" i="60"/>
  <c r="AE10" i="60" s="1"/>
  <c r="S9" i="60"/>
  <c r="S10" i="60" s="1"/>
  <c r="V9" i="60"/>
  <c r="V10" i="60" s="1"/>
  <c r="I9" i="54"/>
  <c r="G13" i="54"/>
  <c r="G7" i="54"/>
  <c r="H13" i="54"/>
  <c r="I15" i="54"/>
  <c r="K7" i="54"/>
  <c r="I11" i="54"/>
  <c r="I13" i="54"/>
  <c r="K13" i="54"/>
  <c r="M7" i="54"/>
  <c r="J7" i="54"/>
  <c r="H9" i="54"/>
  <c r="H11" i="54"/>
  <c r="N13" i="54"/>
  <c r="H15" i="54"/>
  <c r="L17" i="54"/>
  <c r="L19" i="54"/>
  <c r="M17" i="54"/>
  <c r="J9" i="54"/>
  <c r="J11" i="54"/>
  <c r="L13" i="54"/>
  <c r="J15" i="54"/>
  <c r="H7" i="54"/>
  <c r="G9" i="54"/>
  <c r="G11" i="54"/>
  <c r="G15" i="54"/>
  <c r="W17" i="54" l="1"/>
  <c r="W18" i="54" s="1"/>
  <c r="AC17" i="54"/>
  <c r="AC18" i="54" s="1"/>
  <c r="N19" i="54"/>
  <c r="U12" i="78"/>
  <c r="AA11" i="78"/>
  <c r="AA12" i="78" s="1"/>
  <c r="AG11" i="78"/>
  <c r="AG12" i="78" s="1"/>
  <c r="AJ11" i="78"/>
  <c r="AJ12" i="78" s="1"/>
  <c r="AD11" i="78"/>
  <c r="AD12" i="78" s="1"/>
  <c r="X11" i="78"/>
  <c r="X12" i="78" s="1"/>
  <c r="AK27" i="78"/>
  <c r="AK28" i="78" s="1"/>
  <c r="Y27" i="78"/>
  <c r="Y28" i="78" s="1"/>
  <c r="V28" i="78"/>
  <c r="AB27" i="78"/>
  <c r="AB28" i="78" s="1"/>
  <c r="AE27" i="78"/>
  <c r="AE28" i="78" s="1"/>
  <c r="AH27" i="78"/>
  <c r="AH28" i="78" s="1"/>
  <c r="T22" i="78"/>
  <c r="Z21" i="78"/>
  <c r="Z22" i="78" s="1"/>
  <c r="AI21" i="78"/>
  <c r="AI22" i="78" s="1"/>
  <c r="W21" i="78"/>
  <c r="W22" i="78" s="1"/>
  <c r="AF21" i="78"/>
  <c r="AF22" i="78" s="1"/>
  <c r="AC21" i="78"/>
  <c r="AC22" i="78" s="1"/>
  <c r="AI23" i="78"/>
  <c r="AI24" i="78" s="1"/>
  <c r="W23" i="78"/>
  <c r="W24" i="78" s="1"/>
  <c r="AF23" i="78"/>
  <c r="AF24" i="78" s="1"/>
  <c r="Z23" i="78"/>
  <c r="Z24" i="78" s="1"/>
  <c r="T24" i="78"/>
  <c r="AC23" i="78"/>
  <c r="AC24" i="78" s="1"/>
  <c r="AE13" i="78"/>
  <c r="AE14" i="78" s="1"/>
  <c r="V14" i="78"/>
  <c r="AB13" i="78"/>
  <c r="AB14" i="78" s="1"/>
  <c r="AK13" i="78"/>
  <c r="AK14" i="78" s="1"/>
  <c r="AH13" i="78"/>
  <c r="AH14" i="78" s="1"/>
  <c r="Y13" i="78"/>
  <c r="Y14" i="78" s="1"/>
  <c r="U29" i="78"/>
  <c r="V11" i="78"/>
  <c r="U24" i="78"/>
  <c r="AA23" i="78"/>
  <c r="AA24" i="78" s="1"/>
  <c r="AJ23" i="78"/>
  <c r="AJ24" i="78" s="1"/>
  <c r="X23" i="78"/>
  <c r="X24" i="78" s="1"/>
  <c r="AG23" i="78"/>
  <c r="AG24" i="78" s="1"/>
  <c r="AD23" i="78"/>
  <c r="AD24" i="78" s="1"/>
  <c r="AJ17" i="78"/>
  <c r="AJ18" i="78" s="1"/>
  <c r="X17" i="78"/>
  <c r="X18" i="78" s="1"/>
  <c r="AD17" i="78"/>
  <c r="AD18" i="78" s="1"/>
  <c r="U18" i="78"/>
  <c r="AA17" i="78"/>
  <c r="AA18" i="78" s="1"/>
  <c r="AG17" i="78"/>
  <c r="AG18" i="78" s="1"/>
  <c r="AD21" i="78"/>
  <c r="AD22" i="78" s="1"/>
  <c r="U22" i="78"/>
  <c r="AA21" i="78"/>
  <c r="AA22" i="78" s="1"/>
  <c r="X21" i="78"/>
  <c r="X22" i="78" s="1"/>
  <c r="AG21" i="78"/>
  <c r="AG22" i="78" s="1"/>
  <c r="AJ21" i="78"/>
  <c r="AJ22" i="78" s="1"/>
  <c r="AF29" i="78"/>
  <c r="AF30" i="78" s="1"/>
  <c r="AI29" i="78"/>
  <c r="AI30" i="78" s="1"/>
  <c r="W29" i="78"/>
  <c r="W30" i="78" s="1"/>
  <c r="T30" i="78"/>
  <c r="Z29" i="78"/>
  <c r="Z30" i="78" s="1"/>
  <c r="AC29" i="78"/>
  <c r="AC30" i="78" s="1"/>
  <c r="AE23" i="78"/>
  <c r="AE24" i="78" s="1"/>
  <c r="V24" i="78"/>
  <c r="AB23" i="78"/>
  <c r="AB24" i="78" s="1"/>
  <c r="Y23" i="78"/>
  <c r="Y24" i="78" s="1"/>
  <c r="AH23" i="78"/>
  <c r="AH24" i="78" s="1"/>
  <c r="AK23" i="78"/>
  <c r="AK24" i="78" s="1"/>
  <c r="AI11" i="78"/>
  <c r="AI12" i="78" s="1"/>
  <c r="W11" i="78"/>
  <c r="W12" i="78" s="1"/>
  <c r="T12" i="78"/>
  <c r="Z11" i="78"/>
  <c r="Z12" i="78" s="1"/>
  <c r="AF11" i="78"/>
  <c r="AF12" i="78" s="1"/>
  <c r="AC11" i="78"/>
  <c r="AC12" i="78" s="1"/>
  <c r="V18" i="78"/>
  <c r="AB17" i="78"/>
  <c r="AB18" i="78" s="1"/>
  <c r="AK17" i="78"/>
  <c r="AK18" i="78" s="1"/>
  <c r="AH17" i="78"/>
  <c r="AH18" i="78" s="1"/>
  <c r="Y17" i="78"/>
  <c r="Y18" i="78" s="1"/>
  <c r="AE17" i="78"/>
  <c r="AE18" i="78" s="1"/>
  <c r="AH21" i="78"/>
  <c r="AH22" i="78" s="1"/>
  <c r="AE21" i="78"/>
  <c r="AE22" i="78" s="1"/>
  <c r="V22" i="78"/>
  <c r="Y21" i="78"/>
  <c r="Y22" i="78" s="1"/>
  <c r="AB21" i="78"/>
  <c r="AB22" i="78" s="1"/>
  <c r="AK21" i="78"/>
  <c r="AK22" i="78" s="1"/>
  <c r="AF17" i="78"/>
  <c r="AF18" i="78" s="1"/>
  <c r="AC17" i="78"/>
  <c r="AC18" i="78" s="1"/>
  <c r="W17" i="78"/>
  <c r="W18" i="78" s="1"/>
  <c r="AI17" i="78"/>
  <c r="AI18" i="78" s="1"/>
  <c r="T18" i="78"/>
  <c r="Z17" i="78"/>
  <c r="Z18" i="78" s="1"/>
  <c r="V29" i="78"/>
  <c r="P18" i="60"/>
  <c r="Y17" i="60"/>
  <c r="Y18" i="60" s="1"/>
  <c r="V17" i="60"/>
  <c r="V18" i="60" s="1"/>
  <c r="AE17" i="60"/>
  <c r="AE18" i="60" s="1"/>
  <c r="AB17" i="60"/>
  <c r="AB18" i="60" s="1"/>
  <c r="S17" i="60"/>
  <c r="S18" i="60" s="1"/>
  <c r="P14" i="60"/>
  <c r="Y13" i="60"/>
  <c r="Y14" i="60" s="1"/>
  <c r="V13" i="60"/>
  <c r="V14" i="60" s="1"/>
  <c r="AE13" i="60"/>
  <c r="AE14" i="60" s="1"/>
  <c r="AB13" i="60"/>
  <c r="AB14" i="60" s="1"/>
  <c r="S13" i="60"/>
  <c r="S14" i="60" s="1"/>
  <c r="O52" i="60"/>
  <c r="X51" i="60"/>
  <c r="X52" i="60" s="1"/>
  <c r="AA51" i="60"/>
  <c r="AA52" i="60" s="1"/>
  <c r="AD51" i="60"/>
  <c r="AD52" i="60" s="1"/>
  <c r="R51" i="60"/>
  <c r="R52" i="60" s="1"/>
  <c r="U51" i="60"/>
  <c r="U52" i="60" s="1"/>
  <c r="U23" i="60"/>
  <c r="U24" i="60" s="1"/>
  <c r="O24" i="60"/>
  <c r="X23" i="60"/>
  <c r="X24" i="60" s="1"/>
  <c r="AA23" i="60"/>
  <c r="AA24" i="60" s="1"/>
  <c r="AD23" i="60"/>
  <c r="AD24" i="60" s="1"/>
  <c r="R23" i="60"/>
  <c r="R24" i="60" s="1"/>
  <c r="AD41" i="60"/>
  <c r="AD42" i="60" s="1"/>
  <c r="R41" i="60"/>
  <c r="R42" i="60" s="1"/>
  <c r="U41" i="60"/>
  <c r="U42" i="60" s="1"/>
  <c r="AA41" i="60"/>
  <c r="AA42" i="60" s="1"/>
  <c r="O42" i="60"/>
  <c r="X41" i="60"/>
  <c r="X42" i="60" s="1"/>
  <c r="U25" i="60"/>
  <c r="U26" i="60" s="1"/>
  <c r="O26" i="60"/>
  <c r="X25" i="60"/>
  <c r="X26" i="60" s="1"/>
  <c r="AA25" i="60"/>
  <c r="AA26" i="60" s="1"/>
  <c r="AD25" i="60"/>
  <c r="AD26" i="60" s="1"/>
  <c r="R25" i="60"/>
  <c r="R26" i="60" s="1"/>
  <c r="V41" i="60"/>
  <c r="V42" i="60" s="1"/>
  <c r="P42" i="60"/>
  <c r="Y41" i="60"/>
  <c r="Y42" i="60" s="1"/>
  <c r="S41" i="60"/>
  <c r="S42" i="60" s="1"/>
  <c r="AE41" i="60"/>
  <c r="AE42" i="60" s="1"/>
  <c r="AB41" i="60"/>
  <c r="AB42" i="60" s="1"/>
  <c r="O8" i="60"/>
  <c r="X7" i="60"/>
  <c r="X8" i="60" s="1"/>
  <c r="AD7" i="60"/>
  <c r="AD8" i="60" s="1"/>
  <c r="R7" i="60"/>
  <c r="R8" i="60" s="1"/>
  <c r="U7" i="60"/>
  <c r="U8" i="60" s="1"/>
  <c r="AA7" i="60"/>
  <c r="AA8" i="60" s="1"/>
  <c r="AB51" i="60"/>
  <c r="AB52" i="60" s="1"/>
  <c r="AE51" i="60"/>
  <c r="AE52" i="60" s="1"/>
  <c r="S51" i="60"/>
  <c r="S52" i="60" s="1"/>
  <c r="V51" i="60"/>
  <c r="V52" i="60" s="1"/>
  <c r="P52" i="60"/>
  <c r="Y51" i="60"/>
  <c r="Y52" i="60" s="1"/>
  <c r="V27" i="60"/>
  <c r="V28" i="60" s="1"/>
  <c r="P28" i="60"/>
  <c r="Y27" i="60"/>
  <c r="Y28" i="60" s="1"/>
  <c r="AE27" i="60"/>
  <c r="AE28" i="60" s="1"/>
  <c r="S27" i="60"/>
  <c r="S28" i="60" s="1"/>
  <c r="AB27" i="60"/>
  <c r="AB28" i="60" s="1"/>
  <c r="U17" i="60"/>
  <c r="U18" i="60" s="1"/>
  <c r="AD17" i="60"/>
  <c r="AD18" i="60" s="1"/>
  <c r="R17" i="60"/>
  <c r="R18" i="60" s="1"/>
  <c r="AA17" i="60"/>
  <c r="AA18" i="60" s="1"/>
  <c r="O18" i="60"/>
  <c r="X17" i="60"/>
  <c r="X18" i="60" s="1"/>
  <c r="U21" i="60"/>
  <c r="U22" i="60" s="1"/>
  <c r="O22" i="60"/>
  <c r="X21" i="60"/>
  <c r="X22" i="60" s="1"/>
  <c r="AA21" i="60"/>
  <c r="AA22" i="60" s="1"/>
  <c r="AD21" i="60"/>
  <c r="AD22" i="60" s="1"/>
  <c r="R21" i="60"/>
  <c r="R22" i="60" s="1"/>
  <c r="Q17" i="54"/>
  <c r="Q18" i="54" s="1"/>
  <c r="L7" i="54"/>
  <c r="T17" i="54"/>
  <c r="T18" i="54" s="1"/>
  <c r="Z17" i="54"/>
  <c r="Z18" i="54" s="1"/>
  <c r="M13" i="54"/>
  <c r="N18" i="54"/>
  <c r="U7" i="54"/>
  <c r="U8" i="54" s="1"/>
  <c r="X7" i="54"/>
  <c r="X8" i="54" s="1"/>
  <c r="L8" i="54"/>
  <c r="R7" i="54"/>
  <c r="R8" i="54" s="1"/>
  <c r="AA7" i="54"/>
  <c r="AA8" i="54" s="1"/>
  <c r="O7" i="54"/>
  <c r="O8" i="54" s="1"/>
  <c r="Y7" i="54"/>
  <c r="Y8" i="54" s="1"/>
  <c r="P7" i="54"/>
  <c r="P8" i="54" s="1"/>
  <c r="AB7" i="54"/>
  <c r="AB8" i="54" s="1"/>
  <c r="V7" i="54"/>
  <c r="V8" i="54" s="1"/>
  <c r="S7" i="54"/>
  <c r="S8" i="54" s="1"/>
  <c r="M8" i="54"/>
  <c r="AA19" i="54"/>
  <c r="AA20" i="54" s="1"/>
  <c r="O19" i="54"/>
  <c r="O20" i="54" s="1"/>
  <c r="L20" i="54"/>
  <c r="R19" i="54"/>
  <c r="R20" i="54" s="1"/>
  <c r="U19" i="54"/>
  <c r="U20" i="54" s="1"/>
  <c r="X19" i="54"/>
  <c r="X20" i="54" s="1"/>
  <c r="N9" i="54"/>
  <c r="L9" i="54"/>
  <c r="M9" i="54"/>
  <c r="N15" i="54"/>
  <c r="M15" i="54"/>
  <c r="L15" i="54"/>
  <c r="AA17" i="54"/>
  <c r="AA18" i="54" s="1"/>
  <c r="O17" i="54"/>
  <c r="O18" i="54" s="1"/>
  <c r="L18" i="54"/>
  <c r="R17" i="54"/>
  <c r="R18" i="54" s="1"/>
  <c r="U17" i="54"/>
  <c r="U18" i="54" s="1"/>
  <c r="X17" i="54"/>
  <c r="X18" i="54" s="1"/>
  <c r="N7" i="54"/>
  <c r="AC13" i="54"/>
  <c r="AC14" i="54" s="1"/>
  <c r="Q13" i="54"/>
  <c r="Q14" i="54" s="1"/>
  <c r="N14" i="54"/>
  <c r="T13" i="54"/>
  <c r="T14" i="54" s="1"/>
  <c r="W13" i="54"/>
  <c r="W14" i="54" s="1"/>
  <c r="Z13" i="54"/>
  <c r="Z14" i="54" s="1"/>
  <c r="N11" i="54"/>
  <c r="M11" i="54"/>
  <c r="L11" i="54"/>
  <c r="U13" i="54"/>
  <c r="U14" i="54" s="1"/>
  <c r="X13" i="54"/>
  <c r="X14" i="54" s="1"/>
  <c r="AA13" i="54"/>
  <c r="AA14" i="54" s="1"/>
  <c r="O13" i="54"/>
  <c r="O14" i="54" s="1"/>
  <c r="L14" i="54"/>
  <c r="R13" i="54"/>
  <c r="R14" i="54" s="1"/>
  <c r="M20" i="54"/>
  <c r="S19" i="54"/>
  <c r="S20" i="54" s="1"/>
  <c r="V19" i="54"/>
  <c r="V20" i="54" s="1"/>
  <c r="Y19" i="54"/>
  <c r="Y20" i="54" s="1"/>
  <c r="AB19" i="54"/>
  <c r="AB20" i="54" s="1"/>
  <c r="P19" i="54"/>
  <c r="P20" i="54" s="1"/>
  <c r="M18" i="54"/>
  <c r="S17" i="54"/>
  <c r="S18" i="54" s="1"/>
  <c r="V17" i="54"/>
  <c r="V18" i="54" s="1"/>
  <c r="Y17" i="54"/>
  <c r="Y18" i="54" s="1"/>
  <c r="AB17" i="54"/>
  <c r="AB18" i="54" s="1"/>
  <c r="P17" i="54"/>
  <c r="P18" i="54" s="1"/>
  <c r="Z19" i="54" l="1"/>
  <c r="Z20" i="54" s="1"/>
  <c r="AC19" i="54"/>
  <c r="AC20" i="54" s="1"/>
  <c r="Q19" i="54"/>
  <c r="Q20" i="54" s="1"/>
  <c r="N20" i="54"/>
  <c r="W19" i="54"/>
  <c r="W20" i="54" s="1"/>
  <c r="T19" i="54"/>
  <c r="T20" i="54" s="1"/>
  <c r="V30" i="78"/>
  <c r="AB29" i="78"/>
  <c r="AB30" i="78" s="1"/>
  <c r="AE29" i="78"/>
  <c r="AE30" i="78" s="1"/>
  <c r="AH29" i="78"/>
  <c r="AH30" i="78" s="1"/>
  <c r="AK29" i="78"/>
  <c r="AK30" i="78" s="1"/>
  <c r="Y29" i="78"/>
  <c r="Y30" i="78" s="1"/>
  <c r="AE11" i="78"/>
  <c r="AE12" i="78" s="1"/>
  <c r="AB11" i="78"/>
  <c r="AB12" i="78" s="1"/>
  <c r="AK11" i="78"/>
  <c r="AK12" i="78" s="1"/>
  <c r="Y11" i="78"/>
  <c r="Y12" i="78" s="1"/>
  <c r="V12" i="78"/>
  <c r="AH11" i="78"/>
  <c r="AH12" i="78" s="1"/>
  <c r="AJ29" i="78"/>
  <c r="AJ30" i="78" s="1"/>
  <c r="X29" i="78"/>
  <c r="X30" i="78" s="1"/>
  <c r="U30" i="78"/>
  <c r="AA29" i="78"/>
  <c r="AA30" i="78" s="1"/>
  <c r="AD29" i="78"/>
  <c r="AD30" i="78" s="1"/>
  <c r="AG29" i="78"/>
  <c r="AG30" i="78" s="1"/>
  <c r="P13" i="54"/>
  <c r="P14" i="54" s="1"/>
  <c r="M14" i="54"/>
  <c r="Y13" i="54"/>
  <c r="Y14" i="54" s="1"/>
  <c r="S13" i="54"/>
  <c r="S14" i="54" s="1"/>
  <c r="AB13" i="54"/>
  <c r="AB14" i="54" s="1"/>
  <c r="V13" i="54"/>
  <c r="V14" i="54" s="1"/>
  <c r="AA11" i="54"/>
  <c r="AA12" i="54" s="1"/>
  <c r="O11" i="54"/>
  <c r="O12" i="54" s="1"/>
  <c r="L12" i="54"/>
  <c r="R11" i="54"/>
  <c r="R12" i="54" s="1"/>
  <c r="U11" i="54"/>
  <c r="U12" i="54" s="1"/>
  <c r="X11" i="54"/>
  <c r="X12" i="54" s="1"/>
  <c r="W15" i="54"/>
  <c r="W16" i="54" s="1"/>
  <c r="Z15" i="54"/>
  <c r="Z16" i="54" s="1"/>
  <c r="AC15" i="54"/>
  <c r="AC16" i="54" s="1"/>
  <c r="Q15" i="54"/>
  <c r="Q16" i="54" s="1"/>
  <c r="N16" i="54"/>
  <c r="T15" i="54"/>
  <c r="T16" i="54" s="1"/>
  <c r="AC7" i="54"/>
  <c r="AC8" i="54" s="1"/>
  <c r="Q7" i="54"/>
  <c r="Q8" i="54" s="1"/>
  <c r="N8" i="54"/>
  <c r="T7" i="54"/>
  <c r="T8" i="54" s="1"/>
  <c r="Z7" i="54"/>
  <c r="Z8" i="54" s="1"/>
  <c r="W7" i="54"/>
  <c r="W8" i="54" s="1"/>
  <c r="W11" i="54"/>
  <c r="W12" i="54" s="1"/>
  <c r="Z11" i="54"/>
  <c r="Z12" i="54" s="1"/>
  <c r="AC11" i="54"/>
  <c r="AC12" i="54" s="1"/>
  <c r="Q11" i="54"/>
  <c r="Q12" i="54" s="1"/>
  <c r="N12" i="54"/>
  <c r="T11" i="54"/>
  <c r="T12" i="54" s="1"/>
  <c r="M12" i="54"/>
  <c r="S11" i="54"/>
  <c r="S12" i="54" s="1"/>
  <c r="V11" i="54"/>
  <c r="V12" i="54" s="1"/>
  <c r="Y11" i="54"/>
  <c r="Y12" i="54" s="1"/>
  <c r="AB11" i="54"/>
  <c r="AB12" i="54" s="1"/>
  <c r="P11" i="54"/>
  <c r="P12" i="54" s="1"/>
  <c r="M10" i="54"/>
  <c r="S9" i="54"/>
  <c r="S10" i="54" s="1"/>
  <c r="V9" i="54"/>
  <c r="V10" i="54" s="1"/>
  <c r="AB9" i="54"/>
  <c r="AB10" i="54" s="1"/>
  <c r="P9" i="54"/>
  <c r="P10" i="54" s="1"/>
  <c r="Y9" i="54"/>
  <c r="Y10" i="54" s="1"/>
  <c r="AA15" i="54"/>
  <c r="AA16" i="54" s="1"/>
  <c r="O15" i="54"/>
  <c r="O16" i="54" s="1"/>
  <c r="L16" i="54"/>
  <c r="R15" i="54"/>
  <c r="R16" i="54" s="1"/>
  <c r="U15" i="54"/>
  <c r="U16" i="54" s="1"/>
  <c r="X15" i="54"/>
  <c r="X16" i="54" s="1"/>
  <c r="AA9" i="54"/>
  <c r="AA10" i="54" s="1"/>
  <c r="O9" i="54"/>
  <c r="O10" i="54" s="1"/>
  <c r="L10" i="54"/>
  <c r="R9" i="54"/>
  <c r="R10" i="54" s="1"/>
  <c r="U9" i="54"/>
  <c r="U10" i="54" s="1"/>
  <c r="X9" i="54"/>
  <c r="X10" i="54" s="1"/>
  <c r="M16" i="54"/>
  <c r="S15" i="54"/>
  <c r="S16" i="54" s="1"/>
  <c r="V15" i="54"/>
  <c r="V16" i="54" s="1"/>
  <c r="Y15" i="54"/>
  <c r="Y16" i="54" s="1"/>
  <c r="AB15" i="54"/>
  <c r="AB16" i="54" s="1"/>
  <c r="P15" i="54"/>
  <c r="P16" i="54" s="1"/>
  <c r="W9" i="54"/>
  <c r="W10" i="54" s="1"/>
  <c r="Z9" i="54"/>
  <c r="Z10" i="54" s="1"/>
  <c r="AC9" i="54"/>
  <c r="AC10" i="54" s="1"/>
  <c r="N10" i="54"/>
  <c r="T9" i="54"/>
  <c r="T10" i="54" s="1"/>
  <c r="Q9" i="54"/>
  <c r="Q10" i="54" s="1"/>
  <c r="J31" i="85" l="1"/>
  <c r="O31" i="85" s="1"/>
  <c r="O29" i="85"/>
  <c r="O30" i="85" s="1"/>
  <c r="N29" i="85"/>
  <c r="AC29" i="85" s="1"/>
  <c r="AC30" i="85" s="1"/>
  <c r="M29" i="85"/>
  <c r="Y29" i="85" s="1"/>
  <c r="Y30" i="85" s="1"/>
  <c r="J29" i="85"/>
  <c r="F27" i="85"/>
  <c r="J27" i="85" s="1"/>
  <c r="L25" i="85"/>
  <c r="J25" i="85"/>
  <c r="I25" i="85"/>
  <c r="G25" i="85"/>
  <c r="F25" i="85"/>
  <c r="K25" i="85" s="1"/>
  <c r="J23" i="85"/>
  <c r="H23" i="85"/>
  <c r="G23" i="85"/>
  <c r="N23" i="85" s="1"/>
  <c r="F23" i="85"/>
  <c r="L21" i="85"/>
  <c r="H21" i="85"/>
  <c r="G21" i="85"/>
  <c r="F21" i="85"/>
  <c r="J21" i="85" s="1"/>
  <c r="K19" i="85"/>
  <c r="G19" i="85"/>
  <c r="F19" i="85"/>
  <c r="I19" i="85" s="1"/>
  <c r="J17" i="85"/>
  <c r="F17" i="85"/>
  <c r="F15" i="85"/>
  <c r="L15" i="85" s="1"/>
  <c r="I13" i="85"/>
  <c r="F13" i="85"/>
  <c r="K13" i="85" s="1"/>
  <c r="J11" i="85"/>
  <c r="F11" i="85"/>
  <c r="G11" i="85" s="1"/>
  <c r="L9" i="85"/>
  <c r="I9" i="85"/>
  <c r="H9" i="85"/>
  <c r="F9" i="85"/>
  <c r="J9" i="85" s="1"/>
  <c r="L7" i="85"/>
  <c r="K7" i="85"/>
  <c r="I7" i="85"/>
  <c r="H7" i="85"/>
  <c r="G7" i="85"/>
  <c r="O7" i="85" s="1"/>
  <c r="F7" i="85"/>
  <c r="J7" i="85" s="1"/>
  <c r="O8" i="85" l="1"/>
  <c r="U7" i="85"/>
  <c r="U8" i="85" s="1"/>
  <c r="AD7" i="85"/>
  <c r="AD8" i="85" s="1"/>
  <c r="R7" i="85"/>
  <c r="R8" i="85" s="1"/>
  <c r="X7" i="85"/>
  <c r="X8" i="85" s="1"/>
  <c r="AA7" i="85"/>
  <c r="AA8" i="85" s="1"/>
  <c r="M7" i="85"/>
  <c r="N7" i="85"/>
  <c r="J15" i="85"/>
  <c r="J13" i="85"/>
  <c r="Z23" i="85"/>
  <c r="Z24" i="85" s="1"/>
  <c r="AC23" i="85"/>
  <c r="AC24" i="85" s="1"/>
  <c r="Q23" i="85"/>
  <c r="Q24" i="85" s="1"/>
  <c r="N24" i="85"/>
  <c r="T23" i="85"/>
  <c r="T24" i="85" s="1"/>
  <c r="W23" i="85"/>
  <c r="W24" i="85" s="1"/>
  <c r="O23" i="85"/>
  <c r="O25" i="85"/>
  <c r="G9" i="85"/>
  <c r="K9" i="85"/>
  <c r="H11" i="85"/>
  <c r="N11" i="85" s="1"/>
  <c r="H13" i="85"/>
  <c r="L13" i="85"/>
  <c r="I15" i="85"/>
  <c r="L17" i="85"/>
  <c r="H17" i="85"/>
  <c r="K17" i="85"/>
  <c r="G17" i="85"/>
  <c r="I17" i="85"/>
  <c r="K15" i="85"/>
  <c r="G15" i="85"/>
  <c r="G13" i="85"/>
  <c r="H15" i="85"/>
  <c r="X31" i="85"/>
  <c r="X32" i="85" s="1"/>
  <c r="AA31" i="85"/>
  <c r="AA32" i="85" s="1"/>
  <c r="AD31" i="85"/>
  <c r="AD32" i="85" s="1"/>
  <c r="R31" i="85"/>
  <c r="R32" i="85" s="1"/>
  <c r="O32" i="85"/>
  <c r="U31" i="85"/>
  <c r="U32" i="85" s="1"/>
  <c r="J19" i="85"/>
  <c r="K21" i="85"/>
  <c r="O21" i="85"/>
  <c r="M25" i="85"/>
  <c r="K27" i="85"/>
  <c r="R29" i="85"/>
  <c r="R30" i="85" s="1"/>
  <c r="V29" i="85"/>
  <c r="V30" i="85" s="1"/>
  <c r="Z29" i="85"/>
  <c r="Z30" i="85" s="1"/>
  <c r="AD29" i="85"/>
  <c r="AD30" i="85" s="1"/>
  <c r="M31" i="85"/>
  <c r="O19" i="85"/>
  <c r="N25" i="85"/>
  <c r="G27" i="85"/>
  <c r="L27" i="85"/>
  <c r="S29" i="85"/>
  <c r="S30" i="85" s="1"/>
  <c r="W29" i="85"/>
  <c r="W30" i="85" s="1"/>
  <c r="AA29" i="85"/>
  <c r="AA30" i="85" s="1"/>
  <c r="M30" i="85"/>
  <c r="N31" i="85"/>
  <c r="H19" i="85"/>
  <c r="M19" i="85" s="1"/>
  <c r="L19" i="85"/>
  <c r="I21" i="85"/>
  <c r="N21" i="85" s="1"/>
  <c r="M21" i="85"/>
  <c r="M23" i="85"/>
  <c r="I27" i="85"/>
  <c r="P29" i="85"/>
  <c r="P30" i="85" s="1"/>
  <c r="T29" i="85"/>
  <c r="T30" i="85" s="1"/>
  <c r="X29" i="85"/>
  <c r="X30" i="85" s="1"/>
  <c r="AB29" i="85"/>
  <c r="AB30" i="85" s="1"/>
  <c r="N30" i="85"/>
  <c r="Q29" i="85"/>
  <c r="Q30" i="85" s="1"/>
  <c r="U29" i="85"/>
  <c r="U30" i="85" s="1"/>
  <c r="Y19" i="85" l="1"/>
  <c r="Y20" i="85" s="1"/>
  <c r="AB19" i="85"/>
  <c r="AB20" i="85" s="1"/>
  <c r="P19" i="85"/>
  <c r="P20" i="85" s="1"/>
  <c r="M20" i="85"/>
  <c r="S19" i="85"/>
  <c r="S20" i="85" s="1"/>
  <c r="V19" i="85"/>
  <c r="V20" i="85" s="1"/>
  <c r="Z21" i="85"/>
  <c r="Z22" i="85" s="1"/>
  <c r="AC21" i="85"/>
  <c r="AC22" i="85" s="1"/>
  <c r="Q21" i="85"/>
  <c r="Q22" i="85" s="1"/>
  <c r="N22" i="85"/>
  <c r="T21" i="85"/>
  <c r="T22" i="85" s="1"/>
  <c r="W21" i="85"/>
  <c r="W22" i="85" s="1"/>
  <c r="Z11" i="85"/>
  <c r="Z12" i="85" s="1"/>
  <c r="N12" i="85"/>
  <c r="T11" i="85"/>
  <c r="T12" i="85" s="1"/>
  <c r="AC11" i="85"/>
  <c r="AC12" i="85" s="1"/>
  <c r="W11" i="85"/>
  <c r="W12" i="85" s="1"/>
  <c r="O11" i="85"/>
  <c r="Q11" i="85"/>
  <c r="Q12" i="85" s="1"/>
  <c r="V21" i="85"/>
  <c r="V22" i="85" s="1"/>
  <c r="Y21" i="85"/>
  <c r="Y22" i="85" s="1"/>
  <c r="AB21" i="85"/>
  <c r="AB22" i="85" s="1"/>
  <c r="P21" i="85"/>
  <c r="P22" i="85" s="1"/>
  <c r="M22" i="85"/>
  <c r="S21" i="85"/>
  <c r="S22" i="85" s="1"/>
  <c r="O20" i="85"/>
  <c r="U19" i="85"/>
  <c r="U20" i="85" s="1"/>
  <c r="X19" i="85"/>
  <c r="X20" i="85" s="1"/>
  <c r="AA19" i="85"/>
  <c r="AA20" i="85" s="1"/>
  <c r="AD19" i="85"/>
  <c r="AD20" i="85" s="1"/>
  <c r="R19" i="85"/>
  <c r="R20" i="85" s="1"/>
  <c r="Y7" i="85"/>
  <c r="Y8" i="85" s="1"/>
  <c r="AB7" i="85"/>
  <c r="AB8" i="85" s="1"/>
  <c r="P7" i="85"/>
  <c r="P8" i="85" s="1"/>
  <c r="M8" i="85"/>
  <c r="V7" i="85"/>
  <c r="V8" i="85" s="1"/>
  <c r="S7" i="85"/>
  <c r="S8" i="85" s="1"/>
  <c r="V23" i="85"/>
  <c r="V24" i="85" s="1"/>
  <c r="Y23" i="85"/>
  <c r="Y24" i="85" s="1"/>
  <c r="AB23" i="85"/>
  <c r="AB24" i="85" s="1"/>
  <c r="P23" i="85"/>
  <c r="P24" i="85" s="1"/>
  <c r="M24" i="85"/>
  <c r="S23" i="85"/>
  <c r="S24" i="85" s="1"/>
  <c r="N26" i="85"/>
  <c r="T25" i="85"/>
  <c r="T26" i="85" s="1"/>
  <c r="W25" i="85"/>
  <c r="W26" i="85" s="1"/>
  <c r="Z25" i="85"/>
  <c r="Z26" i="85" s="1"/>
  <c r="AC25" i="85"/>
  <c r="AC26" i="85" s="1"/>
  <c r="Q25" i="85"/>
  <c r="Q26" i="85" s="1"/>
  <c r="AB25" i="85"/>
  <c r="AB26" i="85" s="1"/>
  <c r="P25" i="85"/>
  <c r="P26" i="85" s="1"/>
  <c r="M26" i="85"/>
  <c r="S25" i="85"/>
  <c r="S26" i="85" s="1"/>
  <c r="V25" i="85"/>
  <c r="V26" i="85" s="1"/>
  <c r="Y25" i="85"/>
  <c r="Y26" i="85" s="1"/>
  <c r="X25" i="85"/>
  <c r="X26" i="85" s="1"/>
  <c r="AA25" i="85"/>
  <c r="AA26" i="85" s="1"/>
  <c r="AD25" i="85"/>
  <c r="AD26" i="85" s="1"/>
  <c r="R25" i="85"/>
  <c r="R26" i="85" s="1"/>
  <c r="O26" i="85"/>
  <c r="U25" i="85"/>
  <c r="U26" i="85" s="1"/>
  <c r="AC7" i="85"/>
  <c r="AC8" i="85" s="1"/>
  <c r="Q7" i="85"/>
  <c r="Q8" i="85" s="1"/>
  <c r="T7" i="85"/>
  <c r="T8" i="85" s="1"/>
  <c r="Z7" i="85"/>
  <c r="Z8" i="85" s="1"/>
  <c r="N8" i="85"/>
  <c r="W7" i="85"/>
  <c r="W8" i="85" s="1"/>
  <c r="N32" i="85"/>
  <c r="T31" i="85"/>
  <c r="T32" i="85" s="1"/>
  <c r="W31" i="85"/>
  <c r="W32" i="85" s="1"/>
  <c r="Z31" i="85"/>
  <c r="Z32" i="85" s="1"/>
  <c r="AC31" i="85"/>
  <c r="AC32" i="85" s="1"/>
  <c r="Q31" i="85"/>
  <c r="Q32" i="85" s="1"/>
  <c r="AD21" i="85"/>
  <c r="AD22" i="85" s="1"/>
  <c r="R21" i="85"/>
  <c r="R22" i="85" s="1"/>
  <c r="O22" i="85"/>
  <c r="U21" i="85"/>
  <c r="U22" i="85" s="1"/>
  <c r="X21" i="85"/>
  <c r="X22" i="85" s="1"/>
  <c r="AA21" i="85"/>
  <c r="AA22" i="85" s="1"/>
  <c r="O13" i="85"/>
  <c r="N13" i="85"/>
  <c r="M13" i="85"/>
  <c r="AB31" i="85"/>
  <c r="AB32" i="85" s="1"/>
  <c r="P31" i="85"/>
  <c r="P32" i="85" s="1"/>
  <c r="M32" i="85"/>
  <c r="S31" i="85"/>
  <c r="S32" i="85" s="1"/>
  <c r="V31" i="85"/>
  <c r="V32" i="85" s="1"/>
  <c r="Y31" i="85"/>
  <c r="Y32" i="85" s="1"/>
  <c r="M11" i="85"/>
  <c r="AD23" i="85"/>
  <c r="AD24" i="85" s="1"/>
  <c r="R23" i="85"/>
  <c r="R24" i="85" s="1"/>
  <c r="O24" i="85"/>
  <c r="U23" i="85"/>
  <c r="U24" i="85" s="1"/>
  <c r="X23" i="85"/>
  <c r="X24" i="85" s="1"/>
  <c r="AA23" i="85"/>
  <c r="AA24" i="85" s="1"/>
  <c r="O17" i="85"/>
  <c r="N17" i="85"/>
  <c r="M17" i="85"/>
  <c r="N27" i="85"/>
  <c r="M27" i="85"/>
  <c r="O27" i="85"/>
  <c r="N19" i="85"/>
  <c r="O15" i="85"/>
  <c r="N15" i="85"/>
  <c r="M15" i="85"/>
  <c r="N9" i="85"/>
  <c r="O9" i="85"/>
  <c r="M9" i="85"/>
  <c r="X17" i="85" l="1"/>
  <c r="X18" i="85" s="1"/>
  <c r="AA17" i="85"/>
  <c r="AA18" i="85" s="1"/>
  <c r="AD17" i="85"/>
  <c r="AD18" i="85" s="1"/>
  <c r="R17" i="85"/>
  <c r="R18" i="85" s="1"/>
  <c r="O18" i="85"/>
  <c r="U17" i="85"/>
  <c r="U18" i="85" s="1"/>
  <c r="AD9" i="85"/>
  <c r="AD10" i="85" s="1"/>
  <c r="R9" i="85"/>
  <c r="R10" i="85" s="1"/>
  <c r="X9" i="85"/>
  <c r="X10" i="85" s="1"/>
  <c r="AA9" i="85"/>
  <c r="AA10" i="85" s="1"/>
  <c r="O10" i="85"/>
  <c r="U9" i="85"/>
  <c r="U10" i="85" s="1"/>
  <c r="Z27" i="85"/>
  <c r="Z28" i="85" s="1"/>
  <c r="AC27" i="85"/>
  <c r="AC28" i="85" s="1"/>
  <c r="Q27" i="85"/>
  <c r="Q28" i="85" s="1"/>
  <c r="N28" i="85"/>
  <c r="T27" i="85"/>
  <c r="T28" i="85" s="1"/>
  <c r="W27" i="85"/>
  <c r="W28" i="85" s="1"/>
  <c r="V27" i="85"/>
  <c r="V28" i="85" s="1"/>
  <c r="Y27" i="85"/>
  <c r="Y28" i="85" s="1"/>
  <c r="AB27" i="85"/>
  <c r="AB28" i="85" s="1"/>
  <c r="P27" i="85"/>
  <c r="P28" i="85" s="1"/>
  <c r="M28" i="85"/>
  <c r="S27" i="85"/>
  <c r="S28" i="85" s="1"/>
  <c r="AA15" i="85"/>
  <c r="AA16" i="85" s="1"/>
  <c r="AD15" i="85"/>
  <c r="AD16" i="85" s="1"/>
  <c r="U15" i="85"/>
  <c r="U16" i="85" s="1"/>
  <c r="O16" i="85"/>
  <c r="X15" i="85"/>
  <c r="X16" i="85" s="1"/>
  <c r="R15" i="85"/>
  <c r="R16" i="85" s="1"/>
  <c r="Z9" i="85"/>
  <c r="Z10" i="85" s="1"/>
  <c r="Q9" i="85"/>
  <c r="Q10" i="85" s="1"/>
  <c r="AC9" i="85"/>
  <c r="AC10" i="85" s="1"/>
  <c r="N10" i="85"/>
  <c r="T9" i="85"/>
  <c r="T10" i="85" s="1"/>
  <c r="W9" i="85"/>
  <c r="W10" i="85" s="1"/>
  <c r="AC19" i="85"/>
  <c r="AC20" i="85" s="1"/>
  <c r="Q19" i="85"/>
  <c r="Q20" i="85" s="1"/>
  <c r="N20" i="85"/>
  <c r="T19" i="85"/>
  <c r="T20" i="85" s="1"/>
  <c r="W19" i="85"/>
  <c r="W20" i="85" s="1"/>
  <c r="Z19" i="85"/>
  <c r="Z20" i="85" s="1"/>
  <c r="AB17" i="85"/>
  <c r="AB18" i="85" s="1"/>
  <c r="P17" i="85"/>
  <c r="P18" i="85" s="1"/>
  <c r="M18" i="85"/>
  <c r="S17" i="85"/>
  <c r="S18" i="85" s="1"/>
  <c r="V17" i="85"/>
  <c r="V18" i="85" s="1"/>
  <c r="Y17" i="85"/>
  <c r="Y18" i="85" s="1"/>
  <c r="M14" i="85"/>
  <c r="S13" i="85"/>
  <c r="S14" i="85" s="1"/>
  <c r="V13" i="85"/>
  <c r="V14" i="85" s="1"/>
  <c r="Y13" i="85"/>
  <c r="Y14" i="85" s="1"/>
  <c r="AB13" i="85"/>
  <c r="AB14" i="85" s="1"/>
  <c r="P13" i="85"/>
  <c r="P14" i="85" s="1"/>
  <c r="AD11" i="85"/>
  <c r="AD12" i="85" s="1"/>
  <c r="R11" i="85"/>
  <c r="R12" i="85" s="1"/>
  <c r="O12" i="85"/>
  <c r="U11" i="85"/>
  <c r="U12" i="85" s="1"/>
  <c r="X11" i="85"/>
  <c r="X12" i="85" s="1"/>
  <c r="AA11" i="85"/>
  <c r="AA12" i="85" s="1"/>
  <c r="V9" i="85"/>
  <c r="V10" i="85" s="1"/>
  <c r="Y9" i="85"/>
  <c r="Y10" i="85" s="1"/>
  <c r="M10" i="85"/>
  <c r="S9" i="85"/>
  <c r="S10" i="85" s="1"/>
  <c r="AB9" i="85"/>
  <c r="AB10" i="85" s="1"/>
  <c r="P9" i="85"/>
  <c r="P10" i="85" s="1"/>
  <c r="W15" i="85"/>
  <c r="W16" i="85" s="1"/>
  <c r="Z15" i="85"/>
  <c r="Z16" i="85" s="1"/>
  <c r="N16" i="85"/>
  <c r="AC15" i="85"/>
  <c r="AC16" i="85" s="1"/>
  <c r="Q15" i="85"/>
  <c r="Q16" i="85" s="1"/>
  <c r="T15" i="85"/>
  <c r="T16" i="85" s="1"/>
  <c r="AA13" i="85"/>
  <c r="AA14" i="85" s="1"/>
  <c r="X13" i="85"/>
  <c r="X14" i="85" s="1"/>
  <c r="AD13" i="85"/>
  <c r="AD14" i="85" s="1"/>
  <c r="R13" i="85"/>
  <c r="R14" i="85" s="1"/>
  <c r="O14" i="85"/>
  <c r="U13" i="85"/>
  <c r="U14" i="85" s="1"/>
  <c r="M16" i="85"/>
  <c r="S15" i="85"/>
  <c r="S16" i="85" s="1"/>
  <c r="V15" i="85"/>
  <c r="V16" i="85" s="1"/>
  <c r="AB15" i="85"/>
  <c r="AB16" i="85" s="1"/>
  <c r="P15" i="85"/>
  <c r="P16" i="85" s="1"/>
  <c r="Y15" i="85"/>
  <c r="Y16" i="85" s="1"/>
  <c r="AD27" i="85"/>
  <c r="AD28" i="85" s="1"/>
  <c r="R27" i="85"/>
  <c r="R28" i="85" s="1"/>
  <c r="O28" i="85"/>
  <c r="U27" i="85"/>
  <c r="U28" i="85" s="1"/>
  <c r="X27" i="85"/>
  <c r="X28" i="85" s="1"/>
  <c r="AA27" i="85"/>
  <c r="AA28" i="85" s="1"/>
  <c r="N18" i="85"/>
  <c r="T17" i="85"/>
  <c r="T18" i="85" s="1"/>
  <c r="W17" i="85"/>
  <c r="W18" i="85" s="1"/>
  <c r="Z17" i="85"/>
  <c r="Z18" i="85" s="1"/>
  <c r="AC17" i="85"/>
  <c r="AC18" i="85" s="1"/>
  <c r="Q17" i="85"/>
  <c r="Q18" i="85" s="1"/>
  <c r="V11" i="85"/>
  <c r="V12" i="85" s="1"/>
  <c r="M12" i="85"/>
  <c r="S11" i="85"/>
  <c r="S12" i="85" s="1"/>
  <c r="Y11" i="85"/>
  <c r="Y12" i="85" s="1"/>
  <c r="AB11" i="85"/>
  <c r="AB12" i="85" s="1"/>
  <c r="P11" i="85"/>
  <c r="P12" i="85" s="1"/>
  <c r="W13" i="85"/>
  <c r="W14" i="85" s="1"/>
  <c r="Z13" i="85"/>
  <c r="Z14" i="85" s="1"/>
  <c r="AC13" i="85"/>
  <c r="AC14" i="85" s="1"/>
  <c r="Q13" i="85"/>
  <c r="Q14" i="85" s="1"/>
  <c r="N14" i="85"/>
  <c r="T13" i="85"/>
  <c r="T14" i="85" s="1"/>
  <c r="AE28" i="83" l="1"/>
  <c r="AD28" i="83"/>
  <c r="AA28" i="83"/>
  <c r="Z28" i="83"/>
  <c r="W28" i="83"/>
  <c r="V28" i="83"/>
  <c r="S28" i="83"/>
  <c r="R28" i="83"/>
  <c r="Q28" i="83"/>
  <c r="P28" i="83"/>
  <c r="O28" i="83"/>
  <c r="AF27" i="83"/>
  <c r="AF28" i="83" s="1"/>
  <c r="AE27" i="83"/>
  <c r="AD27" i="83"/>
  <c r="AC27" i="83"/>
  <c r="AC28" i="83" s="1"/>
  <c r="AB27" i="83"/>
  <c r="AB28" i="83" s="1"/>
  <c r="AA27" i="83"/>
  <c r="Z27" i="83"/>
  <c r="Y27" i="83"/>
  <c r="Y28" i="83" s="1"/>
  <c r="X27" i="83"/>
  <c r="X28" i="83" s="1"/>
  <c r="W27" i="83"/>
  <c r="V27" i="83"/>
  <c r="U27" i="83"/>
  <c r="U28" i="83" s="1"/>
  <c r="T27" i="83"/>
  <c r="T28" i="83" s="1"/>
  <c r="S27" i="83"/>
  <c r="R27" i="83"/>
  <c r="N25" i="83"/>
  <c r="J25" i="83"/>
  <c r="I25" i="83"/>
  <c r="M25" i="83" s="1"/>
  <c r="H25" i="83"/>
  <c r="G25" i="83"/>
  <c r="J23" i="83"/>
  <c r="I23" i="83"/>
  <c r="M23" i="83" s="1"/>
  <c r="G23" i="83"/>
  <c r="J21" i="83"/>
  <c r="I21" i="83"/>
  <c r="M21" i="83" s="1"/>
  <c r="H21" i="83"/>
  <c r="G21" i="83"/>
  <c r="K19" i="83"/>
  <c r="J19" i="83"/>
  <c r="I19" i="83"/>
  <c r="M19" i="83" s="1"/>
  <c r="G19" i="83"/>
  <c r="J17" i="83"/>
  <c r="I17" i="83"/>
  <c r="M17" i="83" s="1"/>
  <c r="H17" i="83"/>
  <c r="G17" i="83"/>
  <c r="J15" i="83"/>
  <c r="I15" i="83"/>
  <c r="M15" i="83" s="1"/>
  <c r="H15" i="83"/>
  <c r="L15" i="83" s="1"/>
  <c r="G15" i="83"/>
  <c r="J13" i="83"/>
  <c r="I13" i="83"/>
  <c r="M13" i="83" s="1"/>
  <c r="H13" i="83"/>
  <c r="L13" i="83" s="1"/>
  <c r="G13" i="83"/>
  <c r="J11" i="83"/>
  <c r="I11" i="83"/>
  <c r="M11" i="83" s="1"/>
  <c r="G11" i="83"/>
  <c r="K11" i="83" s="1"/>
  <c r="J9" i="83"/>
  <c r="I9" i="83"/>
  <c r="M9" i="83" s="1"/>
  <c r="G9" i="83"/>
  <c r="J7" i="83"/>
  <c r="I7" i="83"/>
  <c r="M7" i="83" s="1"/>
  <c r="H7" i="83"/>
  <c r="G7" i="83"/>
  <c r="J5" i="83"/>
  <c r="I5" i="83"/>
  <c r="M5" i="83" s="1"/>
  <c r="H5" i="83"/>
  <c r="G5" i="83"/>
  <c r="K5" i="83" l="1"/>
  <c r="P5" i="83" s="1"/>
  <c r="P7" i="83"/>
  <c r="L7" i="83"/>
  <c r="L5" i="83"/>
  <c r="O13" i="83"/>
  <c r="O7" i="83"/>
  <c r="K7" i="83"/>
  <c r="Q7" i="83" s="1"/>
  <c r="H9" i="83"/>
  <c r="L9" i="83" s="1"/>
  <c r="Q9" i="83"/>
  <c r="O15" i="83"/>
  <c r="H11" i="83"/>
  <c r="L11" i="83" s="1"/>
  <c r="K13" i="83"/>
  <c r="P13" i="83" s="1"/>
  <c r="Q13" i="83"/>
  <c r="O11" i="83"/>
  <c r="O23" i="83"/>
  <c r="Q25" i="83"/>
  <c r="K9" i="83"/>
  <c r="O9" i="83" s="1"/>
  <c r="Q17" i="83"/>
  <c r="Q19" i="83"/>
  <c r="H19" i="83"/>
  <c r="L19" i="83" s="1"/>
  <c r="O19" i="83"/>
  <c r="P19" i="83"/>
  <c r="Q21" i="83"/>
  <c r="K15" i="83"/>
  <c r="P15" i="83"/>
  <c r="L17" i="83"/>
  <c r="O21" i="83"/>
  <c r="K23" i="83"/>
  <c r="L25" i="83"/>
  <c r="P25" i="83"/>
  <c r="Q15" i="83"/>
  <c r="K21" i="83"/>
  <c r="P21" i="83" s="1"/>
  <c r="H23" i="83"/>
  <c r="L23" i="83" s="1"/>
  <c r="Q23" i="83"/>
  <c r="L21" i="83"/>
  <c r="K17" i="83"/>
  <c r="O17" i="83" s="1"/>
  <c r="K25" i="83"/>
  <c r="O25" i="83" s="1"/>
  <c r="Q8" i="83" l="1"/>
  <c r="W7" i="83"/>
  <c r="W8" i="83" s="1"/>
  <c r="AF7" i="83"/>
  <c r="AF8" i="83" s="1"/>
  <c r="T7" i="83"/>
  <c r="T8" i="83" s="1"/>
  <c r="Z7" i="83"/>
  <c r="Z8" i="83" s="1"/>
  <c r="AC7" i="83"/>
  <c r="AC8" i="83" s="1"/>
  <c r="AA25" i="83"/>
  <c r="AA26" i="83" s="1"/>
  <c r="AD25" i="83"/>
  <c r="AD26" i="83" s="1"/>
  <c r="R25" i="83"/>
  <c r="R26" i="83" s="1"/>
  <c r="O26" i="83"/>
  <c r="U25" i="83"/>
  <c r="U26" i="83" s="1"/>
  <c r="X25" i="83"/>
  <c r="X26" i="83" s="1"/>
  <c r="X9" i="83"/>
  <c r="X10" i="83" s="1"/>
  <c r="AA9" i="83"/>
  <c r="AA10" i="83" s="1"/>
  <c r="AD9" i="83"/>
  <c r="AD10" i="83" s="1"/>
  <c r="R9" i="83"/>
  <c r="R10" i="83" s="1"/>
  <c r="O10" i="83"/>
  <c r="U9" i="83"/>
  <c r="U10" i="83" s="1"/>
  <c r="P22" i="83"/>
  <c r="V21" i="83"/>
  <c r="V22" i="83" s="1"/>
  <c r="Y21" i="83"/>
  <c r="Y22" i="83" s="1"/>
  <c r="AB21" i="83"/>
  <c r="AB22" i="83" s="1"/>
  <c r="AE21" i="83"/>
  <c r="AE22" i="83" s="1"/>
  <c r="S21" i="83"/>
  <c r="S22" i="83" s="1"/>
  <c r="P14" i="83"/>
  <c r="V13" i="83"/>
  <c r="V14" i="83" s="1"/>
  <c r="AE13" i="83"/>
  <c r="AE14" i="83" s="1"/>
  <c r="Y13" i="83"/>
  <c r="Y14" i="83" s="1"/>
  <c r="S13" i="83"/>
  <c r="S14" i="83" s="1"/>
  <c r="AB13" i="83"/>
  <c r="AB14" i="83" s="1"/>
  <c r="AD21" i="83"/>
  <c r="AD22" i="83" s="1"/>
  <c r="R21" i="83"/>
  <c r="R22" i="83" s="1"/>
  <c r="O22" i="83"/>
  <c r="U21" i="83"/>
  <c r="U22" i="83" s="1"/>
  <c r="X21" i="83"/>
  <c r="X22" i="83" s="1"/>
  <c r="AA21" i="83"/>
  <c r="AA22" i="83" s="1"/>
  <c r="O12" i="83"/>
  <c r="U11" i="83"/>
  <c r="U12" i="83" s="1"/>
  <c r="AA11" i="83"/>
  <c r="AA12" i="83" s="1"/>
  <c r="AD11" i="83"/>
  <c r="AD12" i="83" s="1"/>
  <c r="X11" i="83"/>
  <c r="X12" i="83" s="1"/>
  <c r="R11" i="83"/>
  <c r="R12" i="83" s="1"/>
  <c r="AA23" i="83"/>
  <c r="AA24" i="83" s="1"/>
  <c r="AD23" i="83"/>
  <c r="AD24" i="83" s="1"/>
  <c r="R23" i="83"/>
  <c r="R24" i="83" s="1"/>
  <c r="O24" i="83"/>
  <c r="U23" i="83"/>
  <c r="U24" i="83" s="1"/>
  <c r="X23" i="83"/>
  <c r="X24" i="83" s="1"/>
  <c r="Q11" i="83"/>
  <c r="X17" i="83"/>
  <c r="X18" i="83" s="1"/>
  <c r="AD17" i="83"/>
  <c r="AD18" i="83" s="1"/>
  <c r="R17" i="83"/>
  <c r="R18" i="83" s="1"/>
  <c r="O18" i="83"/>
  <c r="U17" i="83"/>
  <c r="U18" i="83" s="1"/>
  <c r="AA17" i="83"/>
  <c r="AA18" i="83" s="1"/>
  <c r="P23" i="83"/>
  <c r="AE15" i="83"/>
  <c r="AE16" i="83" s="1"/>
  <c r="S15" i="83"/>
  <c r="S16" i="83" s="1"/>
  <c r="Y15" i="83"/>
  <c r="Y16" i="83" s="1"/>
  <c r="AB15" i="83"/>
  <c r="AB16" i="83" s="1"/>
  <c r="V15" i="83"/>
  <c r="V16" i="83" s="1"/>
  <c r="P16" i="83"/>
  <c r="O20" i="83"/>
  <c r="U19" i="83"/>
  <c r="U20" i="83" s="1"/>
  <c r="AA19" i="83"/>
  <c r="AA20" i="83" s="1"/>
  <c r="AD19" i="83"/>
  <c r="AD20" i="83" s="1"/>
  <c r="R19" i="83"/>
  <c r="R20" i="83" s="1"/>
  <c r="X19" i="83"/>
  <c r="X20" i="83" s="1"/>
  <c r="P11" i="83"/>
  <c r="Z13" i="83"/>
  <c r="Z14" i="83" s="1"/>
  <c r="Q14" i="83"/>
  <c r="T13" i="83"/>
  <c r="T14" i="83" s="1"/>
  <c r="AF13" i="83"/>
  <c r="AF14" i="83" s="1"/>
  <c r="AC13" i="83"/>
  <c r="AC14" i="83" s="1"/>
  <c r="W13" i="83"/>
  <c r="W14" i="83" s="1"/>
  <c r="AA15" i="83"/>
  <c r="AA16" i="83" s="1"/>
  <c r="O16" i="83"/>
  <c r="U15" i="83"/>
  <c r="U16" i="83" s="1"/>
  <c r="X15" i="83"/>
  <c r="X16" i="83" s="1"/>
  <c r="R15" i="83"/>
  <c r="R16" i="83" s="1"/>
  <c r="AD15" i="83"/>
  <c r="AD16" i="83" s="1"/>
  <c r="P9" i="83"/>
  <c r="O5" i="83"/>
  <c r="Q16" i="83"/>
  <c r="W15" i="83"/>
  <c r="W16" i="83" s="1"/>
  <c r="AC15" i="83"/>
  <c r="AC16" i="83" s="1"/>
  <c r="AF15" i="83"/>
  <c r="AF16" i="83" s="1"/>
  <c r="T15" i="83"/>
  <c r="T16" i="83" s="1"/>
  <c r="Z15" i="83"/>
  <c r="Z16" i="83" s="1"/>
  <c r="P17" i="83"/>
  <c r="Q24" i="83"/>
  <c r="W23" i="83"/>
  <c r="W24" i="83" s="1"/>
  <c r="Z23" i="83"/>
  <c r="Z24" i="83" s="1"/>
  <c r="AC23" i="83"/>
  <c r="AC24" i="83" s="1"/>
  <c r="AF23" i="83"/>
  <c r="AF24" i="83" s="1"/>
  <c r="T23" i="83"/>
  <c r="T24" i="83" s="1"/>
  <c r="Z21" i="83"/>
  <c r="Z22" i="83" s="1"/>
  <c r="AC21" i="83"/>
  <c r="AC22" i="83" s="1"/>
  <c r="AF21" i="83"/>
  <c r="AF22" i="83" s="1"/>
  <c r="T21" i="83"/>
  <c r="T22" i="83" s="1"/>
  <c r="Q22" i="83"/>
  <c r="W21" i="83"/>
  <c r="W22" i="83" s="1"/>
  <c r="AF9" i="83"/>
  <c r="AF10" i="83" s="1"/>
  <c r="T9" i="83"/>
  <c r="T10" i="83" s="1"/>
  <c r="Q10" i="83"/>
  <c r="W9" i="83"/>
  <c r="W10" i="83" s="1"/>
  <c r="Z9" i="83"/>
  <c r="Z10" i="83" s="1"/>
  <c r="AC9" i="83"/>
  <c r="AC10" i="83" s="1"/>
  <c r="AA7" i="83"/>
  <c r="AA8" i="83" s="1"/>
  <c r="X7" i="83"/>
  <c r="X8" i="83" s="1"/>
  <c r="R7" i="83"/>
  <c r="R8" i="83" s="1"/>
  <c r="O8" i="83"/>
  <c r="AD7" i="83"/>
  <c r="AD8" i="83" s="1"/>
  <c r="U7" i="83"/>
  <c r="U8" i="83" s="1"/>
  <c r="AE7" i="83"/>
  <c r="AE8" i="83" s="1"/>
  <c r="S7" i="83"/>
  <c r="S8" i="83" s="1"/>
  <c r="AB7" i="83"/>
  <c r="AB8" i="83" s="1"/>
  <c r="P8" i="83"/>
  <c r="Y7" i="83"/>
  <c r="Y8" i="83" s="1"/>
  <c r="V7" i="83"/>
  <c r="V8" i="83" s="1"/>
  <c r="Q5" i="83"/>
  <c r="AC19" i="83"/>
  <c r="AC20" i="83" s="1"/>
  <c r="Q20" i="83"/>
  <c r="W19" i="83"/>
  <c r="W20" i="83" s="1"/>
  <c r="Z19" i="83"/>
  <c r="Z20" i="83" s="1"/>
  <c r="AF19" i="83"/>
  <c r="AF20" i="83" s="1"/>
  <c r="T19" i="83"/>
  <c r="T20" i="83" s="1"/>
  <c r="Y19" i="83"/>
  <c r="Y20" i="83" s="1"/>
  <c r="AE19" i="83"/>
  <c r="AE20" i="83" s="1"/>
  <c r="S19" i="83"/>
  <c r="S20" i="83" s="1"/>
  <c r="P20" i="83"/>
  <c r="V19" i="83"/>
  <c r="V20" i="83" s="1"/>
  <c r="AB19" i="83"/>
  <c r="AB20" i="83" s="1"/>
  <c r="P6" i="83"/>
  <c r="V5" i="83"/>
  <c r="V6" i="83" s="1"/>
  <c r="AE5" i="83"/>
  <c r="AE6" i="83" s="1"/>
  <c r="S5" i="83"/>
  <c r="S6" i="83" s="1"/>
  <c r="Y5" i="83"/>
  <c r="Y6" i="83" s="1"/>
  <c r="AB5" i="83"/>
  <c r="AB6" i="83" s="1"/>
  <c r="AE25" i="83"/>
  <c r="AE26" i="83" s="1"/>
  <c r="S25" i="83"/>
  <c r="S26" i="83" s="1"/>
  <c r="P26" i="83"/>
  <c r="V25" i="83"/>
  <c r="V26" i="83" s="1"/>
  <c r="Y25" i="83"/>
  <c r="Y26" i="83" s="1"/>
  <c r="AB25" i="83"/>
  <c r="AB26" i="83" s="1"/>
  <c r="Q26" i="83"/>
  <c r="W25" i="83"/>
  <c r="W26" i="83" s="1"/>
  <c r="Z25" i="83"/>
  <c r="Z26" i="83" s="1"/>
  <c r="AC25" i="83"/>
  <c r="AC26" i="83" s="1"/>
  <c r="AF25" i="83"/>
  <c r="AF26" i="83" s="1"/>
  <c r="T25" i="83"/>
  <c r="T26" i="83" s="1"/>
  <c r="AF17" i="83"/>
  <c r="AF18" i="83" s="1"/>
  <c r="T17" i="83"/>
  <c r="T18" i="83" s="1"/>
  <c r="Z17" i="83"/>
  <c r="Z18" i="83" s="1"/>
  <c r="AC17" i="83"/>
  <c r="AC18" i="83" s="1"/>
  <c r="Q18" i="83"/>
  <c r="W17" i="83"/>
  <c r="W18" i="83" s="1"/>
  <c r="AD13" i="83"/>
  <c r="AD14" i="83" s="1"/>
  <c r="R13" i="83"/>
  <c r="R14" i="83" s="1"/>
  <c r="AA13" i="83"/>
  <c r="AA14" i="83" s="1"/>
  <c r="O14" i="83"/>
  <c r="X13" i="83"/>
  <c r="X14" i="83" s="1"/>
  <c r="U13" i="83"/>
  <c r="U14" i="83" s="1"/>
  <c r="E15" i="20"/>
  <c r="L15" i="20" s="1"/>
  <c r="Z5" i="83" l="1"/>
  <c r="Z6" i="83" s="1"/>
  <c r="Q6" i="83"/>
  <c r="W5" i="83"/>
  <c r="W6" i="83" s="1"/>
  <c r="AF5" i="83"/>
  <c r="AF6" i="83" s="1"/>
  <c r="AC5" i="83"/>
  <c r="AC6" i="83" s="1"/>
  <c r="T5" i="83"/>
  <c r="T6" i="83" s="1"/>
  <c r="AD5" i="83"/>
  <c r="AD6" i="83" s="1"/>
  <c r="R5" i="83"/>
  <c r="R6" i="83" s="1"/>
  <c r="AA5" i="83"/>
  <c r="AA6" i="83" s="1"/>
  <c r="O6" i="83"/>
  <c r="X5" i="83"/>
  <c r="X6" i="83" s="1"/>
  <c r="U5" i="83"/>
  <c r="U6" i="83" s="1"/>
  <c r="Y11" i="83"/>
  <c r="Y12" i="83" s="1"/>
  <c r="V11" i="83"/>
  <c r="V12" i="83" s="1"/>
  <c r="AE11" i="83"/>
  <c r="AE12" i="83" s="1"/>
  <c r="S11" i="83"/>
  <c r="S12" i="83" s="1"/>
  <c r="P12" i="83"/>
  <c r="AB11" i="83"/>
  <c r="AB12" i="83" s="1"/>
  <c r="AC11" i="83"/>
  <c r="AC12" i="83" s="1"/>
  <c r="AF11" i="83"/>
  <c r="AF12" i="83" s="1"/>
  <c r="Z11" i="83"/>
  <c r="Z12" i="83" s="1"/>
  <c r="T11" i="83"/>
  <c r="T12" i="83" s="1"/>
  <c r="Q12" i="83"/>
  <c r="W11" i="83"/>
  <c r="W12" i="83" s="1"/>
  <c r="AB17" i="83"/>
  <c r="AB18" i="83" s="1"/>
  <c r="P18" i="83"/>
  <c r="V17" i="83"/>
  <c r="V18" i="83" s="1"/>
  <c r="Y17" i="83"/>
  <c r="Y18" i="83" s="1"/>
  <c r="S17" i="83"/>
  <c r="S18" i="83" s="1"/>
  <c r="AE17" i="83"/>
  <c r="AE18" i="83" s="1"/>
  <c r="AB9" i="83"/>
  <c r="AB10" i="83" s="1"/>
  <c r="AE9" i="83"/>
  <c r="AE10" i="83" s="1"/>
  <c r="S9" i="83"/>
  <c r="S10" i="83" s="1"/>
  <c r="P10" i="83"/>
  <c r="V9" i="83"/>
  <c r="V10" i="83" s="1"/>
  <c r="Y9" i="83"/>
  <c r="Y10" i="83" s="1"/>
  <c r="AE23" i="83"/>
  <c r="AE24" i="83" s="1"/>
  <c r="S23" i="83"/>
  <c r="S24" i="83" s="1"/>
  <c r="P24" i="83"/>
  <c r="V23" i="83"/>
  <c r="V24" i="83" s="1"/>
  <c r="Y23" i="83"/>
  <c r="Y24" i="83" s="1"/>
  <c r="AB23" i="83"/>
  <c r="AB24" i="83" s="1"/>
  <c r="I15" i="20"/>
  <c r="K15" i="20"/>
  <c r="F15" i="20"/>
  <c r="G15" i="20" s="1"/>
  <c r="J15" i="20"/>
  <c r="H15" i="20"/>
  <c r="O15" i="20" l="1"/>
  <c r="N15" i="20"/>
  <c r="M15" i="20"/>
  <c r="AB15" i="20" l="1"/>
  <c r="AB16" i="20" s="1"/>
  <c r="P15" i="20"/>
  <c r="P16" i="20" s="1"/>
  <c r="M16" i="20"/>
  <c r="S15" i="20"/>
  <c r="S16" i="20" s="1"/>
  <c r="V15" i="20"/>
  <c r="V16" i="20" s="1"/>
  <c r="Y15" i="20"/>
  <c r="Y16" i="20" s="1"/>
  <c r="N16" i="20"/>
  <c r="T15" i="20"/>
  <c r="T16" i="20" s="1"/>
  <c r="Z15" i="20"/>
  <c r="Z16" i="20" s="1"/>
  <c r="W15" i="20"/>
  <c r="W16" i="20" s="1"/>
  <c r="AC15" i="20"/>
  <c r="AC16" i="20" s="1"/>
  <c r="Q15" i="20"/>
  <c r="Q16" i="20" s="1"/>
  <c r="X15" i="20"/>
  <c r="X16" i="20" s="1"/>
  <c r="R15" i="20"/>
  <c r="R16" i="20" s="1"/>
  <c r="AA15" i="20"/>
  <c r="AA16" i="20" s="1"/>
  <c r="AD15" i="20"/>
  <c r="AD16" i="20" s="1"/>
  <c r="O16" i="20"/>
  <c r="U15" i="20"/>
  <c r="U16" i="20" s="1"/>
  <c r="H18" i="22" l="1"/>
  <c r="P24" i="52" l="1"/>
  <c r="AE24" i="52" s="1"/>
  <c r="AE25" i="52" s="1"/>
  <c r="J24" i="52"/>
  <c r="M22" i="52"/>
  <c r="K22" i="52"/>
  <c r="H22" i="52"/>
  <c r="N22" i="52" s="1"/>
  <c r="M20" i="52"/>
  <c r="K20" i="52"/>
  <c r="H20" i="52"/>
  <c r="N20" i="52" s="1"/>
  <c r="H18" i="52"/>
  <c r="N18" i="52" s="1"/>
  <c r="M16" i="52"/>
  <c r="K16" i="52"/>
  <c r="H16" i="52"/>
  <c r="N16" i="52" s="1"/>
  <c r="M14" i="52"/>
  <c r="K14" i="52"/>
  <c r="H14" i="52"/>
  <c r="N14" i="52" s="1"/>
  <c r="H12" i="52"/>
  <c r="M12" i="52" s="1"/>
  <c r="H10" i="52"/>
  <c r="M10" i="52" s="1"/>
  <c r="H8" i="52"/>
  <c r="N8" i="52" s="1"/>
  <c r="I7" i="52"/>
  <c r="I22" i="52" l="1"/>
  <c r="I20" i="52"/>
  <c r="I18" i="52"/>
  <c r="I16" i="52"/>
  <c r="I14" i="52"/>
  <c r="I8" i="52"/>
  <c r="K8" i="52"/>
  <c r="M8" i="52"/>
  <c r="O8" i="52" s="1"/>
  <c r="O16" i="52"/>
  <c r="J8" i="52"/>
  <c r="L8" i="52"/>
  <c r="O14" i="52"/>
  <c r="J10" i="52"/>
  <c r="L10" i="52"/>
  <c r="N10" i="52"/>
  <c r="O10" i="52" s="1"/>
  <c r="J12" i="52"/>
  <c r="L12" i="52"/>
  <c r="N12" i="52"/>
  <c r="O12" i="52" s="1"/>
  <c r="J14" i="52"/>
  <c r="L14" i="52"/>
  <c r="J16" i="52"/>
  <c r="L16" i="52"/>
  <c r="O20" i="52"/>
  <c r="I10" i="52"/>
  <c r="K10" i="52"/>
  <c r="I12" i="52"/>
  <c r="P12" i="52" s="1"/>
  <c r="K12" i="52"/>
  <c r="O22" i="52"/>
  <c r="K18" i="52"/>
  <c r="M18" i="52"/>
  <c r="O18" i="52" s="1"/>
  <c r="V24" i="52"/>
  <c r="V25" i="52" s="1"/>
  <c r="AB24" i="52"/>
  <c r="AB25" i="52" s="1"/>
  <c r="P25" i="52"/>
  <c r="J18" i="52"/>
  <c r="L18" i="52"/>
  <c r="J20" i="52"/>
  <c r="L20" i="52"/>
  <c r="J22" i="52"/>
  <c r="L22" i="52"/>
  <c r="Q24" i="52"/>
  <c r="S24" i="52"/>
  <c r="S25" i="52" s="1"/>
  <c r="Y24" i="52"/>
  <c r="Y25" i="52" s="1"/>
  <c r="Q25" i="52" l="1"/>
  <c r="AC24" i="52"/>
  <c r="AC25" i="52" s="1"/>
  <c r="W24" i="52"/>
  <c r="W25" i="52" s="1"/>
  <c r="AF24" i="52"/>
  <c r="AF25" i="52" s="1"/>
  <c r="Z24" i="52"/>
  <c r="Z25" i="52" s="1"/>
  <c r="T24" i="52"/>
  <c r="T25" i="52" s="1"/>
  <c r="R24" i="52"/>
  <c r="AE12" i="52"/>
  <c r="AE13" i="52" s="1"/>
  <c r="Y12" i="52"/>
  <c r="Y13" i="52" s="1"/>
  <c r="S12" i="52"/>
  <c r="S13" i="52" s="1"/>
  <c r="Q12" i="52"/>
  <c r="P13" i="52"/>
  <c r="AB12" i="52"/>
  <c r="AB13" i="52" s="1"/>
  <c r="V12" i="52"/>
  <c r="V13" i="52" s="1"/>
  <c r="P10" i="52"/>
  <c r="P8" i="52"/>
  <c r="P16" i="52"/>
  <c r="P20" i="52"/>
  <c r="P14" i="52"/>
  <c r="P18" i="52"/>
  <c r="P22" i="52"/>
  <c r="P19" i="52" l="1"/>
  <c r="AB18" i="52"/>
  <c r="AB19" i="52" s="1"/>
  <c r="V18" i="52"/>
  <c r="V19" i="52" s="1"/>
  <c r="AE18" i="52"/>
  <c r="AE19" i="52" s="1"/>
  <c r="Y18" i="52"/>
  <c r="Y19" i="52" s="1"/>
  <c r="S18" i="52"/>
  <c r="S19" i="52" s="1"/>
  <c r="Q18" i="52"/>
  <c r="P21" i="52"/>
  <c r="AB20" i="52"/>
  <c r="AB21" i="52" s="1"/>
  <c r="V20" i="52"/>
  <c r="V21" i="52" s="1"/>
  <c r="AE20" i="52"/>
  <c r="AE21" i="52" s="1"/>
  <c r="Y20" i="52"/>
  <c r="Y21" i="52" s="1"/>
  <c r="S20" i="52"/>
  <c r="S21" i="52" s="1"/>
  <c r="Q20" i="52"/>
  <c r="P9" i="52"/>
  <c r="AB8" i="52"/>
  <c r="AB9" i="52" s="1"/>
  <c r="V8" i="52"/>
  <c r="V9" i="52" s="1"/>
  <c r="AE8" i="52"/>
  <c r="AE9" i="52" s="1"/>
  <c r="Y8" i="52"/>
  <c r="Y9" i="52" s="1"/>
  <c r="S8" i="52"/>
  <c r="S9" i="52" s="1"/>
  <c r="Q8" i="52"/>
  <c r="P23" i="52"/>
  <c r="AB22" i="52"/>
  <c r="AB23" i="52" s="1"/>
  <c r="V22" i="52"/>
  <c r="V23" i="52" s="1"/>
  <c r="AE22" i="52"/>
  <c r="AE23" i="52" s="1"/>
  <c r="Y22" i="52"/>
  <c r="Y23" i="52" s="1"/>
  <c r="S22" i="52"/>
  <c r="S23" i="52" s="1"/>
  <c r="Q22" i="52"/>
  <c r="AE14" i="52"/>
  <c r="AE15" i="52" s="1"/>
  <c r="Y14" i="52"/>
  <c r="Y15" i="52" s="1"/>
  <c r="S14" i="52"/>
  <c r="S15" i="52" s="1"/>
  <c r="Q14" i="52"/>
  <c r="P15" i="52"/>
  <c r="AB14" i="52"/>
  <c r="AB15" i="52" s="1"/>
  <c r="V14" i="52"/>
  <c r="V15" i="52" s="1"/>
  <c r="AE16" i="52"/>
  <c r="AE17" i="52" s="1"/>
  <c r="Y16" i="52"/>
  <c r="Y17" i="52" s="1"/>
  <c r="S16" i="52"/>
  <c r="S17" i="52" s="1"/>
  <c r="Q16" i="52"/>
  <c r="P17" i="52"/>
  <c r="AB16" i="52"/>
  <c r="AB17" i="52" s="1"/>
  <c r="V16" i="52"/>
  <c r="V17" i="52" s="1"/>
  <c r="AE10" i="52"/>
  <c r="AE11" i="52" s="1"/>
  <c r="Y10" i="52"/>
  <c r="Y11" i="52" s="1"/>
  <c r="S10" i="52"/>
  <c r="S11" i="52" s="1"/>
  <c r="Q10" i="52"/>
  <c r="P11" i="52"/>
  <c r="AB10" i="52"/>
  <c r="AB11" i="52" s="1"/>
  <c r="V10" i="52"/>
  <c r="V11" i="52" s="1"/>
  <c r="Q13" i="52"/>
  <c r="AC12" i="52"/>
  <c r="AC13" i="52" s="1"/>
  <c r="W12" i="52"/>
  <c r="W13" i="52" s="1"/>
  <c r="AF12" i="52"/>
  <c r="AF13" i="52" s="1"/>
  <c r="Z12" i="52"/>
  <c r="Z13" i="52" s="1"/>
  <c r="T12" i="52"/>
  <c r="T13" i="52" s="1"/>
  <c r="R12" i="52"/>
  <c r="AG24" i="52"/>
  <c r="AG25" i="52" s="1"/>
  <c r="AA24" i="52"/>
  <c r="AA25" i="52" s="1"/>
  <c r="U24" i="52"/>
  <c r="U25" i="52" s="1"/>
  <c r="R25" i="52"/>
  <c r="AD24" i="52"/>
  <c r="AD25" i="52" s="1"/>
  <c r="X24" i="52"/>
  <c r="X25" i="52" s="1"/>
  <c r="AG12" i="52" l="1"/>
  <c r="AG13" i="52" s="1"/>
  <c r="AA12" i="52"/>
  <c r="AA13" i="52" s="1"/>
  <c r="U12" i="52"/>
  <c r="U13" i="52" s="1"/>
  <c r="R13" i="52"/>
  <c r="AD12" i="52"/>
  <c r="AD13" i="52" s="1"/>
  <c r="X12" i="52"/>
  <c r="X13" i="52" s="1"/>
  <c r="Q11" i="52"/>
  <c r="AC10" i="52"/>
  <c r="AC11" i="52" s="1"/>
  <c r="W10" i="52"/>
  <c r="W11" i="52" s="1"/>
  <c r="AF10" i="52"/>
  <c r="AF11" i="52" s="1"/>
  <c r="Z10" i="52"/>
  <c r="Z11" i="52" s="1"/>
  <c r="T10" i="52"/>
  <c r="T11" i="52" s="1"/>
  <c r="R10" i="52"/>
  <c r="Q15" i="52"/>
  <c r="AC14" i="52"/>
  <c r="AC15" i="52" s="1"/>
  <c r="W14" i="52"/>
  <c r="W15" i="52" s="1"/>
  <c r="AF14" i="52"/>
  <c r="AF15" i="52" s="1"/>
  <c r="Z14" i="52"/>
  <c r="Z15" i="52" s="1"/>
  <c r="T14" i="52"/>
  <c r="T15" i="52" s="1"/>
  <c r="R14" i="52"/>
  <c r="AF22" i="52"/>
  <c r="AF23" i="52" s="1"/>
  <c r="Z22" i="52"/>
  <c r="Z23" i="52" s="1"/>
  <c r="T22" i="52"/>
  <c r="T23" i="52" s="1"/>
  <c r="R22" i="52"/>
  <c r="Q23" i="52"/>
  <c r="AC22" i="52"/>
  <c r="AC23" i="52" s="1"/>
  <c r="W22" i="52"/>
  <c r="W23" i="52" s="1"/>
  <c r="AF20" i="52"/>
  <c r="AF21" i="52" s="1"/>
  <c r="Z20" i="52"/>
  <c r="Z21" i="52" s="1"/>
  <c r="T20" i="52"/>
  <c r="T21" i="52" s="1"/>
  <c r="R20" i="52"/>
  <c r="Q21" i="52"/>
  <c r="AC20" i="52"/>
  <c r="AC21" i="52" s="1"/>
  <c r="W20" i="52"/>
  <c r="W21" i="52" s="1"/>
  <c r="Q17" i="52"/>
  <c r="AC16" i="52"/>
  <c r="AC17" i="52" s="1"/>
  <c r="W16" i="52"/>
  <c r="W17" i="52" s="1"/>
  <c r="AF16" i="52"/>
  <c r="AF17" i="52" s="1"/>
  <c r="Z16" i="52"/>
  <c r="Z17" i="52" s="1"/>
  <c r="T16" i="52"/>
  <c r="T17" i="52" s="1"/>
  <c r="R16" i="52"/>
  <c r="Q9" i="52"/>
  <c r="AF8" i="52"/>
  <c r="AF9" i="52" s="1"/>
  <c r="Z8" i="52"/>
  <c r="Z9" i="52" s="1"/>
  <c r="T8" i="52"/>
  <c r="T9" i="52" s="1"/>
  <c r="R8" i="52"/>
  <c r="AC8" i="52"/>
  <c r="AC9" i="52" s="1"/>
  <c r="W8" i="52"/>
  <c r="W9" i="52" s="1"/>
  <c r="AF18" i="52"/>
  <c r="AF19" i="52" s="1"/>
  <c r="Z18" i="52"/>
  <c r="Z19" i="52" s="1"/>
  <c r="T18" i="52"/>
  <c r="T19" i="52" s="1"/>
  <c r="R18" i="52"/>
  <c r="Q19" i="52"/>
  <c r="AC18" i="52"/>
  <c r="AC19" i="52" s="1"/>
  <c r="W18" i="52"/>
  <c r="W19" i="52" s="1"/>
  <c r="R19" i="52" l="1"/>
  <c r="AD18" i="52"/>
  <c r="AD19" i="52" s="1"/>
  <c r="X18" i="52"/>
  <c r="X19" i="52" s="1"/>
  <c r="AG18" i="52"/>
  <c r="AG19" i="52" s="1"/>
  <c r="AA18" i="52"/>
  <c r="AA19" i="52" s="1"/>
  <c r="U18" i="52"/>
  <c r="U19" i="52" s="1"/>
  <c r="AD8" i="52"/>
  <c r="AD9" i="52" s="1"/>
  <c r="X8" i="52"/>
  <c r="X9" i="52" s="1"/>
  <c r="R9" i="52"/>
  <c r="AG8" i="52"/>
  <c r="AG9" i="52" s="1"/>
  <c r="AA8" i="52"/>
  <c r="AA9" i="52" s="1"/>
  <c r="U8" i="52"/>
  <c r="U9" i="52" s="1"/>
  <c r="R23" i="52"/>
  <c r="AD22" i="52"/>
  <c r="AD23" i="52" s="1"/>
  <c r="X22" i="52"/>
  <c r="X23" i="52" s="1"/>
  <c r="AG22" i="52"/>
  <c r="AG23" i="52" s="1"/>
  <c r="AA22" i="52"/>
  <c r="AA23" i="52" s="1"/>
  <c r="U22" i="52"/>
  <c r="U23" i="52" s="1"/>
  <c r="AG14" i="52"/>
  <c r="AG15" i="52" s="1"/>
  <c r="AA14" i="52"/>
  <c r="AA15" i="52" s="1"/>
  <c r="U14" i="52"/>
  <c r="U15" i="52" s="1"/>
  <c r="R15" i="52"/>
  <c r="AD14" i="52"/>
  <c r="AD15" i="52" s="1"/>
  <c r="X14" i="52"/>
  <c r="X15" i="52" s="1"/>
  <c r="AG16" i="52"/>
  <c r="AG17" i="52" s="1"/>
  <c r="AA16" i="52"/>
  <c r="AA17" i="52" s="1"/>
  <c r="U16" i="52"/>
  <c r="U17" i="52" s="1"/>
  <c r="R17" i="52"/>
  <c r="AD16" i="52"/>
  <c r="AD17" i="52" s="1"/>
  <c r="X16" i="52"/>
  <c r="X17" i="52" s="1"/>
  <c r="R21" i="52"/>
  <c r="AD20" i="52"/>
  <c r="AD21" i="52" s="1"/>
  <c r="X20" i="52"/>
  <c r="X21" i="52" s="1"/>
  <c r="AG20" i="52"/>
  <c r="AG21" i="52" s="1"/>
  <c r="AA20" i="52"/>
  <c r="AA21" i="52" s="1"/>
  <c r="U20" i="52"/>
  <c r="U21" i="52" s="1"/>
  <c r="AG10" i="52"/>
  <c r="AG11" i="52" s="1"/>
  <c r="AA10" i="52"/>
  <c r="AA11" i="52" s="1"/>
  <c r="U10" i="52"/>
  <c r="U11" i="52" s="1"/>
  <c r="R11" i="52"/>
  <c r="AD10" i="52"/>
  <c r="AD11" i="52" s="1"/>
  <c r="X10" i="52"/>
  <c r="X11" i="52" s="1"/>
  <c r="E16" i="22" l="1"/>
  <c r="F16" i="22" s="1"/>
  <c r="J16" i="22" s="1"/>
  <c r="E14" i="22"/>
  <c r="F14" i="22" s="1"/>
  <c r="I14" i="22" s="1"/>
  <c r="E12" i="22"/>
  <c r="F12" i="22" s="1"/>
  <c r="G12" i="22" s="1"/>
  <c r="E10" i="22"/>
  <c r="F10" i="22" s="1"/>
  <c r="J10" i="22" s="1"/>
  <c r="E8" i="22"/>
  <c r="F8" i="22" s="1"/>
  <c r="J8" i="22" s="1"/>
  <c r="E6" i="22"/>
  <c r="F6" i="22" s="1"/>
  <c r="G6" i="22" s="1"/>
  <c r="I6" i="22" l="1"/>
  <c r="G8" i="22"/>
  <c r="G16" i="22"/>
  <c r="H6" i="22"/>
  <c r="G10" i="22"/>
  <c r="G14" i="22"/>
  <c r="H12" i="22"/>
  <c r="M8" i="22"/>
  <c r="K8" i="22"/>
  <c r="N8" i="22"/>
  <c r="L8" i="22"/>
  <c r="N10" i="22"/>
  <c r="M10" i="22"/>
  <c r="K10" i="22"/>
  <c r="L10" i="22"/>
  <c r="N16" i="22"/>
  <c r="L16" i="22"/>
  <c r="M16" i="22"/>
  <c r="K16" i="22"/>
  <c r="H8" i="22"/>
  <c r="H10" i="22"/>
  <c r="J12" i="22"/>
  <c r="H14" i="22"/>
  <c r="J14" i="22"/>
  <c r="I8" i="22"/>
  <c r="I10" i="22"/>
  <c r="I12" i="22"/>
  <c r="I16" i="22"/>
  <c r="H16" i="22"/>
  <c r="J6" i="22"/>
  <c r="Q16" i="22" l="1"/>
  <c r="W16" i="22" s="1"/>
  <c r="W17" i="22" s="1"/>
  <c r="O16" i="22"/>
  <c r="U16" i="22" s="1"/>
  <c r="U17" i="22" s="1"/>
  <c r="P16" i="22"/>
  <c r="V16" i="22" s="1"/>
  <c r="V17" i="22" s="1"/>
  <c r="Q12" i="22"/>
  <c r="W12" i="22" s="1"/>
  <c r="W13" i="22" s="1"/>
  <c r="Q8" i="22"/>
  <c r="W8" i="22" s="1"/>
  <c r="W9" i="22" s="1"/>
  <c r="O8" i="22"/>
  <c r="U8" i="22" s="1"/>
  <c r="U9" i="22" s="1"/>
  <c r="P8" i="22"/>
  <c r="V8" i="22" s="1"/>
  <c r="V9" i="22" s="1"/>
  <c r="Q14" i="22"/>
  <c r="W14" i="22" s="1"/>
  <c r="W15" i="22" s="1"/>
  <c r="P10" i="22"/>
  <c r="V10" i="22" s="1"/>
  <c r="V11" i="22" s="1"/>
  <c r="Q10" i="22"/>
  <c r="W10" i="22" s="1"/>
  <c r="W11" i="22" s="1"/>
  <c r="O10" i="22"/>
  <c r="U10" i="22" s="1"/>
  <c r="U11" i="22" s="1"/>
  <c r="Q6" i="22"/>
  <c r="W6" i="22" s="1"/>
  <c r="W7" i="22" s="1"/>
  <c r="L14" i="22"/>
  <c r="M14" i="22"/>
  <c r="K14" i="22"/>
  <c r="O14" i="22" s="1"/>
  <c r="U14" i="22" s="1"/>
  <c r="U15" i="22" s="1"/>
  <c r="N14" i="22"/>
  <c r="M12" i="22"/>
  <c r="K12" i="22"/>
  <c r="O12" i="22" s="1"/>
  <c r="U12" i="22" s="1"/>
  <c r="U13" i="22" s="1"/>
  <c r="N12" i="22"/>
  <c r="L12" i="22"/>
  <c r="P12" i="22" s="1"/>
  <c r="V12" i="22" s="1"/>
  <c r="V13" i="22" s="1"/>
  <c r="N6" i="22"/>
  <c r="L6" i="22"/>
  <c r="M6" i="22"/>
  <c r="K6" i="22"/>
  <c r="O6" i="22" s="1"/>
  <c r="U6" i="22" s="1"/>
  <c r="U7" i="22" s="1"/>
  <c r="P9" i="22" l="1"/>
  <c r="Y8" i="22"/>
  <c r="Y9" i="22" s="1"/>
  <c r="AB8" i="22"/>
  <c r="AB9" i="22" s="1"/>
  <c r="AE8" i="22"/>
  <c r="AE9" i="22" s="1"/>
  <c r="S8" i="22"/>
  <c r="S9" i="22" s="1"/>
  <c r="Q9" i="22"/>
  <c r="AC8" i="22"/>
  <c r="AC9" i="22" s="1"/>
  <c r="T8" i="22"/>
  <c r="T9" i="22" s="1"/>
  <c r="Z8" i="22"/>
  <c r="Z9" i="22" s="1"/>
  <c r="AF8" i="22"/>
  <c r="AF9" i="22" s="1"/>
  <c r="P13" i="22"/>
  <c r="S12" i="22"/>
  <c r="S13" i="22" s="1"/>
  <c r="AE12" i="22"/>
  <c r="AE13" i="22" s="1"/>
  <c r="AB12" i="22"/>
  <c r="AB13" i="22" s="1"/>
  <c r="Y12" i="22"/>
  <c r="Y13" i="22" s="1"/>
  <c r="AD16" i="22"/>
  <c r="AD17" i="22" s="1"/>
  <c r="O17" i="22"/>
  <c r="AA16" i="22"/>
  <c r="AA17" i="22" s="1"/>
  <c r="R16" i="22"/>
  <c r="R17" i="22" s="1"/>
  <c r="X16" i="22"/>
  <c r="X17" i="22" s="1"/>
  <c r="AD12" i="22"/>
  <c r="AD13" i="22" s="1"/>
  <c r="O13" i="22"/>
  <c r="AA12" i="22"/>
  <c r="AA13" i="22" s="1"/>
  <c r="R12" i="22"/>
  <c r="R13" i="22" s="1"/>
  <c r="X12" i="22"/>
  <c r="X13" i="22" s="1"/>
  <c r="P6" i="22"/>
  <c r="V6" i="22" s="1"/>
  <c r="V7" i="22" s="1"/>
  <c r="P14" i="22"/>
  <c r="V14" i="22" s="1"/>
  <c r="V15" i="22" s="1"/>
  <c r="AD8" i="22"/>
  <c r="AD9" i="22" s="1"/>
  <c r="O9" i="22"/>
  <c r="AA8" i="22"/>
  <c r="AA9" i="22" s="1"/>
  <c r="R8" i="22"/>
  <c r="R9" i="22" s="1"/>
  <c r="X8" i="22"/>
  <c r="X9" i="22" s="1"/>
  <c r="AF12" i="22"/>
  <c r="AF13" i="22" s="1"/>
  <c r="Q13" i="22"/>
  <c r="AC12" i="22"/>
  <c r="AC13" i="22" s="1"/>
  <c r="T12" i="22"/>
  <c r="T13" i="22" s="1"/>
  <c r="Z12" i="22"/>
  <c r="Z13" i="22" s="1"/>
  <c r="P17" i="22"/>
  <c r="S16" i="22"/>
  <c r="S17" i="22" s="1"/>
  <c r="Y16" i="22"/>
  <c r="Y17" i="22" s="1"/>
  <c r="AE16" i="22"/>
  <c r="AE17" i="22" s="1"/>
  <c r="AB16" i="22"/>
  <c r="AB17" i="22" s="1"/>
  <c r="AF16" i="22"/>
  <c r="AF17" i="22" s="1"/>
  <c r="Q17" i="22"/>
  <c r="AC16" i="22"/>
  <c r="AC17" i="22" s="1"/>
  <c r="T16" i="22"/>
  <c r="T17" i="22" s="1"/>
  <c r="Z16" i="22"/>
  <c r="Z17" i="22" s="1"/>
  <c r="AD14" i="22"/>
  <c r="AD15" i="22" s="1"/>
  <c r="AA14" i="22"/>
  <c r="AA15" i="22" s="1"/>
  <c r="R14" i="22"/>
  <c r="R15" i="22" s="1"/>
  <c r="O15" i="22"/>
  <c r="X14" i="22"/>
  <c r="X15" i="22" s="1"/>
  <c r="AF14" i="22"/>
  <c r="AF15" i="22" s="1"/>
  <c r="Q15" i="22"/>
  <c r="AC14" i="22"/>
  <c r="AC15" i="22" s="1"/>
  <c r="T14" i="22"/>
  <c r="T15" i="22" s="1"/>
  <c r="Z14" i="22"/>
  <c r="Z15" i="22" s="1"/>
  <c r="AD10" i="22"/>
  <c r="AD11" i="22" s="1"/>
  <c r="AA10" i="22"/>
  <c r="AA11" i="22" s="1"/>
  <c r="R10" i="22"/>
  <c r="R11" i="22" s="1"/>
  <c r="O11" i="22"/>
  <c r="X10" i="22"/>
  <c r="X11" i="22" s="1"/>
  <c r="AE10" i="22"/>
  <c r="AE11" i="22" s="1"/>
  <c r="AB10" i="22"/>
  <c r="AB11" i="22" s="1"/>
  <c r="Y10" i="22"/>
  <c r="Y11" i="22" s="1"/>
  <c r="P11" i="22"/>
  <c r="S10" i="22"/>
  <c r="S11" i="22" s="1"/>
  <c r="AF10" i="22"/>
  <c r="AF11" i="22" s="1"/>
  <c r="T10" i="22"/>
  <c r="T11" i="22" s="1"/>
  <c r="Q11" i="22"/>
  <c r="AC10" i="22"/>
  <c r="AC11" i="22" s="1"/>
  <c r="Z10" i="22"/>
  <c r="Z11" i="22" s="1"/>
  <c r="AD6" i="22"/>
  <c r="AD7" i="22" s="1"/>
  <c r="O7" i="22"/>
  <c r="AA6" i="22"/>
  <c r="AA7" i="22" s="1"/>
  <c r="R6" i="22"/>
  <c r="R7" i="22" s="1"/>
  <c r="X6" i="22"/>
  <c r="X7" i="22" s="1"/>
  <c r="S6" i="22"/>
  <c r="S7" i="22" s="1"/>
  <c r="AF6" i="22"/>
  <c r="AF7" i="22" s="1"/>
  <c r="Q7" i="22"/>
  <c r="AC6" i="22"/>
  <c r="AC7" i="22" s="1"/>
  <c r="T6" i="22"/>
  <c r="T7" i="22" s="1"/>
  <c r="Z6" i="22"/>
  <c r="Z7" i="22" s="1"/>
  <c r="Y14" i="22" l="1"/>
  <c r="Y15" i="22" s="1"/>
  <c r="S14" i="22"/>
  <c r="S15" i="22" s="1"/>
  <c r="AE14" i="22"/>
  <c r="AE15" i="22" s="1"/>
  <c r="AB6" i="22"/>
  <c r="AB7" i="22" s="1"/>
  <c r="AE6" i="22"/>
  <c r="AE7" i="22" s="1"/>
  <c r="Y6" i="22"/>
  <c r="Y7" i="22" s="1"/>
  <c r="AB14" i="22"/>
  <c r="AB15" i="22" s="1"/>
  <c r="P15" i="22"/>
  <c r="P7" i="22"/>
  <c r="H25" i="20" l="1"/>
  <c r="E25" i="20"/>
  <c r="E23" i="20"/>
  <c r="H23" i="20" s="1"/>
  <c r="E21" i="20"/>
  <c r="E19" i="20"/>
  <c r="I19" i="20" s="1"/>
  <c r="E17" i="20"/>
  <c r="I17" i="20" s="1"/>
  <c r="E13" i="20"/>
  <c r="I13" i="20" s="1"/>
  <c r="E11" i="20"/>
  <c r="I11" i="20" s="1"/>
  <c r="E9" i="20"/>
  <c r="E7" i="20"/>
  <c r="I7" i="20" s="1"/>
  <c r="F19" i="20" l="1"/>
  <c r="G19" i="20" s="1"/>
  <c r="F21" i="20"/>
  <c r="G21" i="20" s="1"/>
  <c r="I21" i="20"/>
  <c r="F9" i="20"/>
  <c r="G9" i="20" s="1"/>
  <c r="I9" i="20"/>
  <c r="L25" i="20"/>
  <c r="I25" i="20"/>
  <c r="L11" i="20"/>
  <c r="K11" i="20"/>
  <c r="J11" i="20"/>
  <c r="L17" i="20"/>
  <c r="K17" i="20"/>
  <c r="J17" i="20"/>
  <c r="L7" i="20"/>
  <c r="K7" i="20"/>
  <c r="J7" i="20"/>
  <c r="L13" i="20"/>
  <c r="K13" i="20"/>
  <c r="J13" i="20"/>
  <c r="L19" i="20"/>
  <c r="K19" i="20"/>
  <c r="J19" i="20"/>
  <c r="L9" i="20"/>
  <c r="K9" i="20"/>
  <c r="J9" i="20"/>
  <c r="L21" i="20"/>
  <c r="K21" i="20"/>
  <c r="J21" i="20"/>
  <c r="H9" i="20"/>
  <c r="H19" i="20"/>
  <c r="F25" i="20"/>
  <c r="G25" i="20" s="1"/>
  <c r="M25" i="20" s="1"/>
  <c r="S25" i="20" s="1"/>
  <c r="S26" i="20" s="1"/>
  <c r="H7" i="20"/>
  <c r="F7" i="20"/>
  <c r="G7" i="20" s="1"/>
  <c r="F11" i="20"/>
  <c r="G11" i="20" s="1"/>
  <c r="H11" i="20"/>
  <c r="F13" i="20"/>
  <c r="G13" i="20" s="1"/>
  <c r="H13" i="20"/>
  <c r="F17" i="20"/>
  <c r="G17" i="20" s="1"/>
  <c r="H17" i="20"/>
  <c r="H21" i="20"/>
  <c r="F23" i="20"/>
  <c r="G23" i="20" s="1"/>
  <c r="M23" i="20" s="1"/>
  <c r="S23" i="20" s="1"/>
  <c r="S24" i="20" s="1"/>
  <c r="K25" i="20"/>
  <c r="J25" i="20"/>
  <c r="E20" i="22"/>
  <c r="F20" i="22" s="1"/>
  <c r="E18" i="22"/>
  <c r="F18" i="22" s="1"/>
  <c r="J18" i="22" s="1"/>
  <c r="J20" i="22" l="1"/>
  <c r="H20" i="22"/>
  <c r="M13" i="20"/>
  <c r="S13" i="20" s="1"/>
  <c r="S14" i="20" s="1"/>
  <c r="M21" i="20"/>
  <c r="S21" i="20" s="1"/>
  <c r="S22" i="20" s="1"/>
  <c r="M9" i="20"/>
  <c r="S9" i="20" s="1"/>
  <c r="S10" i="20" s="1"/>
  <c r="N21" i="20"/>
  <c r="T21" i="20" s="1"/>
  <c r="T22" i="20" s="1"/>
  <c r="M17" i="20"/>
  <c r="S17" i="20" s="1"/>
  <c r="S18" i="20" s="1"/>
  <c r="M11" i="20"/>
  <c r="S11" i="20" s="1"/>
  <c r="S12" i="20" s="1"/>
  <c r="O19" i="20"/>
  <c r="U19" i="20" s="1"/>
  <c r="U20" i="20" s="1"/>
  <c r="M19" i="20"/>
  <c r="S19" i="20" s="1"/>
  <c r="S20" i="20" s="1"/>
  <c r="M7" i="20"/>
  <c r="S7" i="20" s="1"/>
  <c r="S8" i="20" s="1"/>
  <c r="N7" i="20"/>
  <c r="T7" i="20" s="1"/>
  <c r="T8" i="20" s="1"/>
  <c r="O23" i="20"/>
  <c r="U23" i="20" s="1"/>
  <c r="U24" i="20" s="1"/>
  <c r="N23" i="20"/>
  <c r="T23" i="20" s="1"/>
  <c r="T24" i="20" s="1"/>
  <c r="O7" i="20"/>
  <c r="U7" i="20" s="1"/>
  <c r="U8" i="20" s="1"/>
  <c r="N25" i="20"/>
  <c r="T25" i="20" s="1"/>
  <c r="T26" i="20" s="1"/>
  <c r="O25" i="20"/>
  <c r="U25" i="20" s="1"/>
  <c r="U26" i="20" s="1"/>
  <c r="N9" i="20"/>
  <c r="T9" i="20" s="1"/>
  <c r="T10" i="20" s="1"/>
  <c r="O9" i="20"/>
  <c r="U9" i="20" s="1"/>
  <c r="U10" i="20" s="1"/>
  <c r="N17" i="20"/>
  <c r="T17" i="20" s="1"/>
  <c r="T18" i="20" s="1"/>
  <c r="O17" i="20"/>
  <c r="U17" i="20" s="1"/>
  <c r="U18" i="20" s="1"/>
  <c r="O13" i="20"/>
  <c r="U13" i="20" s="1"/>
  <c r="U14" i="20" s="1"/>
  <c r="N13" i="20"/>
  <c r="T13" i="20" s="1"/>
  <c r="T14" i="20" s="1"/>
  <c r="N11" i="20"/>
  <c r="T11" i="20" s="1"/>
  <c r="T12" i="20" s="1"/>
  <c r="O11" i="20"/>
  <c r="U11" i="20" s="1"/>
  <c r="U12" i="20" s="1"/>
  <c r="N19" i="20"/>
  <c r="T19" i="20" s="1"/>
  <c r="T20" i="20" s="1"/>
  <c r="O21" i="20"/>
  <c r="U21" i="20" s="1"/>
  <c r="U22" i="20" s="1"/>
  <c r="X19" i="20"/>
  <c r="X20" i="20" s="1"/>
  <c r="X9" i="20"/>
  <c r="X10" i="20" s="1"/>
  <c r="V7" i="20"/>
  <c r="V8" i="20" s="1"/>
  <c r="AD9" i="20"/>
  <c r="AD10" i="20" s="1"/>
  <c r="R19" i="20"/>
  <c r="R20" i="20" s="1"/>
  <c r="M26" i="20"/>
  <c r="Y25" i="20"/>
  <c r="Y26" i="20" s="1"/>
  <c r="P25" i="20"/>
  <c r="P26" i="20" s="1"/>
  <c r="AB25" i="20"/>
  <c r="AB26" i="20" s="1"/>
  <c r="V25" i="20"/>
  <c r="V26" i="20" s="1"/>
  <c r="I18" i="22"/>
  <c r="G18" i="22"/>
  <c r="I20" i="22"/>
  <c r="G20" i="22"/>
  <c r="AB19" i="20" l="1"/>
  <c r="AB20" i="20" s="1"/>
  <c r="Q20" i="22"/>
  <c r="W20" i="22" s="1"/>
  <c r="W21" i="22" s="1"/>
  <c r="Q18" i="22"/>
  <c r="W18" i="22" s="1"/>
  <c r="W19" i="22" s="1"/>
  <c r="V19" i="20"/>
  <c r="V20" i="20" s="1"/>
  <c r="O20" i="20"/>
  <c r="AA19" i="20"/>
  <c r="AA20" i="20" s="1"/>
  <c r="AD19" i="20"/>
  <c r="AD20" i="20" s="1"/>
  <c r="R9" i="20"/>
  <c r="R10" i="20" s="1"/>
  <c r="Y19" i="20"/>
  <c r="Y20" i="20" s="1"/>
  <c r="AB9" i="20"/>
  <c r="AB10" i="20" s="1"/>
  <c r="AA9" i="20"/>
  <c r="AA10" i="20" s="1"/>
  <c r="O10" i="20"/>
  <c r="AD21" i="20"/>
  <c r="AD22" i="20" s="1"/>
  <c r="P19" i="20"/>
  <c r="P20" i="20" s="1"/>
  <c r="M20" i="20"/>
  <c r="M8" i="20"/>
  <c r="AA25" i="20"/>
  <c r="AA26" i="20" s="1"/>
  <c r="X11" i="20"/>
  <c r="X12" i="20" s="1"/>
  <c r="X13" i="20"/>
  <c r="X14" i="20" s="1"/>
  <c r="X17" i="20"/>
  <c r="X18" i="20" s="1"/>
  <c r="P7" i="20"/>
  <c r="P8" i="20" s="1"/>
  <c r="AB7" i="20"/>
  <c r="AB8" i="20" s="1"/>
  <c r="Y7" i="20"/>
  <c r="Y8" i="20" s="1"/>
  <c r="P9" i="20"/>
  <c r="P10" i="20" s="1"/>
  <c r="N22" i="20"/>
  <c r="N8" i="20"/>
  <c r="Q7" i="20"/>
  <c r="Q8" i="20" s="1"/>
  <c r="W7" i="20"/>
  <c r="W8" i="20" s="1"/>
  <c r="Z7" i="20"/>
  <c r="Z8" i="20" s="1"/>
  <c r="AC7" i="20"/>
  <c r="AC8" i="20" s="1"/>
  <c r="R25" i="20"/>
  <c r="R26" i="20" s="1"/>
  <c r="AD11" i="20"/>
  <c r="AD12" i="20" s="1"/>
  <c r="R13" i="20"/>
  <c r="R14" i="20" s="1"/>
  <c r="AD7" i="20"/>
  <c r="AD8" i="20" s="1"/>
  <c r="X7" i="20"/>
  <c r="X8" i="20" s="1"/>
  <c r="O8" i="20"/>
  <c r="AA7" i="20"/>
  <c r="AA8" i="20" s="1"/>
  <c r="R7" i="20"/>
  <c r="R8" i="20" s="1"/>
  <c r="AC25" i="20"/>
  <c r="AC26" i="20" s="1"/>
  <c r="W25" i="20"/>
  <c r="W26" i="20" s="1"/>
  <c r="N26" i="20"/>
  <c r="Z25" i="20"/>
  <c r="Z26" i="20" s="1"/>
  <c r="Q25" i="20"/>
  <c r="Q26" i="20" s="1"/>
  <c r="X21" i="20"/>
  <c r="X22" i="20" s="1"/>
  <c r="AA21" i="20"/>
  <c r="AA22" i="20" s="1"/>
  <c r="N24" i="20"/>
  <c r="Z23" i="20"/>
  <c r="Z24" i="20" s="1"/>
  <c r="Q23" i="20"/>
  <c r="Q24" i="20" s="1"/>
  <c r="AC23" i="20"/>
  <c r="AC24" i="20" s="1"/>
  <c r="W23" i="20"/>
  <c r="W24" i="20" s="1"/>
  <c r="AD23" i="20"/>
  <c r="AD24" i="20" s="1"/>
  <c r="X23" i="20"/>
  <c r="X24" i="20" s="1"/>
  <c r="O24" i="20"/>
  <c r="AA23" i="20"/>
  <c r="AA24" i="20" s="1"/>
  <c r="R23" i="20"/>
  <c r="R24" i="20" s="1"/>
  <c r="N20" i="20"/>
  <c r="Z19" i="20"/>
  <c r="Z20" i="20" s="1"/>
  <c r="Q19" i="20"/>
  <c r="Q20" i="20" s="1"/>
  <c r="AC19" i="20"/>
  <c r="AC20" i="20" s="1"/>
  <c r="W19" i="20"/>
  <c r="W20" i="20" s="1"/>
  <c r="AC21" i="20"/>
  <c r="AC22" i="20" s="1"/>
  <c r="AB23" i="20"/>
  <c r="AB24" i="20" s="1"/>
  <c r="V23" i="20"/>
  <c r="V24" i="20" s="1"/>
  <c r="M24" i="20"/>
  <c r="Y23" i="20"/>
  <c r="Y24" i="20" s="1"/>
  <c r="P23" i="20"/>
  <c r="P24" i="20" s="1"/>
  <c r="N10" i="20"/>
  <c r="Z9" i="20"/>
  <c r="Z10" i="20" s="1"/>
  <c r="Q9" i="20"/>
  <c r="Q10" i="20" s="1"/>
  <c r="AC9" i="20"/>
  <c r="AC10" i="20" s="1"/>
  <c r="W9" i="20"/>
  <c r="W10" i="20" s="1"/>
  <c r="L20" i="22"/>
  <c r="P20" i="22" s="1"/>
  <c r="V20" i="22" s="1"/>
  <c r="V21" i="22" s="1"/>
  <c r="K20" i="22"/>
  <c r="O20" i="22" s="1"/>
  <c r="U20" i="22" s="1"/>
  <c r="U21" i="22" s="1"/>
  <c r="L18" i="22"/>
  <c r="K18" i="22"/>
  <c r="O18" i="22" s="1"/>
  <c r="U18" i="22" s="1"/>
  <c r="U19" i="22" s="1"/>
  <c r="AD20" i="22" l="1"/>
  <c r="AD21" i="22" s="1"/>
  <c r="O21" i="22"/>
  <c r="AA20" i="22"/>
  <c r="AA21" i="22" s="1"/>
  <c r="R20" i="22"/>
  <c r="R21" i="22" s="1"/>
  <c r="X20" i="22"/>
  <c r="X21" i="22" s="1"/>
  <c r="AE20" i="22"/>
  <c r="AE21" i="22" s="1"/>
  <c r="AB20" i="22"/>
  <c r="AB21" i="22" s="1"/>
  <c r="Y20" i="22"/>
  <c r="Y21" i="22" s="1"/>
  <c r="S20" i="22"/>
  <c r="S21" i="22" s="1"/>
  <c r="P21" i="22"/>
  <c r="P18" i="22"/>
  <c r="S18" i="22" s="1"/>
  <c r="S19" i="22" s="1"/>
  <c r="AF20" i="22"/>
  <c r="AF21" i="22" s="1"/>
  <c r="Q21" i="22"/>
  <c r="AC20" i="22"/>
  <c r="AC21" i="22" s="1"/>
  <c r="T20" i="22"/>
  <c r="T21" i="22" s="1"/>
  <c r="Z20" i="22"/>
  <c r="Z21" i="22" s="1"/>
  <c r="AD18" i="22"/>
  <c r="AD19" i="22" s="1"/>
  <c r="O19" i="22"/>
  <c r="AA18" i="22"/>
  <c r="AA19" i="22" s="1"/>
  <c r="R18" i="22"/>
  <c r="R19" i="22" s="1"/>
  <c r="X18" i="22"/>
  <c r="X19" i="22" s="1"/>
  <c r="AF18" i="22"/>
  <c r="AF19" i="22" s="1"/>
  <c r="Q19" i="22"/>
  <c r="AC18" i="22"/>
  <c r="AC19" i="22" s="1"/>
  <c r="T18" i="22"/>
  <c r="T19" i="22" s="1"/>
  <c r="Z18" i="22"/>
  <c r="Z19" i="22" s="1"/>
  <c r="R21" i="20"/>
  <c r="R22" i="20" s="1"/>
  <c r="O22" i="20"/>
  <c r="AD13" i="20"/>
  <c r="AD14" i="20" s="1"/>
  <c r="X25" i="20"/>
  <c r="X26" i="20" s="1"/>
  <c r="O26" i="20"/>
  <c r="V9" i="20"/>
  <c r="V10" i="20" s="1"/>
  <c r="M10" i="20"/>
  <c r="Y9" i="20"/>
  <c r="Y10" i="20" s="1"/>
  <c r="R17" i="20"/>
  <c r="R18" i="20" s="1"/>
  <c r="O14" i="20"/>
  <c r="AD25" i="20"/>
  <c r="AD26" i="20" s="1"/>
  <c r="AD17" i="20"/>
  <c r="AD18" i="20" s="1"/>
  <c r="R11" i="20"/>
  <c r="R12" i="20" s="1"/>
  <c r="O18" i="20"/>
  <c r="O12" i="20"/>
  <c r="AA17" i="20"/>
  <c r="AA18" i="20" s="1"/>
  <c r="AA11" i="20"/>
  <c r="AA12" i="20" s="1"/>
  <c r="Z21" i="20"/>
  <c r="Z22" i="20" s="1"/>
  <c r="AA13" i="20"/>
  <c r="AA14" i="20" s="1"/>
  <c r="W21" i="20"/>
  <c r="W22" i="20" s="1"/>
  <c r="Q21" i="20"/>
  <c r="Q22" i="20" s="1"/>
  <c r="AB17" i="20"/>
  <c r="AB18" i="20" s="1"/>
  <c r="V17" i="20"/>
  <c r="V18" i="20" s="1"/>
  <c r="M18" i="20"/>
  <c r="Y17" i="20"/>
  <c r="Y18" i="20" s="1"/>
  <c r="P17" i="20"/>
  <c r="P18" i="20" s="1"/>
  <c r="AB11" i="20"/>
  <c r="AB12" i="20" s="1"/>
  <c r="V11" i="20"/>
  <c r="V12" i="20" s="1"/>
  <c r="M12" i="20"/>
  <c r="Y11" i="20"/>
  <c r="Y12" i="20" s="1"/>
  <c r="P11" i="20"/>
  <c r="P12" i="20" s="1"/>
  <c r="N18" i="20"/>
  <c r="Z17" i="20"/>
  <c r="Z18" i="20" s="1"/>
  <c r="Q17" i="20"/>
  <c r="Q18" i="20" s="1"/>
  <c r="AC17" i="20"/>
  <c r="AC18" i="20" s="1"/>
  <c r="W17" i="20"/>
  <c r="W18" i="20" s="1"/>
  <c r="N12" i="20"/>
  <c r="Z11" i="20"/>
  <c r="Z12" i="20" s="1"/>
  <c r="Q11" i="20"/>
  <c r="Q12" i="20" s="1"/>
  <c r="AC11" i="20"/>
  <c r="AC12" i="20" s="1"/>
  <c r="W11" i="20"/>
  <c r="W12" i="20" s="1"/>
  <c r="AB21" i="20"/>
  <c r="AB22" i="20" s="1"/>
  <c r="V21" i="20"/>
  <c r="V22" i="20" s="1"/>
  <c r="M22" i="20"/>
  <c r="Y21" i="20"/>
  <c r="Y22" i="20" s="1"/>
  <c r="P21" i="20"/>
  <c r="P22" i="20" s="1"/>
  <c r="N14" i="20"/>
  <c r="Z13" i="20"/>
  <c r="Z14" i="20" s="1"/>
  <c r="Q13" i="20"/>
  <c r="Q14" i="20" s="1"/>
  <c r="AC13" i="20"/>
  <c r="AC14" i="20" s="1"/>
  <c r="W13" i="20"/>
  <c r="W14" i="20" s="1"/>
  <c r="AB13" i="20"/>
  <c r="AB14" i="20" s="1"/>
  <c r="V13" i="20"/>
  <c r="V14" i="20" s="1"/>
  <c r="M14" i="20"/>
  <c r="Y13" i="20"/>
  <c r="Y14" i="20" s="1"/>
  <c r="P13" i="20"/>
  <c r="P14" i="20" s="1"/>
  <c r="AE18" i="22" l="1"/>
  <c r="AE19" i="22" s="1"/>
  <c r="V18" i="22"/>
  <c r="V19" i="22" s="1"/>
  <c r="Y18" i="22"/>
  <c r="Y19" i="22" s="1"/>
  <c r="AB18" i="22"/>
  <c r="AB19" i="22" s="1"/>
  <c r="P19" i="22"/>
</calcChain>
</file>

<file path=xl/comments1.xml><?xml version="1.0" encoding="utf-8"?>
<comments xmlns="http://schemas.openxmlformats.org/spreadsheetml/2006/main">
  <authors>
    <author>주연</author>
  </authors>
  <commentList>
    <comment ref="J11" authorId="0">
      <text>
        <r>
          <rPr>
            <sz val="9"/>
            <color indexed="81"/>
            <rFont val="돋움"/>
            <family val="3"/>
            <charset val="129"/>
          </rPr>
          <t>계약관리</t>
        </r>
        <r>
          <rPr>
            <sz val="9"/>
            <color indexed="81"/>
            <rFont val="Tahoma"/>
            <family val="2"/>
          </rPr>
          <t>=</t>
        </r>
        <r>
          <rPr>
            <sz val="9"/>
            <color indexed="81"/>
            <rFont val="돋움"/>
            <family val="3"/>
            <charset val="129"/>
          </rPr>
          <t>환산</t>
        </r>
        <r>
          <rPr>
            <sz val="9"/>
            <color indexed="81"/>
            <rFont val="Tahoma"/>
            <family val="2"/>
          </rPr>
          <t xml:space="preserve">P*7.5%
</t>
        </r>
        <r>
          <rPr>
            <sz val="9"/>
            <color indexed="81"/>
            <rFont val="돋움"/>
            <family val="3"/>
            <charset val="129"/>
          </rPr>
          <t>운영지원</t>
        </r>
        <r>
          <rPr>
            <sz val="9"/>
            <color indexed="81"/>
            <rFont val="Tahoma"/>
            <family val="2"/>
          </rPr>
          <t>=</t>
        </r>
        <r>
          <rPr>
            <sz val="9"/>
            <color indexed="81"/>
            <rFont val="돋움"/>
            <family val="3"/>
            <charset val="129"/>
          </rPr>
          <t>계약관리</t>
        </r>
        <r>
          <rPr>
            <sz val="9"/>
            <color indexed="81"/>
            <rFont val="Tahoma"/>
            <family val="2"/>
          </rPr>
          <t xml:space="preserve">*15%
</t>
        </r>
      </text>
    </comment>
    <comment ref="J23" authorId="0">
      <text>
        <r>
          <rPr>
            <sz val="9"/>
            <color indexed="81"/>
            <rFont val="돋움"/>
            <family val="3"/>
            <charset val="129"/>
          </rPr>
          <t>계약관리</t>
        </r>
        <r>
          <rPr>
            <sz val="9"/>
            <color indexed="81"/>
            <rFont val="Tahoma"/>
            <family val="2"/>
          </rPr>
          <t>=</t>
        </r>
        <r>
          <rPr>
            <sz val="9"/>
            <color indexed="81"/>
            <rFont val="돋움"/>
            <family val="3"/>
            <charset val="129"/>
          </rPr>
          <t>환산</t>
        </r>
        <r>
          <rPr>
            <sz val="9"/>
            <color indexed="81"/>
            <rFont val="Tahoma"/>
            <family val="2"/>
          </rPr>
          <t xml:space="preserve">P*7.5%
</t>
        </r>
        <r>
          <rPr>
            <sz val="9"/>
            <color indexed="81"/>
            <rFont val="돋움"/>
            <family val="3"/>
            <charset val="129"/>
          </rPr>
          <t>운영지원</t>
        </r>
        <r>
          <rPr>
            <sz val="9"/>
            <color indexed="81"/>
            <rFont val="Tahoma"/>
            <family val="2"/>
          </rPr>
          <t>=</t>
        </r>
        <r>
          <rPr>
            <sz val="9"/>
            <color indexed="81"/>
            <rFont val="돋움"/>
            <family val="3"/>
            <charset val="129"/>
          </rPr>
          <t>계약관리</t>
        </r>
        <r>
          <rPr>
            <sz val="9"/>
            <color indexed="81"/>
            <rFont val="Tahoma"/>
            <family val="2"/>
          </rPr>
          <t xml:space="preserve">*15%
</t>
        </r>
      </text>
    </comment>
  </commentList>
</comments>
</file>

<file path=xl/comments2.xml><?xml version="1.0" encoding="utf-8"?>
<comments xmlns="http://schemas.openxmlformats.org/spreadsheetml/2006/main">
  <authors>
    <author>주연</author>
  </authors>
  <commentList>
    <comment ref="D20" authorId="0">
      <text>
        <r>
          <rPr>
            <b/>
            <sz val="9"/>
            <color indexed="81"/>
            <rFont val="돋움"/>
            <family val="3"/>
            <charset val="129"/>
          </rPr>
          <t>환급형</t>
        </r>
        <r>
          <rPr>
            <b/>
            <sz val="9"/>
            <color indexed="81"/>
            <rFont val="Tahoma"/>
            <family val="2"/>
          </rPr>
          <t xml:space="preserve"> 121%</t>
        </r>
        <r>
          <rPr>
            <sz val="9"/>
            <color indexed="81"/>
            <rFont val="Tahoma"/>
            <family val="2"/>
          </rPr>
          <t xml:space="preserve">
</t>
        </r>
      </text>
    </comment>
    <comment ref="B29" authorId="0">
      <text>
        <r>
          <rPr>
            <b/>
            <sz val="9"/>
            <color indexed="81"/>
            <rFont val="돋움"/>
            <family val="3"/>
            <charset val="129"/>
          </rPr>
          <t>환산표에 있는 일시납 상품 대입 가능</t>
        </r>
      </text>
    </comment>
  </commentList>
</comments>
</file>

<file path=xl/comments3.xml><?xml version="1.0" encoding="utf-8"?>
<comments xmlns="http://schemas.openxmlformats.org/spreadsheetml/2006/main">
  <authors>
    <author>경영관리팀</author>
  </authors>
  <commentList>
    <comment ref="F4" authorId="0">
      <text>
        <r>
          <rPr>
            <b/>
            <sz val="9"/>
            <color indexed="81"/>
            <rFont val="돋움"/>
            <family val="3"/>
            <charset val="129"/>
          </rPr>
          <t>설계시</t>
        </r>
        <r>
          <rPr>
            <b/>
            <sz val="9"/>
            <color indexed="81"/>
            <rFont val="Tahoma"/>
            <family val="2"/>
          </rPr>
          <t xml:space="preserve"> FYC </t>
        </r>
        <r>
          <rPr>
            <b/>
            <sz val="9"/>
            <color indexed="81"/>
            <rFont val="돋움"/>
            <family val="3"/>
            <charset val="129"/>
          </rPr>
          <t>값</t>
        </r>
      </text>
    </comment>
  </commentList>
</comments>
</file>

<file path=xl/comments4.xml><?xml version="1.0" encoding="utf-8"?>
<comments xmlns="http://schemas.openxmlformats.org/spreadsheetml/2006/main">
  <authors>
    <author>경영관리팀</author>
  </authors>
  <commentList>
    <comment ref="K6" authorId="0">
      <text>
        <r>
          <rPr>
            <sz val="9"/>
            <color indexed="81"/>
            <rFont val="돋움"/>
            <family val="3"/>
            <charset val="129"/>
          </rPr>
          <t>가감율</t>
        </r>
        <r>
          <rPr>
            <sz val="9"/>
            <color indexed="81"/>
            <rFont val="Tahoma"/>
            <family val="2"/>
          </rPr>
          <t xml:space="preserve"> 98% </t>
        </r>
        <r>
          <rPr>
            <sz val="9"/>
            <color indexed="81"/>
            <rFont val="돋움"/>
            <family val="3"/>
            <charset val="129"/>
          </rPr>
          <t>적용</t>
        </r>
      </text>
    </comment>
    <comment ref="C28" authorId="0">
      <text>
        <r>
          <rPr>
            <sz val="9"/>
            <color indexed="81"/>
            <rFont val="돋움"/>
            <family val="3"/>
            <charset val="129"/>
          </rPr>
          <t>일시납수수료율</t>
        </r>
      </text>
    </comment>
    <comment ref="C30" authorId="0">
      <text>
        <r>
          <rPr>
            <sz val="9"/>
            <color indexed="81"/>
            <rFont val="돋움"/>
            <family val="3"/>
            <charset val="129"/>
          </rPr>
          <t>일시납수수료율</t>
        </r>
      </text>
    </comment>
  </commentList>
</comments>
</file>

<file path=xl/comments5.xml><?xml version="1.0" encoding="utf-8"?>
<comments xmlns="http://schemas.openxmlformats.org/spreadsheetml/2006/main">
  <authors>
    <author>주연</author>
  </authors>
  <commentList>
    <comment ref="C15" authorId="0">
      <text>
        <r>
          <rPr>
            <sz val="9"/>
            <color indexed="81"/>
            <rFont val="돋움"/>
            <family val="3"/>
            <charset val="129"/>
          </rPr>
          <t>납입기간 및 가입연령에 따른 환산율 적용</t>
        </r>
      </text>
    </comment>
    <comment ref="C17" authorId="0">
      <text>
        <r>
          <rPr>
            <sz val="9"/>
            <color indexed="81"/>
            <rFont val="돋움"/>
            <family val="3"/>
            <charset val="129"/>
          </rPr>
          <t>납입기간 및 가입연령에 따른 환산율 적용</t>
        </r>
      </text>
    </comment>
    <comment ref="F19" authorId="0">
      <text>
        <r>
          <rPr>
            <b/>
            <sz val="9"/>
            <color indexed="81"/>
            <rFont val="돋움"/>
            <family val="3"/>
            <charset val="129"/>
          </rPr>
          <t>리셋플러스</t>
        </r>
        <r>
          <rPr>
            <b/>
            <sz val="9"/>
            <color indexed="81"/>
            <rFont val="Tahoma"/>
            <family val="2"/>
          </rPr>
          <t xml:space="preserve"> </t>
        </r>
        <r>
          <rPr>
            <b/>
            <sz val="9"/>
            <color indexed="81"/>
            <rFont val="돋움"/>
            <family val="3"/>
            <charset val="129"/>
          </rPr>
          <t>변액연금</t>
        </r>
        <r>
          <rPr>
            <b/>
            <sz val="9"/>
            <color indexed="81"/>
            <rFont val="Tahoma"/>
            <family val="2"/>
          </rPr>
          <t xml:space="preserve">  10</t>
        </r>
        <r>
          <rPr>
            <b/>
            <sz val="9"/>
            <color indexed="81"/>
            <rFont val="돋움"/>
            <family val="3"/>
            <charset val="129"/>
          </rPr>
          <t>년납이상</t>
        </r>
        <r>
          <rPr>
            <b/>
            <sz val="9"/>
            <color indexed="81"/>
            <rFont val="Tahoma"/>
            <family val="2"/>
          </rPr>
          <t xml:space="preserve"> </t>
        </r>
        <r>
          <rPr>
            <b/>
            <sz val="9"/>
            <color indexed="81"/>
            <rFont val="돋움"/>
            <family val="3"/>
            <charset val="129"/>
          </rPr>
          <t>영수</t>
        </r>
        <r>
          <rPr>
            <b/>
            <sz val="9"/>
            <color indexed="81"/>
            <rFont val="Tahoma"/>
            <family val="2"/>
          </rPr>
          <t>P 100</t>
        </r>
        <r>
          <rPr>
            <b/>
            <sz val="9"/>
            <color indexed="81"/>
            <rFont val="돋움"/>
            <family val="3"/>
            <charset val="129"/>
          </rPr>
          <t>만원</t>
        </r>
        <r>
          <rPr>
            <b/>
            <sz val="9"/>
            <color indexed="81"/>
            <rFont val="Tahoma"/>
            <family val="2"/>
          </rPr>
          <t xml:space="preserve"> </t>
        </r>
        <r>
          <rPr>
            <b/>
            <sz val="9"/>
            <color indexed="81"/>
            <rFont val="돋움"/>
            <family val="3"/>
            <charset val="129"/>
          </rPr>
          <t>초과시</t>
        </r>
        <r>
          <rPr>
            <b/>
            <sz val="9"/>
            <color indexed="81"/>
            <rFont val="Tahoma"/>
            <family val="2"/>
          </rPr>
          <t xml:space="preserve"> 115%
</t>
        </r>
        <r>
          <rPr>
            <b/>
            <sz val="9"/>
            <color indexed="81"/>
            <rFont val="돋움"/>
            <family val="3"/>
            <charset val="129"/>
          </rPr>
          <t>골든라이프연금</t>
        </r>
        <r>
          <rPr>
            <b/>
            <sz val="9"/>
            <color indexed="81"/>
            <rFont val="Tahoma"/>
            <family val="2"/>
          </rPr>
          <t xml:space="preserve"> 10</t>
        </r>
        <r>
          <rPr>
            <b/>
            <sz val="9"/>
            <color indexed="81"/>
            <rFont val="돋움"/>
            <family val="3"/>
            <charset val="129"/>
          </rPr>
          <t>년납이상</t>
        </r>
        <r>
          <rPr>
            <b/>
            <sz val="9"/>
            <color indexed="81"/>
            <rFont val="Tahoma"/>
            <family val="2"/>
          </rPr>
          <t xml:space="preserve"> </t>
        </r>
        <r>
          <rPr>
            <b/>
            <sz val="9"/>
            <color indexed="81"/>
            <rFont val="돋움"/>
            <family val="3"/>
            <charset val="129"/>
          </rPr>
          <t>영수</t>
        </r>
        <r>
          <rPr>
            <b/>
            <sz val="9"/>
            <color indexed="81"/>
            <rFont val="Tahoma"/>
            <family val="2"/>
          </rPr>
          <t>P 500</t>
        </r>
        <r>
          <rPr>
            <b/>
            <sz val="9"/>
            <color indexed="81"/>
            <rFont val="돋움"/>
            <family val="3"/>
            <charset val="129"/>
          </rPr>
          <t>만원</t>
        </r>
        <r>
          <rPr>
            <b/>
            <sz val="9"/>
            <color indexed="81"/>
            <rFont val="Tahoma"/>
            <family val="2"/>
          </rPr>
          <t xml:space="preserve"> </t>
        </r>
        <r>
          <rPr>
            <b/>
            <sz val="9"/>
            <color indexed="81"/>
            <rFont val="돋움"/>
            <family val="3"/>
            <charset val="129"/>
          </rPr>
          <t>초과시</t>
        </r>
        <r>
          <rPr>
            <b/>
            <sz val="9"/>
            <color indexed="81"/>
            <rFont val="Tahoma"/>
            <family val="2"/>
          </rPr>
          <t xml:space="preserve">  115%</t>
        </r>
      </text>
    </comment>
    <comment ref="F23" authorId="0">
      <text>
        <r>
          <rPr>
            <b/>
            <sz val="9"/>
            <color indexed="81"/>
            <rFont val="돋움"/>
            <family val="3"/>
            <charset val="129"/>
          </rPr>
          <t>영수P 100만원 초과시 100%</t>
        </r>
      </text>
    </comment>
  </commentList>
</comments>
</file>

<file path=xl/comments6.xml><?xml version="1.0" encoding="utf-8"?>
<comments xmlns="http://schemas.openxmlformats.org/spreadsheetml/2006/main">
  <authors>
    <author>신영</author>
    <author>june</author>
  </authors>
  <commentList>
    <comment ref="E6" authorId="0">
      <text>
        <r>
          <rPr>
            <b/>
            <sz val="9"/>
            <color indexed="81"/>
            <rFont val="돋움"/>
            <family val="3"/>
            <charset val="129"/>
          </rPr>
          <t>총환산월초</t>
        </r>
      </text>
    </comment>
    <comment ref="B11" authorId="1">
      <text>
        <r>
          <rPr>
            <sz val="9"/>
            <color indexed="81"/>
            <rFont val="Tahoma"/>
            <family val="2"/>
          </rPr>
          <t xml:space="preserve">
</t>
        </r>
        <r>
          <rPr>
            <sz val="9"/>
            <color indexed="81"/>
            <rFont val="돋움"/>
            <family val="3"/>
            <charset val="129"/>
          </rPr>
          <t>세제적격연금</t>
        </r>
        <r>
          <rPr>
            <sz val="9"/>
            <color indexed="81"/>
            <rFont val="Tahoma"/>
            <family val="2"/>
          </rPr>
          <t xml:space="preserve"> </t>
        </r>
        <r>
          <rPr>
            <sz val="9"/>
            <color indexed="81"/>
            <rFont val="돋움"/>
            <family val="3"/>
            <charset val="129"/>
          </rPr>
          <t>상품</t>
        </r>
      </text>
    </comment>
  </commentList>
</comments>
</file>

<file path=xl/comments7.xml><?xml version="1.0" encoding="utf-8"?>
<comments xmlns="http://schemas.openxmlformats.org/spreadsheetml/2006/main">
  <authors>
    <author>경영관리팀</author>
    <author>주연</author>
  </authors>
  <commentList>
    <comment ref="C10" authorId="0">
      <text>
        <r>
          <rPr>
            <sz val="9"/>
            <color indexed="81"/>
            <rFont val="돋움"/>
            <family val="3"/>
            <charset val="129"/>
          </rPr>
          <t>천만당보험료</t>
        </r>
      </text>
    </comment>
    <comment ref="R11" authorId="0">
      <text>
        <r>
          <rPr>
            <b/>
            <sz val="9"/>
            <color indexed="81"/>
            <rFont val="돋움"/>
            <family val="3"/>
            <charset val="129"/>
          </rPr>
          <t>체감형에</t>
        </r>
        <r>
          <rPr>
            <b/>
            <sz val="9"/>
            <color indexed="81"/>
            <rFont val="Tahoma"/>
            <family val="2"/>
          </rPr>
          <t xml:space="preserve"> </t>
        </r>
        <r>
          <rPr>
            <b/>
            <sz val="9"/>
            <color indexed="81"/>
            <rFont val="돋움"/>
            <family val="3"/>
            <charset val="129"/>
          </rPr>
          <t>한함</t>
        </r>
        <r>
          <rPr>
            <sz val="9"/>
            <color indexed="81"/>
            <rFont val="Tahoma"/>
            <family val="2"/>
          </rPr>
          <t xml:space="preserve">
15</t>
        </r>
        <r>
          <rPr>
            <sz val="9"/>
            <color indexed="81"/>
            <rFont val="돋움"/>
            <family val="3"/>
            <charset val="129"/>
          </rPr>
          <t>년납</t>
        </r>
        <r>
          <rPr>
            <sz val="9"/>
            <color indexed="81"/>
            <rFont val="Tahoma"/>
            <family val="2"/>
          </rPr>
          <t xml:space="preserve"> </t>
        </r>
        <r>
          <rPr>
            <sz val="9"/>
            <color indexed="81"/>
            <rFont val="돋움"/>
            <family val="3"/>
            <charset val="129"/>
          </rPr>
          <t>미만</t>
        </r>
        <r>
          <rPr>
            <sz val="9"/>
            <color indexed="81"/>
            <rFont val="Tahoma"/>
            <family val="2"/>
          </rPr>
          <t xml:space="preserve"> </t>
        </r>
        <r>
          <rPr>
            <sz val="9"/>
            <color indexed="81"/>
            <rFont val="돋움"/>
            <family val="3"/>
            <charset val="129"/>
          </rPr>
          <t>없음</t>
        </r>
        <r>
          <rPr>
            <sz val="9"/>
            <color indexed="81"/>
            <rFont val="Tahoma"/>
            <family val="2"/>
          </rPr>
          <t xml:space="preserve">
15~19</t>
        </r>
        <r>
          <rPr>
            <sz val="9"/>
            <color indexed="81"/>
            <rFont val="돋움"/>
            <family val="3"/>
            <charset val="129"/>
          </rPr>
          <t>년납</t>
        </r>
        <r>
          <rPr>
            <sz val="9"/>
            <color indexed="81"/>
            <rFont val="Tahoma"/>
            <family val="2"/>
          </rPr>
          <t xml:space="preserve"> 7% </t>
        </r>
        <r>
          <rPr>
            <sz val="9"/>
            <color indexed="81"/>
            <rFont val="돋움"/>
            <family val="3"/>
            <charset val="129"/>
          </rPr>
          <t xml:space="preserve">적용
</t>
        </r>
        <r>
          <rPr>
            <sz val="9"/>
            <color indexed="81"/>
            <rFont val="Tahoma"/>
            <family val="2"/>
          </rPr>
          <t>20</t>
        </r>
        <r>
          <rPr>
            <sz val="9"/>
            <color indexed="81"/>
            <rFont val="돋움"/>
            <family val="3"/>
            <charset val="129"/>
          </rPr>
          <t>년납이상</t>
        </r>
        <r>
          <rPr>
            <sz val="9"/>
            <color indexed="81"/>
            <rFont val="Tahoma"/>
            <family val="2"/>
          </rPr>
          <t xml:space="preserve"> 7% </t>
        </r>
        <r>
          <rPr>
            <sz val="9"/>
            <color indexed="81"/>
            <rFont val="돋움"/>
            <family val="3"/>
            <charset val="129"/>
          </rPr>
          <t>적용</t>
        </r>
      </text>
    </comment>
    <comment ref="R13" authorId="0">
      <text>
        <r>
          <rPr>
            <sz val="9"/>
            <color indexed="81"/>
            <rFont val="돋움"/>
            <family val="3"/>
            <charset val="129"/>
          </rPr>
          <t>체증형</t>
        </r>
        <r>
          <rPr>
            <sz val="9"/>
            <color indexed="81"/>
            <rFont val="Tahoma"/>
            <family val="2"/>
          </rPr>
          <t xml:space="preserve">
15</t>
        </r>
        <r>
          <rPr>
            <sz val="9"/>
            <color indexed="81"/>
            <rFont val="돋움"/>
            <family val="3"/>
            <charset val="129"/>
          </rPr>
          <t>년납</t>
        </r>
        <r>
          <rPr>
            <sz val="9"/>
            <color indexed="81"/>
            <rFont val="Tahoma"/>
            <family val="2"/>
          </rPr>
          <t xml:space="preserve"> </t>
        </r>
        <r>
          <rPr>
            <sz val="9"/>
            <color indexed="81"/>
            <rFont val="돋움"/>
            <family val="3"/>
            <charset val="129"/>
          </rPr>
          <t>미만</t>
        </r>
        <r>
          <rPr>
            <sz val="9"/>
            <color indexed="81"/>
            <rFont val="Tahoma"/>
            <family val="2"/>
          </rPr>
          <t xml:space="preserve"> </t>
        </r>
        <r>
          <rPr>
            <sz val="9"/>
            <color indexed="81"/>
            <rFont val="돋움"/>
            <family val="3"/>
            <charset val="129"/>
          </rPr>
          <t>없음</t>
        </r>
        <r>
          <rPr>
            <sz val="9"/>
            <color indexed="81"/>
            <rFont val="Tahoma"/>
            <family val="2"/>
          </rPr>
          <t xml:space="preserve">
15~19</t>
        </r>
        <r>
          <rPr>
            <sz val="9"/>
            <color indexed="81"/>
            <rFont val="돋움"/>
            <family val="3"/>
            <charset val="129"/>
          </rPr>
          <t>년납</t>
        </r>
        <r>
          <rPr>
            <sz val="9"/>
            <color indexed="81"/>
            <rFont val="Tahoma"/>
            <family val="2"/>
          </rPr>
          <t xml:space="preserve"> 3.5% </t>
        </r>
        <r>
          <rPr>
            <sz val="9"/>
            <color indexed="81"/>
            <rFont val="돋움"/>
            <family val="3"/>
            <charset val="129"/>
          </rPr>
          <t xml:space="preserve">적용
</t>
        </r>
        <r>
          <rPr>
            <sz val="9"/>
            <color indexed="81"/>
            <rFont val="Tahoma"/>
            <family val="2"/>
          </rPr>
          <t>20</t>
        </r>
        <r>
          <rPr>
            <sz val="9"/>
            <color indexed="81"/>
            <rFont val="돋움"/>
            <family val="3"/>
            <charset val="129"/>
          </rPr>
          <t>년납이상</t>
        </r>
        <r>
          <rPr>
            <sz val="9"/>
            <color indexed="81"/>
            <rFont val="Tahoma"/>
            <family val="2"/>
          </rPr>
          <t xml:space="preserve"> 3.5% </t>
        </r>
        <r>
          <rPr>
            <sz val="9"/>
            <color indexed="81"/>
            <rFont val="돋움"/>
            <family val="3"/>
            <charset val="129"/>
          </rPr>
          <t>적용</t>
        </r>
      </text>
    </comment>
    <comment ref="R15" authorId="0">
      <text>
        <r>
          <rPr>
            <sz val="9"/>
            <color indexed="81"/>
            <rFont val="돋움"/>
            <family val="3"/>
            <charset val="129"/>
          </rPr>
          <t>일반형</t>
        </r>
        <r>
          <rPr>
            <sz val="9"/>
            <color indexed="81"/>
            <rFont val="Tahoma"/>
            <family val="2"/>
          </rPr>
          <t xml:space="preserve">
15</t>
        </r>
        <r>
          <rPr>
            <sz val="9"/>
            <color indexed="81"/>
            <rFont val="돋움"/>
            <family val="3"/>
            <charset val="129"/>
          </rPr>
          <t>년납</t>
        </r>
        <r>
          <rPr>
            <sz val="9"/>
            <color indexed="81"/>
            <rFont val="Tahoma"/>
            <family val="2"/>
          </rPr>
          <t xml:space="preserve"> </t>
        </r>
        <r>
          <rPr>
            <sz val="9"/>
            <color indexed="81"/>
            <rFont val="돋움"/>
            <family val="3"/>
            <charset val="129"/>
          </rPr>
          <t>미만</t>
        </r>
        <r>
          <rPr>
            <sz val="9"/>
            <color indexed="81"/>
            <rFont val="Tahoma"/>
            <family val="2"/>
          </rPr>
          <t xml:space="preserve"> </t>
        </r>
        <r>
          <rPr>
            <sz val="9"/>
            <color indexed="81"/>
            <rFont val="돋움"/>
            <family val="3"/>
            <charset val="129"/>
          </rPr>
          <t>없음</t>
        </r>
        <r>
          <rPr>
            <sz val="9"/>
            <color indexed="81"/>
            <rFont val="Tahoma"/>
            <family val="2"/>
          </rPr>
          <t xml:space="preserve">
15~19</t>
        </r>
        <r>
          <rPr>
            <sz val="9"/>
            <color indexed="81"/>
            <rFont val="돋움"/>
            <family val="3"/>
            <charset val="129"/>
          </rPr>
          <t>년납</t>
        </r>
        <r>
          <rPr>
            <sz val="9"/>
            <color indexed="81"/>
            <rFont val="Tahoma"/>
            <family val="2"/>
          </rPr>
          <t xml:space="preserve"> 3.5% </t>
        </r>
        <r>
          <rPr>
            <sz val="9"/>
            <color indexed="81"/>
            <rFont val="돋움"/>
            <family val="3"/>
            <charset val="129"/>
          </rPr>
          <t xml:space="preserve">적용
</t>
        </r>
        <r>
          <rPr>
            <sz val="9"/>
            <color indexed="81"/>
            <rFont val="Tahoma"/>
            <family val="2"/>
          </rPr>
          <t>20</t>
        </r>
        <r>
          <rPr>
            <sz val="9"/>
            <color indexed="81"/>
            <rFont val="돋움"/>
            <family val="3"/>
            <charset val="129"/>
          </rPr>
          <t>년납이상</t>
        </r>
        <r>
          <rPr>
            <sz val="9"/>
            <color indexed="81"/>
            <rFont val="Tahoma"/>
            <family val="2"/>
          </rPr>
          <t xml:space="preserve"> 3.5% </t>
        </r>
        <r>
          <rPr>
            <sz val="9"/>
            <color indexed="81"/>
            <rFont val="돋움"/>
            <family val="3"/>
            <charset val="129"/>
          </rPr>
          <t>적용</t>
        </r>
      </text>
    </comment>
    <comment ref="R19" authorId="0">
      <text>
        <r>
          <rPr>
            <sz val="9"/>
            <color indexed="81"/>
            <rFont val="돋움"/>
            <family val="3"/>
            <charset val="129"/>
          </rPr>
          <t>고급형</t>
        </r>
        <r>
          <rPr>
            <sz val="9"/>
            <color indexed="81"/>
            <rFont val="Tahoma"/>
            <family val="2"/>
          </rPr>
          <t>,</t>
        </r>
        <r>
          <rPr>
            <sz val="9"/>
            <color indexed="81"/>
            <rFont val="돋움"/>
            <family val="3"/>
            <charset val="129"/>
          </rPr>
          <t>실속형</t>
        </r>
        <r>
          <rPr>
            <sz val="9"/>
            <color indexed="81"/>
            <rFont val="Tahoma"/>
            <family val="2"/>
          </rPr>
          <t xml:space="preserve">
15</t>
        </r>
        <r>
          <rPr>
            <sz val="9"/>
            <color indexed="81"/>
            <rFont val="돋움"/>
            <family val="3"/>
            <charset val="129"/>
          </rPr>
          <t>년납</t>
        </r>
        <r>
          <rPr>
            <sz val="9"/>
            <color indexed="81"/>
            <rFont val="Tahoma"/>
            <family val="2"/>
          </rPr>
          <t xml:space="preserve"> </t>
        </r>
        <r>
          <rPr>
            <sz val="9"/>
            <color indexed="81"/>
            <rFont val="돋움"/>
            <family val="3"/>
            <charset val="129"/>
          </rPr>
          <t>미만</t>
        </r>
        <r>
          <rPr>
            <sz val="9"/>
            <color indexed="81"/>
            <rFont val="Tahoma"/>
            <family val="2"/>
          </rPr>
          <t xml:space="preserve"> </t>
        </r>
        <r>
          <rPr>
            <sz val="9"/>
            <color indexed="81"/>
            <rFont val="돋움"/>
            <family val="3"/>
            <charset val="129"/>
          </rPr>
          <t>없음</t>
        </r>
        <r>
          <rPr>
            <sz val="9"/>
            <color indexed="81"/>
            <rFont val="Tahoma"/>
            <family val="2"/>
          </rPr>
          <t xml:space="preserve">
15~19</t>
        </r>
        <r>
          <rPr>
            <sz val="9"/>
            <color indexed="81"/>
            <rFont val="돋움"/>
            <family val="3"/>
            <charset val="129"/>
          </rPr>
          <t>년납</t>
        </r>
        <r>
          <rPr>
            <sz val="9"/>
            <color indexed="81"/>
            <rFont val="Tahoma"/>
            <family val="2"/>
          </rPr>
          <t xml:space="preserve"> 3.5% </t>
        </r>
        <r>
          <rPr>
            <sz val="9"/>
            <color indexed="81"/>
            <rFont val="돋움"/>
            <family val="3"/>
            <charset val="129"/>
          </rPr>
          <t xml:space="preserve">적용
</t>
        </r>
        <r>
          <rPr>
            <sz val="9"/>
            <color indexed="81"/>
            <rFont val="Tahoma"/>
            <family val="2"/>
          </rPr>
          <t>20</t>
        </r>
        <r>
          <rPr>
            <sz val="9"/>
            <color indexed="81"/>
            <rFont val="돋움"/>
            <family val="3"/>
            <charset val="129"/>
          </rPr>
          <t>년납이상</t>
        </r>
        <r>
          <rPr>
            <sz val="9"/>
            <color indexed="81"/>
            <rFont val="Tahoma"/>
            <family val="2"/>
          </rPr>
          <t xml:space="preserve"> 3.5% </t>
        </r>
        <r>
          <rPr>
            <sz val="9"/>
            <color indexed="81"/>
            <rFont val="돋움"/>
            <family val="3"/>
            <charset val="129"/>
          </rPr>
          <t>적용</t>
        </r>
      </text>
    </comment>
    <comment ref="B31" authorId="1">
      <text>
        <r>
          <rPr>
            <b/>
            <sz val="9"/>
            <color indexed="81"/>
            <rFont val="돋움"/>
            <family val="3"/>
            <charset val="129"/>
          </rPr>
          <t>환산표에</t>
        </r>
        <r>
          <rPr>
            <b/>
            <sz val="9"/>
            <color indexed="81"/>
            <rFont val="Tahoma"/>
            <family val="2"/>
          </rPr>
          <t xml:space="preserve"> </t>
        </r>
        <r>
          <rPr>
            <b/>
            <sz val="9"/>
            <color indexed="81"/>
            <rFont val="돋움"/>
            <family val="3"/>
            <charset val="129"/>
          </rPr>
          <t>있는</t>
        </r>
        <r>
          <rPr>
            <b/>
            <sz val="9"/>
            <color indexed="81"/>
            <rFont val="Tahoma"/>
            <family val="2"/>
          </rPr>
          <t xml:space="preserve"> </t>
        </r>
        <r>
          <rPr>
            <b/>
            <sz val="9"/>
            <color indexed="81"/>
            <rFont val="돋움"/>
            <family val="3"/>
            <charset val="129"/>
          </rPr>
          <t>일시납</t>
        </r>
        <r>
          <rPr>
            <b/>
            <sz val="9"/>
            <color indexed="81"/>
            <rFont val="Tahoma"/>
            <family val="2"/>
          </rPr>
          <t xml:space="preserve"> </t>
        </r>
        <r>
          <rPr>
            <b/>
            <sz val="9"/>
            <color indexed="81"/>
            <rFont val="돋움"/>
            <family val="3"/>
            <charset val="129"/>
          </rPr>
          <t>상품</t>
        </r>
        <r>
          <rPr>
            <b/>
            <sz val="9"/>
            <color indexed="81"/>
            <rFont val="Tahoma"/>
            <family val="2"/>
          </rPr>
          <t xml:space="preserve"> </t>
        </r>
        <r>
          <rPr>
            <b/>
            <sz val="9"/>
            <color indexed="81"/>
            <rFont val="돋움"/>
            <family val="3"/>
            <charset val="129"/>
          </rPr>
          <t>대입</t>
        </r>
        <r>
          <rPr>
            <b/>
            <sz val="9"/>
            <color indexed="81"/>
            <rFont val="Tahoma"/>
            <family val="2"/>
          </rPr>
          <t xml:space="preserve"> </t>
        </r>
        <r>
          <rPr>
            <b/>
            <sz val="9"/>
            <color indexed="81"/>
            <rFont val="돋움"/>
            <family val="3"/>
            <charset val="129"/>
          </rPr>
          <t>가능</t>
        </r>
      </text>
    </comment>
    <comment ref="E31" authorId="1">
      <text>
        <r>
          <rPr>
            <b/>
            <sz val="9"/>
            <color indexed="81"/>
            <rFont val="돋움"/>
            <family val="3"/>
            <charset val="129"/>
          </rPr>
          <t>일시납지원비</t>
        </r>
        <r>
          <rPr>
            <b/>
            <sz val="9"/>
            <color indexed="81"/>
            <rFont val="Tahoma"/>
            <family val="2"/>
          </rPr>
          <t xml:space="preserve"> </t>
        </r>
        <r>
          <rPr>
            <b/>
            <sz val="9"/>
            <color indexed="81"/>
            <rFont val="돋움"/>
            <family val="3"/>
            <charset val="129"/>
          </rPr>
          <t xml:space="preserve">지급율
</t>
        </r>
        <r>
          <rPr>
            <b/>
            <sz val="9"/>
            <color indexed="81"/>
            <rFont val="Tahoma"/>
            <family val="2"/>
          </rPr>
          <t>(</t>
        </r>
        <r>
          <rPr>
            <b/>
            <sz val="9"/>
            <color indexed="81"/>
            <rFont val="돋움"/>
            <family val="3"/>
            <charset val="129"/>
          </rPr>
          <t>환산표에</t>
        </r>
        <r>
          <rPr>
            <b/>
            <sz val="9"/>
            <color indexed="81"/>
            <rFont val="Tahoma"/>
            <family val="2"/>
          </rPr>
          <t xml:space="preserve"> </t>
        </r>
        <r>
          <rPr>
            <b/>
            <sz val="9"/>
            <color indexed="81"/>
            <rFont val="돋움"/>
            <family val="3"/>
            <charset val="129"/>
          </rPr>
          <t>비고란</t>
        </r>
        <r>
          <rPr>
            <b/>
            <sz val="9"/>
            <color indexed="81"/>
            <rFont val="Tahoma"/>
            <family val="2"/>
          </rPr>
          <t>)</t>
        </r>
      </text>
    </comment>
  </commentList>
</comments>
</file>

<file path=xl/comments8.xml><?xml version="1.0" encoding="utf-8"?>
<comments xmlns="http://schemas.openxmlformats.org/spreadsheetml/2006/main">
  <authors>
    <author>이문영</author>
  </authors>
  <commentList>
    <comment ref="E10" authorId="0">
      <text>
        <r>
          <rPr>
            <b/>
            <sz val="9"/>
            <color indexed="81"/>
            <rFont val="Tahoma"/>
            <family val="2"/>
          </rPr>
          <t>25~ 60</t>
        </r>
        <r>
          <rPr>
            <b/>
            <sz val="9"/>
            <color indexed="81"/>
            <rFont val="돋움"/>
            <family val="3"/>
            <charset val="129"/>
          </rPr>
          <t>회</t>
        </r>
        <r>
          <rPr>
            <b/>
            <sz val="9"/>
            <color indexed="81"/>
            <rFont val="Tahoma"/>
            <family val="2"/>
          </rPr>
          <t xml:space="preserve"> </t>
        </r>
        <r>
          <rPr>
            <b/>
            <sz val="9"/>
            <color indexed="81"/>
            <rFont val="돋움"/>
            <family val="3"/>
            <charset val="129"/>
          </rPr>
          <t>지급</t>
        </r>
        <r>
          <rPr>
            <sz val="9"/>
            <color indexed="81"/>
            <rFont val="Tahoma"/>
            <family val="2"/>
          </rPr>
          <t xml:space="preserve">
</t>
        </r>
      </text>
    </comment>
    <comment ref="E12" authorId="0">
      <text>
        <r>
          <rPr>
            <b/>
            <sz val="9"/>
            <color indexed="81"/>
            <rFont val="Tahoma"/>
            <family val="2"/>
          </rPr>
          <t>25~ 60</t>
        </r>
        <r>
          <rPr>
            <b/>
            <sz val="9"/>
            <color indexed="81"/>
            <rFont val="돋움"/>
            <family val="3"/>
            <charset val="129"/>
          </rPr>
          <t>회</t>
        </r>
        <r>
          <rPr>
            <b/>
            <sz val="9"/>
            <color indexed="81"/>
            <rFont val="Tahoma"/>
            <family val="2"/>
          </rPr>
          <t xml:space="preserve"> </t>
        </r>
        <r>
          <rPr>
            <b/>
            <sz val="9"/>
            <color indexed="81"/>
            <rFont val="돋움"/>
            <family val="3"/>
            <charset val="129"/>
          </rPr>
          <t>지급</t>
        </r>
        <r>
          <rPr>
            <sz val="9"/>
            <color indexed="81"/>
            <rFont val="Tahoma"/>
            <family val="2"/>
          </rPr>
          <t xml:space="preserve">
</t>
        </r>
      </text>
    </comment>
    <comment ref="E26" authorId="0">
      <text>
        <r>
          <rPr>
            <b/>
            <sz val="9"/>
            <color indexed="81"/>
            <rFont val="Tahoma"/>
            <family val="2"/>
          </rPr>
          <t>25~ 60</t>
        </r>
        <r>
          <rPr>
            <b/>
            <sz val="9"/>
            <color indexed="81"/>
            <rFont val="돋움"/>
            <family val="3"/>
            <charset val="129"/>
          </rPr>
          <t>회</t>
        </r>
        <r>
          <rPr>
            <b/>
            <sz val="9"/>
            <color indexed="81"/>
            <rFont val="Tahoma"/>
            <family val="2"/>
          </rPr>
          <t xml:space="preserve"> </t>
        </r>
        <r>
          <rPr>
            <b/>
            <sz val="9"/>
            <color indexed="81"/>
            <rFont val="돋움"/>
            <family val="3"/>
            <charset val="129"/>
          </rPr>
          <t>지급</t>
        </r>
        <r>
          <rPr>
            <sz val="9"/>
            <color indexed="81"/>
            <rFont val="Tahoma"/>
            <family val="2"/>
          </rPr>
          <t xml:space="preserve">
</t>
        </r>
      </text>
    </comment>
    <comment ref="E28" authorId="0">
      <text>
        <r>
          <rPr>
            <b/>
            <sz val="9"/>
            <color indexed="81"/>
            <rFont val="Tahoma"/>
            <family val="2"/>
          </rPr>
          <t>25~ 60</t>
        </r>
        <r>
          <rPr>
            <b/>
            <sz val="9"/>
            <color indexed="81"/>
            <rFont val="돋움"/>
            <family val="3"/>
            <charset val="129"/>
          </rPr>
          <t>회</t>
        </r>
        <r>
          <rPr>
            <b/>
            <sz val="9"/>
            <color indexed="81"/>
            <rFont val="Tahoma"/>
            <family val="2"/>
          </rPr>
          <t xml:space="preserve"> </t>
        </r>
        <r>
          <rPr>
            <b/>
            <sz val="9"/>
            <color indexed="81"/>
            <rFont val="돋움"/>
            <family val="3"/>
            <charset val="129"/>
          </rPr>
          <t>지급</t>
        </r>
        <r>
          <rPr>
            <sz val="9"/>
            <color indexed="81"/>
            <rFont val="Tahoma"/>
            <family val="2"/>
          </rPr>
          <t xml:space="preserve">
</t>
        </r>
      </text>
    </comment>
    <comment ref="E30" authorId="0">
      <text>
        <r>
          <rPr>
            <b/>
            <sz val="9"/>
            <color indexed="81"/>
            <rFont val="Tahoma"/>
            <family val="2"/>
          </rPr>
          <t>25~ 60</t>
        </r>
        <r>
          <rPr>
            <b/>
            <sz val="9"/>
            <color indexed="81"/>
            <rFont val="돋움"/>
            <family val="3"/>
            <charset val="129"/>
          </rPr>
          <t>회</t>
        </r>
        <r>
          <rPr>
            <b/>
            <sz val="9"/>
            <color indexed="81"/>
            <rFont val="Tahoma"/>
            <family val="2"/>
          </rPr>
          <t xml:space="preserve"> </t>
        </r>
        <r>
          <rPr>
            <b/>
            <sz val="9"/>
            <color indexed="81"/>
            <rFont val="돋움"/>
            <family val="3"/>
            <charset val="129"/>
          </rPr>
          <t>지급</t>
        </r>
        <r>
          <rPr>
            <sz val="9"/>
            <color indexed="81"/>
            <rFont val="Tahoma"/>
            <family val="2"/>
          </rPr>
          <t xml:space="preserve">
</t>
        </r>
      </text>
    </comment>
  </commentList>
</comments>
</file>

<file path=xl/sharedStrings.xml><?xml version="1.0" encoding="utf-8"?>
<sst xmlns="http://schemas.openxmlformats.org/spreadsheetml/2006/main" count="2182" uniqueCount="1727">
  <si>
    <t>1. 주요 용어 설명</t>
  </si>
  <si>
    <t>S등급</t>
  </si>
  <si>
    <t>1등급</t>
  </si>
  <si>
    <t>2등급</t>
  </si>
  <si>
    <t>3등급</t>
  </si>
  <si>
    <t>4등급</t>
  </si>
  <si>
    <t>5등급</t>
  </si>
  <si>
    <t>생명 보험 수수료 지급 기준</t>
    <phoneticPr fontId="18" type="noConversion"/>
  </si>
  <si>
    <t>프라임에셋 ㈜</t>
    <phoneticPr fontId="17" type="noConversion"/>
  </si>
  <si>
    <t>1. 보험사 연동 시스템 관련</t>
    <phoneticPr fontId="18" type="noConversion"/>
  </si>
  <si>
    <t xml:space="preserve"> ① 개념 : 해당 보험사의 수수료 지급 기준과 금액을 영업 조직에게 지급시 변경 적용없이 그대로 연계하여 적용함을 의미함</t>
    <phoneticPr fontId="18" type="noConversion"/>
  </si>
  <si>
    <t>2. OA 지원 관련</t>
    <phoneticPr fontId="18" type="noConversion"/>
  </si>
  <si>
    <t xml:space="preserve"> ① 개념 : OA란 Office Allowance의 약자로, 사무실 임차 지원과 관련한 생보사의 지원 수수료를 의미함</t>
    <phoneticPr fontId="18" type="noConversion"/>
  </si>
  <si>
    <t xml:space="preserve">              신규 또는 기존의 특정 조직에 대한 생보사 개별 임차 지원은 회사 운영 원칙(형평성)에 위배되어, 검토 및 시행은 불가함</t>
    <phoneticPr fontId="18" type="noConversion"/>
  </si>
  <si>
    <t>3. 환수 규정 관련</t>
    <phoneticPr fontId="18" type="noConversion"/>
  </si>
  <si>
    <t xml:space="preserve"> ① 개념 : 현재 생보사별 유지율 관리를 통한 전체 조직의 불이익을 막기 위해 미유지에 대한 환수는 전체 공통 기준으로 시행중임</t>
    <phoneticPr fontId="18" type="noConversion"/>
  </si>
  <si>
    <t xml:space="preserve">              보다 합리적이고 공평한 평가와 보상 시스템을 마련하여 시행 예정임</t>
    <phoneticPr fontId="18" type="noConversion"/>
  </si>
  <si>
    <t>4. 수수료 예측 관련</t>
    <phoneticPr fontId="18" type="noConversion"/>
  </si>
  <si>
    <t xml:space="preserve"> ① 개념 : 생보사별 개별 계약의 수수료 예측은 당사 특성상 각 생보사의 지급 기준에 대한 명확한 사전 이해가 필수적임</t>
    <phoneticPr fontId="18" type="noConversion"/>
  </si>
  <si>
    <t xml:space="preserve">              즉, 본 예시 자료는 각사의 대표 상품별 예시 기준에 따라 임의로 작성한 것에 불과하므로 실제 지급과는 차이가 발생할 수 밖에 없음</t>
    <phoneticPr fontId="18" type="noConversion"/>
  </si>
  <si>
    <t xml:space="preserve">              본사의 경영관리팀과 생보업무팀의 경우, 업무 특성상 개별 계약의 수수료를 확인해 드릴 수 없음을 양해 바람</t>
    <phoneticPr fontId="18" type="noConversion"/>
  </si>
  <si>
    <r>
      <t xml:space="preserve">              이는 </t>
    </r>
    <r>
      <rPr>
        <b/>
        <sz val="9"/>
        <color indexed="10"/>
        <rFont val="맑은 고딕"/>
        <family val="3"/>
        <charset val="129"/>
      </rPr>
      <t>특정 조직의 계약 미유지에 따른 유지율 감소와 이에 따른 전 조직의 수수료 불이익의 악순환을 예방</t>
    </r>
    <r>
      <rPr>
        <sz val="9"/>
        <rFont val="맑은 고딕"/>
        <family val="3"/>
        <charset val="129"/>
      </rPr>
      <t>하기 위한 조치이며, 향후 관리 시스템의 개선과 유지율 추이에 따라</t>
    </r>
    <phoneticPr fontId="18" type="noConversion"/>
  </si>
  <si>
    <r>
      <t xml:space="preserve"> ③ 비고 : </t>
    </r>
    <r>
      <rPr>
        <b/>
        <sz val="9"/>
        <color indexed="10"/>
        <rFont val="맑은 고딕"/>
        <family val="3"/>
        <charset val="129"/>
      </rPr>
      <t>수수료 문의는 보험기획실장 또는 해당 생보사 관리자(지점장)</t>
    </r>
    <r>
      <rPr>
        <sz val="9"/>
        <rFont val="맑은 고딕"/>
        <family val="3"/>
        <charset val="129"/>
      </rPr>
      <t>에게 해 주시기 바라며, 문의전 해당 보험사 지급 기준과 개별 계약에 대한 사전 이해를 바람</t>
    </r>
    <phoneticPr fontId="18" type="noConversion"/>
  </si>
  <si>
    <t>해당월 총 수금자원 대비 수금실적의 비율</t>
  </si>
  <si>
    <t>2개월납 : 초회P ÷ 2 / 3개월납 : 초회P ÷ 3</t>
  </si>
  <si>
    <t>6개월납 : 초회P ÷ 6 / 연납 : 초회P ÷ 12</t>
  </si>
  <si>
    <t>6등급</t>
  </si>
  <si>
    <t>7등급</t>
  </si>
  <si>
    <t>비월납의 경우 : 총환산월초 * 월납수수료율 * 비월납개월수</t>
  </si>
  <si>
    <t>환산P</t>
  </si>
  <si>
    <t>FYC(1차년)</t>
  </si>
  <si>
    <t>-</t>
    <phoneticPr fontId="17" type="noConversion"/>
  </si>
  <si>
    <t>7백만↑</t>
  </si>
  <si>
    <t xml:space="preserve"> ② 비고 : 대부분의 생보사의 경우, 업적 구간별 차등 지급되는 성과 수수료의 차이보다 유지율에 따른 수수료 차이가 크므로 회사 전체의 유지율 관리를 위한 개별 Risk 관리가 중요함</t>
    <phoneticPr fontId="18" type="noConversion"/>
  </si>
  <si>
    <t xml:space="preserve"> ③ 비고 : 향후 생보 업적의 증가 등으로 인해 실제 발생 비용대비 지원 금액 초과시 전체 영업조직에 대해 초과분에 한해 추가 지급하는 방안에 대해서는 검토 가능하나,</t>
    <phoneticPr fontId="18" type="noConversion"/>
  </si>
  <si>
    <t xml:space="preserve"> ② 활용 : 예시 상품 외 상품에 대한 수수료 예측은 해당 상품 가입설계후의 실제 환산P 기입을 통해 가능하며, 예시 상품 또한 실제 환산P에 따라 수수료가 변동되므로 유의하시기 바람</t>
    <phoneticPr fontId="18" type="noConversion"/>
  </si>
  <si>
    <t xml:space="preserve">              즉, 업적 구간이나 유지율, 개별 계약의 실제 환산P등에 따라 월별/개별 계약별 차등 지급되는 보험사의 수수료가 당사 영업조직의 직급별 지급률에 연계되어 지급됨</t>
  </si>
  <si>
    <t>지급률</t>
  </si>
  <si>
    <t>▶ 당월 정산성적 * (정산성적 구간별 지급률 + 유지율별 가감율)</t>
  </si>
  <si>
    <t>▶ 정산성적 구간별 지급률</t>
  </si>
  <si>
    <t>지급방법 : 7회차 보험료 입금시 - 월납보험료 * 지급률 * 7
13회차 보험료 입금시 - 월납보험료 * 지급률 * 6
14회차 이후 - 월납보험료 * 지급률(매월 보험료 입금시 지급)</t>
  </si>
  <si>
    <t>▶ 월납보험료 * 지급률</t>
  </si>
  <si>
    <t>기본 지급률</t>
  </si>
  <si>
    <t>▶ 지급액 : 당월 정산P * 구간별 지급률 * 유지율 가감</t>
  </si>
  <si>
    <t>▶ 당월 정산P 구간별 지급률</t>
  </si>
  <si>
    <t>▶ 유지율 차이에 따른 가감 지급률 : 산출금액 * 가감율 (업적 13차월 이상 GA)</t>
  </si>
  <si>
    <t xml:space="preserve">▶ 지급액 : 당월 NGAP * 지급률 </t>
  </si>
  <si>
    <t>지급기준 : (전보종) 유지계약 GAP * 지급률(2~36회)</t>
  </si>
  <si>
    <t xml:space="preserve"> ② 회차별 지급률 : 1차월은 고객 설계 수수료 항목으로, 2차월 이상은 계약 유지 수수료 항목으로 지급</t>
  </si>
  <si>
    <t>FYP × 상품별 1차년도 지급률 × PSF × PF</t>
  </si>
  <si>
    <t>RYP X 상품별 2차년도 이후 수수료 지급률
RYP : 2차년도 이후 보험료</t>
  </si>
  <si>
    <t>▶ 기준 : 분기별 FYC 합계액 * 성과보너스 지급률</t>
  </si>
  <si>
    <t>1차년
(익월포함)</t>
    <phoneticPr fontId="18" type="noConversion"/>
  </si>
  <si>
    <t>▶ 기준 : 13~36회차 계약관리수수료 * 지급률</t>
  </si>
  <si>
    <r>
      <rPr>
        <b/>
        <sz val="9"/>
        <color rgb="FF0000FF"/>
        <rFont val="맑은 고딕"/>
        <family val="3"/>
        <charset val="129"/>
      </rPr>
      <t>일시납</t>
    </r>
    <r>
      <rPr>
        <sz val="9"/>
        <color indexed="8"/>
        <rFont val="맑은 고딕"/>
        <family val="3"/>
        <charset val="129"/>
      </rPr>
      <t xml:space="preserve"> / 5천만이상</t>
    </r>
    <phoneticPr fontId="18" type="noConversion"/>
  </si>
  <si>
    <t>(무)KDB생활연금보험</t>
  </si>
  <si>
    <r>
      <t xml:space="preserve"> ② 적용 : 당사의 경우, 생보사별 OA 수수료는 </t>
    </r>
    <r>
      <rPr>
        <b/>
        <sz val="9"/>
        <color indexed="10"/>
        <rFont val="맑은 고딕"/>
        <family val="3"/>
        <charset val="129"/>
      </rPr>
      <t>사업단 운영의 재원으로 쓰여지므로 영업조직에게는 不지급</t>
    </r>
    <r>
      <rPr>
        <sz val="9"/>
        <rFont val="맑은 고딕"/>
        <family val="3"/>
        <charset val="129"/>
      </rPr>
      <t>하고 있으며, 향후에도 지속적인 사업단 확장을 위한 용도로 사용 예정임</t>
    </r>
    <phoneticPr fontId="18" type="noConversion"/>
  </si>
  <si>
    <t xml:space="preserve">              현재 생보 전체 업적 규모의 부족 및 통신, 기타 잡비등으로 인해 실제 발생 비용 대비 지원 금액이 부족한 상황이나, OA 외 모든 수수료는 차감없이 보장 지급하고 있음</t>
    <phoneticPr fontId="18" type="noConversion"/>
  </si>
  <si>
    <t>삭감율</t>
  </si>
  <si>
    <t>13~24회</t>
  </si>
  <si>
    <t>25~36회</t>
  </si>
  <si>
    <t>월납</t>
  </si>
  <si>
    <t>연납</t>
  </si>
  <si>
    <t>유지수수료</t>
    <phoneticPr fontId="18" type="noConversion"/>
  </si>
  <si>
    <t>계약관리수수료</t>
  </si>
  <si>
    <t>보장성</t>
  </si>
  <si>
    <t>상품명</t>
    <phoneticPr fontId="18" type="noConversion"/>
  </si>
  <si>
    <r>
      <rPr>
        <b/>
        <sz val="9"/>
        <color rgb="FFFF0000"/>
        <rFont val="맑은 고딕"/>
        <family val="3"/>
        <charset val="129"/>
      </rPr>
      <t>주계약</t>
    </r>
    <r>
      <rPr>
        <sz val="9"/>
        <rFont val="맑은 고딕"/>
        <family val="3"/>
        <charset val="129"/>
      </rPr>
      <t xml:space="preserve">
월납P</t>
    </r>
    <phoneticPr fontId="18" type="noConversion"/>
  </si>
  <si>
    <t>본사수수료</t>
    <phoneticPr fontId="18" type="noConversion"/>
  </si>
  <si>
    <t>본부장</t>
    <phoneticPr fontId="18" type="noConversion"/>
  </si>
  <si>
    <t>30만이상</t>
    <phoneticPr fontId="18" type="noConversion"/>
  </si>
  <si>
    <t>(무)Life Cycle 종신보험</t>
    <phoneticPr fontId="18" type="noConversion"/>
  </si>
  <si>
    <t>(무)메트라이프 정기보험</t>
    <phoneticPr fontId="18" type="noConversion"/>
  </si>
  <si>
    <t>-</t>
    <phoneticPr fontId="17" type="noConversion"/>
  </si>
  <si>
    <r>
      <rPr>
        <b/>
        <sz val="9"/>
        <color rgb="FF0000FF"/>
        <rFont val="맑은 고딕"/>
        <family val="3"/>
        <charset val="129"/>
      </rPr>
      <t>일시납</t>
    </r>
    <r>
      <rPr>
        <sz val="9"/>
        <color indexed="8"/>
        <rFont val="맑은 고딕"/>
        <family val="3"/>
        <charset val="129"/>
      </rPr>
      <t xml:space="preserve"> / 5천만이상</t>
    </r>
    <phoneticPr fontId="18" type="noConversion"/>
  </si>
  <si>
    <t xml:space="preserve"> &lt; 세부 사항 안내 &gt;</t>
    <phoneticPr fontId="18" type="noConversion"/>
  </si>
  <si>
    <t>1. 작성 기준</t>
    <phoneticPr fontId="18" type="noConversion"/>
  </si>
  <si>
    <t xml:space="preserve"> ② 환산 기준 : 납기에 따른 주계약의 월납영수보험료를 기준으로 예시하였으며, 실제 설계시 보험료 및 특약별로 적용되는 환산이 다를 수 있으므로, </t>
    <phoneticPr fontId="18" type="noConversion"/>
  </si>
  <si>
    <t>2. 유지 수수료 익월 先지급 기준 : 전 종목 BC 항목에 대해 5개월 先지급(1차월 포함시 6개월 先지급임)</t>
    <phoneticPr fontId="18" type="noConversion"/>
  </si>
  <si>
    <t>4. 유지 수수료 지급 기준</t>
    <phoneticPr fontId="18" type="noConversion"/>
  </si>
  <si>
    <t>5. 유지율 적용 기준 : 18회차 IQA 유지율을 적용하며, 기준 미달시 차감 지급은 없으며 기준 상향시 추가 지급됨 ▶ PC 3항목 수수료에 연동하여 반영</t>
    <phoneticPr fontId="18" type="noConversion"/>
  </si>
  <si>
    <t xml:space="preserve">6. 비고 : 상기 자료는 예시이므로 매월 마감 업적, 유지율 및 개별 상품 설계시의 실제 환산 성적등에 따라 추가 또는 감소되어 지급됨 </t>
    <phoneticPr fontId="18" type="noConversion"/>
  </si>
  <si>
    <t>1. 업적 관련 용어 정의</t>
    <phoneticPr fontId="18" type="noConversion"/>
  </si>
  <si>
    <t>항  목</t>
    <phoneticPr fontId="18" type="noConversion"/>
  </si>
  <si>
    <t>용어 정의</t>
    <phoneticPr fontId="18" type="noConversion"/>
  </si>
  <si>
    <t>비  고</t>
    <phoneticPr fontId="18" type="noConversion"/>
  </si>
  <si>
    <t>SC(Sales Credit)</t>
    <phoneticPr fontId="18" type="noConversion"/>
  </si>
  <si>
    <t>SC = AFYP * 상품별 Commission Rate(%)</t>
    <phoneticPr fontId="18" type="noConversion"/>
  </si>
  <si>
    <t>산출 예시 : 변액종신 월납 20만원 ▶ 20만*60%*12 = 144만</t>
    <phoneticPr fontId="18" type="noConversion"/>
  </si>
  <si>
    <t>(변액 종신의 Commission Rate는 60%)</t>
    <phoneticPr fontId="18" type="noConversion"/>
  </si>
  <si>
    <t>AFYP</t>
    <phoneticPr fontId="18" type="noConversion"/>
  </si>
  <si>
    <t>AFYP : 납입보험료 * 납방별 계수</t>
    <phoneticPr fontId="18" type="noConversion"/>
  </si>
  <si>
    <t>납입 방법이 순수 월납인 계약의 초회보험료</t>
    <phoneticPr fontId="18" type="noConversion"/>
  </si>
  <si>
    <t>납방별 계수 : 월납 - 12, 3개월납 - 4, 6개월납 - 2</t>
    <phoneticPr fontId="18" type="noConversion"/>
  </si>
  <si>
    <t>NSC(Net Sales Credit)</t>
    <phoneticPr fontId="18" type="noConversion"/>
  </si>
  <si>
    <t>(모집 SC + 부활 SC) - 환수 SC</t>
    <phoneticPr fontId="18" type="noConversion"/>
  </si>
  <si>
    <t>3월납 + 6월납 + 년납 + 일시납</t>
    <phoneticPr fontId="18" type="noConversion"/>
  </si>
  <si>
    <t>타사의 정산 성적과 동일 개념임</t>
    <phoneticPr fontId="18" type="noConversion"/>
  </si>
  <si>
    <t>2. 효율 관련 용어 정의</t>
    <phoneticPr fontId="18" type="noConversion"/>
  </si>
  <si>
    <t>18회 IQA 유지율</t>
    <phoneticPr fontId="18" type="noConversion"/>
  </si>
  <si>
    <t>2~18회까지의 확정 모집 SC 대비 유지 SC의 비율</t>
    <phoneticPr fontId="18" type="noConversion"/>
  </si>
  <si>
    <t>영업 차월</t>
    <phoneticPr fontId="18" type="noConversion"/>
  </si>
  <si>
    <t>7~12</t>
    <phoneticPr fontId="18" type="noConversion"/>
  </si>
  <si>
    <t>13~18</t>
    <phoneticPr fontId="18" type="noConversion"/>
  </si>
  <si>
    <t>19차월↑</t>
    <phoneticPr fontId="18" type="noConversion"/>
  </si>
  <si>
    <t>▶ IQA 유지율 = 2~18회 유지 SC의 합계 / 2~18회 모집 SC의 합계 * 100</t>
    <phoneticPr fontId="18" type="noConversion"/>
  </si>
  <si>
    <t>기준 유지율</t>
    <phoneticPr fontId="18" type="noConversion"/>
  </si>
  <si>
    <t>승환 계약</t>
    <phoneticPr fontId="18" type="noConversion"/>
  </si>
  <si>
    <t>3. 수수료 항목 및 지급 기준</t>
    <phoneticPr fontId="18" type="noConversion"/>
  </si>
  <si>
    <t>세 부  사 항</t>
    <phoneticPr fontId="18" type="noConversion"/>
  </si>
  <si>
    <t>당월NSC</t>
    <phoneticPr fontId="18" type="noConversion"/>
  </si>
  <si>
    <t>미만</t>
    <phoneticPr fontId="18" type="noConversion"/>
  </si>
  <si>
    <t>▶ 지급액 : 당월 NSC * 당월 업적구간별 차등 지급</t>
    <phoneticPr fontId="18" type="noConversion"/>
  </si>
  <si>
    <t>▶ 기준 유지율에 따른 가산율</t>
    <phoneticPr fontId="18" type="noConversion"/>
  </si>
  <si>
    <t>세부 기준</t>
    <phoneticPr fontId="18" type="noConversion"/>
  </si>
  <si>
    <t>유지율</t>
    <phoneticPr fontId="18" type="noConversion"/>
  </si>
  <si>
    <t>70%↓</t>
    <phoneticPr fontId="18" type="noConversion"/>
  </si>
  <si>
    <t>가산율</t>
    <phoneticPr fontId="18" type="noConversion"/>
  </si>
  <si>
    <t>1. 업적 관련 용어 정의</t>
    <phoneticPr fontId="18" type="noConversion"/>
  </si>
  <si>
    <t>항  목</t>
    <phoneticPr fontId="18" type="noConversion"/>
  </si>
  <si>
    <t>용어 정의</t>
    <phoneticPr fontId="18" type="noConversion"/>
  </si>
  <si>
    <t>비  고</t>
    <phoneticPr fontId="18" type="noConversion"/>
  </si>
  <si>
    <t>납입초회보험료(납초P)</t>
    <phoneticPr fontId="18" type="noConversion"/>
  </si>
  <si>
    <t>납입 방법별 초회보험료의 합계로 순수월납P + 非월납P(일시납 포함)</t>
    <phoneticPr fontId="18" type="noConversion"/>
  </si>
  <si>
    <t>월납환산초회P 산출방법</t>
    <phoneticPr fontId="18" type="noConversion"/>
  </si>
  <si>
    <t>비월납계약</t>
    <phoneticPr fontId="18" type="noConversion"/>
  </si>
  <si>
    <t>아래 기준에 따라 월납환산으로 산출함</t>
    <phoneticPr fontId="18" type="noConversion"/>
  </si>
  <si>
    <t>일시납의 경우, 교육보험과 기타 상품으로 이원화하여 산출</t>
    <phoneticPr fontId="18" type="noConversion"/>
  </si>
  <si>
    <t>기타 상품의 경우, 보험기간별로 아래와 같이 산출함</t>
    <phoneticPr fontId="18" type="noConversion"/>
  </si>
  <si>
    <t>2년(초회P÷20)/3년(초회P÷30)/4년(초회P÷40)/5년이상 (초회P÷50)</t>
    <phoneticPr fontId="18" type="noConversion"/>
  </si>
  <si>
    <t>월납기준보험료</t>
    <phoneticPr fontId="18" type="noConversion"/>
  </si>
  <si>
    <t>납입방법별 초회보험료를 월납기준으로 환산한 보험료</t>
    <phoneticPr fontId="18" type="noConversion"/>
  </si>
  <si>
    <t>교육보험의 경우, 초회P ÷ 30 (보험기간과 무관)</t>
    <phoneticPr fontId="18" type="noConversion"/>
  </si>
  <si>
    <t>2. 효율 관련 용어 정의</t>
    <phoneticPr fontId="18" type="noConversion"/>
  </si>
  <si>
    <t>용 도   및   기 타</t>
    <phoneticPr fontId="18" type="noConversion"/>
  </si>
  <si>
    <t>수금율</t>
    <phoneticPr fontId="18" type="noConversion"/>
  </si>
  <si>
    <t>실수금액(건) / 요수금액(건) * 100</t>
    <phoneticPr fontId="18" type="noConversion"/>
  </si>
  <si>
    <t>선납 및 부활실적은 요수금 및 실수금에 포함</t>
    <phoneticPr fontId="18" type="noConversion"/>
  </si>
  <si>
    <t>유지율</t>
    <phoneticPr fontId="18" type="noConversion"/>
  </si>
  <si>
    <t>유지계약(액.보험료.건수) / 신계약(액.보험료.건수) * 100</t>
    <phoneticPr fontId="18" type="noConversion"/>
  </si>
  <si>
    <t>신계약실적집계시 책임보상,무효·해지,취소,품보계약 포함</t>
    <phoneticPr fontId="18" type="noConversion"/>
  </si>
  <si>
    <t>3. Overriding 등급 체계</t>
    <phoneticPr fontId="18" type="noConversion"/>
  </si>
  <si>
    <t>등급 판정 기준 (분기 평가 &amp; 익분기 적용)</t>
    <phoneticPr fontId="18" type="noConversion"/>
  </si>
  <si>
    <t>직전분기 월평균 NGAP</t>
    <phoneticPr fontId="18" type="noConversion"/>
  </si>
  <si>
    <t>60백만↑</t>
    <phoneticPr fontId="18" type="noConversion"/>
  </si>
  <si>
    <t>40백만↑</t>
    <phoneticPr fontId="18" type="noConversion"/>
  </si>
  <si>
    <t>30백만↑</t>
    <phoneticPr fontId="18" type="noConversion"/>
  </si>
  <si>
    <t>20백만↑</t>
    <phoneticPr fontId="18" type="noConversion"/>
  </si>
  <si>
    <t>10백만↑</t>
    <phoneticPr fontId="18" type="noConversion"/>
  </si>
  <si>
    <t>5백만↑</t>
    <phoneticPr fontId="18" type="noConversion"/>
  </si>
  <si>
    <t>1.5백만↑</t>
    <phoneticPr fontId="18" type="noConversion"/>
  </si>
  <si>
    <t>대상업적월</t>
    <phoneticPr fontId="18" type="noConversion"/>
  </si>
  <si>
    <t>1~3월</t>
    <phoneticPr fontId="18" type="noConversion"/>
  </si>
  <si>
    <t>4~6월</t>
    <phoneticPr fontId="18" type="noConversion"/>
  </si>
  <si>
    <t>7~9월</t>
    <phoneticPr fontId="18" type="noConversion"/>
  </si>
  <si>
    <t>10~12월</t>
    <phoneticPr fontId="18" type="noConversion"/>
  </si>
  <si>
    <t>등급</t>
    <phoneticPr fontId="18" type="noConversion"/>
  </si>
  <si>
    <t>1등급</t>
    <phoneticPr fontId="18" type="noConversion"/>
  </si>
  <si>
    <t>2등급</t>
    <phoneticPr fontId="18" type="noConversion"/>
  </si>
  <si>
    <t>등급판정월</t>
    <phoneticPr fontId="18" type="noConversion"/>
  </si>
  <si>
    <t>4월</t>
    <phoneticPr fontId="18" type="noConversion"/>
  </si>
  <si>
    <t>7월</t>
    <phoneticPr fontId="18" type="noConversion"/>
  </si>
  <si>
    <t>10월</t>
    <phoneticPr fontId="18" type="noConversion"/>
  </si>
  <si>
    <t>1월</t>
    <phoneticPr fontId="18" type="noConversion"/>
  </si>
  <si>
    <t>비고</t>
    <phoneticPr fontId="18" type="noConversion"/>
  </si>
  <si>
    <t>▶ 매분기 평가를 통해 익분기 지원됨 (우측 기준 참고)</t>
    <phoneticPr fontId="18" type="noConversion"/>
  </si>
  <si>
    <t>등급적용월</t>
    <phoneticPr fontId="18" type="noConversion"/>
  </si>
  <si>
    <t>환산성적(GAP)</t>
    <phoneticPr fontId="18" type="noConversion"/>
  </si>
  <si>
    <t>상품별 월납기준보험료 * 상품별 환산율(주계약 및 특약별로 상이함)</t>
    <phoneticPr fontId="18" type="noConversion"/>
  </si>
  <si>
    <t>고객 설계, 계약 유지 서비스 수수료의 지급 기준</t>
    <phoneticPr fontId="18" type="noConversion"/>
  </si>
  <si>
    <t>조정GAP(CGAP)</t>
    <phoneticPr fontId="18" type="noConversion"/>
  </si>
  <si>
    <t>환산성적에 교보 정책에 따라 가중치를 둔 실적 ▶ GAP * AV(Adjusted Value)</t>
    <phoneticPr fontId="18" type="noConversion"/>
  </si>
  <si>
    <t>AV : 종신,CI,정기 1.1 / 연금,기타 1.0 / 저축 0.8 (상품정책에 따라 변경 가능)</t>
    <phoneticPr fontId="18" type="noConversion"/>
  </si>
  <si>
    <t>정산성적(NGAP)</t>
    <phoneticPr fontId="18" type="noConversion"/>
  </si>
  <si>
    <t>당월 모집 환산월초 - 환수계약 + 부활계약</t>
    <phoneticPr fontId="18" type="noConversion"/>
  </si>
  <si>
    <t>▶ NGAP = 신계약 CGAP - 환수 CGAP + 부활 CGAP</t>
    <phoneticPr fontId="18" type="noConversion"/>
  </si>
  <si>
    <t>공통사항</t>
    <phoneticPr fontId="17" type="noConversion"/>
  </si>
  <si>
    <t>승환</t>
    <phoneticPr fontId="18" type="noConversion"/>
  </si>
  <si>
    <t>부당추정모집</t>
    <phoneticPr fontId="18" type="noConversion"/>
  </si>
  <si>
    <t>계 산 식</t>
    <phoneticPr fontId="18" type="noConversion"/>
  </si>
  <si>
    <t>지급 기준</t>
    <phoneticPr fontId="18" type="noConversion"/>
  </si>
  <si>
    <t>고객 설계 Commission</t>
    <phoneticPr fontId="18" type="noConversion"/>
  </si>
  <si>
    <t>계약 유지 Commission</t>
    <phoneticPr fontId="18" type="noConversion"/>
  </si>
  <si>
    <t>환산P</t>
    <phoneticPr fontId="18" type="noConversion"/>
  </si>
  <si>
    <t>조정P</t>
    <phoneticPr fontId="18" type="noConversion"/>
  </si>
  <si>
    <t>계약 유지 수수료</t>
    <phoneticPr fontId="18" type="noConversion"/>
  </si>
  <si>
    <t>팀장</t>
    <phoneticPr fontId="18" type="noConversion"/>
  </si>
  <si>
    <t>위촉FC</t>
    <phoneticPr fontId="18" type="noConversion"/>
  </si>
  <si>
    <t>기준</t>
    <phoneticPr fontId="18" type="noConversion"/>
  </si>
  <si>
    <t>환산율</t>
    <phoneticPr fontId="18" type="noConversion"/>
  </si>
  <si>
    <t>GAP</t>
    <phoneticPr fontId="18" type="noConversion"/>
  </si>
  <si>
    <t>CGAP</t>
    <phoneticPr fontId="18" type="noConversion"/>
  </si>
  <si>
    <t>성과</t>
    <phoneticPr fontId="18" type="noConversion"/>
  </si>
  <si>
    <t>고객설계</t>
    <phoneticPr fontId="18" type="noConversion"/>
  </si>
  <si>
    <t>1차년</t>
    <phoneticPr fontId="18" type="noConversion"/>
  </si>
  <si>
    <t>2차년</t>
    <phoneticPr fontId="18" type="noConversion"/>
  </si>
  <si>
    <t>3차년</t>
    <phoneticPr fontId="17" type="noConversion"/>
  </si>
  <si>
    <t>익월</t>
    <phoneticPr fontId="18" type="noConversion"/>
  </si>
  <si>
    <t>1차년
(익월포함)</t>
    <phoneticPr fontId="18" type="noConversion"/>
  </si>
  <si>
    <t>총계</t>
    <phoneticPr fontId="18" type="noConversion"/>
  </si>
  <si>
    <t>익월</t>
    <phoneticPr fontId="18" type="noConversion"/>
  </si>
  <si>
    <t>1차년
(익월포함)</t>
    <phoneticPr fontId="18" type="noConversion"/>
  </si>
  <si>
    <t>총계</t>
    <phoneticPr fontId="18" type="noConversion"/>
  </si>
  <si>
    <t>익월</t>
    <phoneticPr fontId="18" type="noConversion"/>
  </si>
  <si>
    <t>총계</t>
    <phoneticPr fontId="18" type="noConversion"/>
  </si>
  <si>
    <t>(무)우리아이교육보험</t>
    <phoneticPr fontId="18" type="noConversion"/>
  </si>
  <si>
    <t>12년납</t>
    <phoneticPr fontId="18" type="noConversion"/>
  </si>
  <si>
    <t>더드림 (무)교보변액연금보험 (1종)</t>
    <phoneticPr fontId="17" type="noConversion"/>
  </si>
  <si>
    <t>10년납(100만이상)</t>
    <phoneticPr fontId="18" type="noConversion"/>
  </si>
  <si>
    <t>연금저축교보연금</t>
    <phoneticPr fontId="18" type="noConversion"/>
  </si>
  <si>
    <t>10년납</t>
    <phoneticPr fontId="18" type="noConversion"/>
  </si>
  <si>
    <t>더드림 (무)교보연금보험</t>
    <phoneticPr fontId="17" type="noConversion"/>
  </si>
  <si>
    <t>10년납(100만이상)</t>
    <phoneticPr fontId="18" type="noConversion"/>
  </si>
  <si>
    <t>빅플러스저축보험</t>
    <phoneticPr fontId="18" type="noConversion"/>
  </si>
  <si>
    <t>더든든한(무)교보통합CI보험</t>
    <phoneticPr fontId="18" type="noConversion"/>
  </si>
  <si>
    <t>더든든한(무)교보변액유니버셜통합종신보험(2종)</t>
    <phoneticPr fontId="18" type="noConversion"/>
  </si>
  <si>
    <t>20년납↑</t>
    <phoneticPr fontId="17" type="noConversion"/>
  </si>
  <si>
    <t>웰스연금보험/바로받는 연금보험</t>
    <phoneticPr fontId="17" type="noConversion"/>
  </si>
  <si>
    <t>일시납</t>
    <phoneticPr fontId="17" type="noConversion"/>
  </si>
  <si>
    <t>교보빅플러스저축(일시납)</t>
    <phoneticPr fontId="17" type="noConversion"/>
  </si>
  <si>
    <t>일시납</t>
    <phoneticPr fontId="18" type="noConversion"/>
  </si>
  <si>
    <t xml:space="preserve"> &lt; 세부 사항 안내 &gt;</t>
    <phoneticPr fontId="18" type="noConversion"/>
  </si>
  <si>
    <t>1. 작성 기준</t>
    <phoneticPr fontId="18" type="noConversion"/>
  </si>
  <si>
    <t xml:space="preserve"> ② 유지율 및 기타 조건등은 실제 지급 기준과 연동하여 적용됨</t>
    <phoneticPr fontId="18" type="noConversion"/>
  </si>
  <si>
    <t xml:space="preserve"> ③ 환산 기준 : 납기에 따른 주계약의 월납영수보험료를 기준으로 예시하였으며, 실제 설계시 보험료 및 특약별로 적용되는 환산이 다를 수 있으므로, </t>
    <phoneticPr fontId="18" type="noConversion"/>
  </si>
  <si>
    <r>
      <t xml:space="preserve">2. 계약유지 수수료 익월 先지급 기준 : 상품군에 상관 없이 </t>
    </r>
    <r>
      <rPr>
        <sz val="9"/>
        <color rgb="FFFF0000"/>
        <rFont val="맑은 고딕"/>
        <family val="3"/>
        <charset val="129"/>
      </rPr>
      <t>8</t>
    </r>
    <r>
      <rPr>
        <b/>
        <sz val="9"/>
        <color indexed="10"/>
        <rFont val="맑은 고딕"/>
        <family val="3"/>
        <charset val="129"/>
      </rPr>
      <t>개월 先지급으로 지급</t>
    </r>
    <r>
      <rPr>
        <sz val="9"/>
        <rFont val="맑은 고딕"/>
        <family val="3"/>
        <charset val="129"/>
      </rPr>
      <t>함</t>
    </r>
    <phoneticPr fontId="18" type="noConversion"/>
  </si>
  <si>
    <t>4. 유지 수수료 지급 기준</t>
    <phoneticPr fontId="18" type="noConversion"/>
  </si>
  <si>
    <t xml:space="preserve"> ① 상품군별 지급 횟수 : 전종목 36회까지 지급</t>
    <phoneticPr fontId="18" type="noConversion"/>
  </si>
  <si>
    <t xml:space="preserve">5. 비고 : 상기 자료는 예시이므로 매월 마감 업적, 유지율 및 개별 상품 설계시의 실제 환산P등에 따라 추가 또는 감소되어 지급됨 </t>
    <phoneticPr fontId="18" type="noConversion"/>
  </si>
  <si>
    <t>20년납↑</t>
    <phoneticPr fontId="18" type="noConversion"/>
  </si>
  <si>
    <t>납입 방법이 순수 월납인 계약의 초회 보험료</t>
    <phoneticPr fontId="18" type="noConversion"/>
  </si>
  <si>
    <t xml:space="preserve"> FYC 100% 해당액 지급 &gt; 1차년도 지급 수수료</t>
    <phoneticPr fontId="18" type="noConversion"/>
  </si>
  <si>
    <t>80%↑</t>
    <phoneticPr fontId="18" type="noConversion"/>
  </si>
  <si>
    <t>- 단, VUL과 UL 상품의 추가납입P와 단체보험/일시납/CEO LT건은 不지급</t>
    <phoneticPr fontId="18" type="noConversion"/>
  </si>
  <si>
    <t>3. 성적 관련 용어 정의</t>
    <phoneticPr fontId="18" type="noConversion"/>
  </si>
  <si>
    <t>성과 Commission 수수료의 지급 기준</t>
    <phoneticPr fontId="18" type="noConversion"/>
  </si>
  <si>
    <t>지급기준 : (전보종) 성립계약 GAP * 21% (1회)</t>
    <phoneticPr fontId="18" type="noConversion"/>
  </si>
  <si>
    <t>13~24회 : GAP * 13% * 12회 = 총 156%</t>
    <phoneticPr fontId="17" type="noConversion"/>
  </si>
  <si>
    <t>25~36회 : GAP * 10.5% * 12회 = 총 126%</t>
    <phoneticPr fontId="17" type="noConversion"/>
  </si>
  <si>
    <t>4. 승환규정</t>
    <phoneticPr fontId="18" type="noConversion"/>
  </si>
  <si>
    <t>5. 수수료 항목 및 지급 기준</t>
    <phoneticPr fontId="18" type="noConversion"/>
  </si>
  <si>
    <t xml:space="preserve">30백만↑ 245% / 50백만↑ 265% </t>
    <phoneticPr fontId="18" type="noConversion"/>
  </si>
  <si>
    <t>3. 수수료 항목별 익월 지급 기준 : 성과, 고객설계, 계약 유지 ▶ 총 3개 항목</t>
    <phoneticPr fontId="18" type="noConversion"/>
  </si>
  <si>
    <r>
      <t xml:space="preserve">8개월선급
</t>
    </r>
    <r>
      <rPr>
        <sz val="9"/>
        <color rgb="FF0000FF"/>
        <rFont val="맑은 고딕"/>
        <family val="3"/>
        <charset val="129"/>
      </rPr>
      <t>(2-9회)</t>
    </r>
    <phoneticPr fontId="18" type="noConversion"/>
  </si>
  <si>
    <r>
      <t>2~12회 : GAP * 21% * 11회 = 총 231%</t>
    </r>
    <r>
      <rPr>
        <b/>
        <sz val="9"/>
        <color rgb="FFFF0000"/>
        <rFont val="맑은 고딕"/>
        <family val="3"/>
        <charset val="129"/>
      </rPr>
      <t xml:space="preserve"> (2-9회선지급)</t>
    </r>
    <phoneticPr fontId="17" type="noConversion"/>
  </si>
  <si>
    <t>일반지점장</t>
  </si>
  <si>
    <t>** 수수료 규정이나 테이블 예시구간 변경 외에도, 상품의 환산율이 변경될 시 테이블 금액 및 수수료 실제 지급액은 달라질 수 있으니 이점 참고하시어 활용 바랍니다.</t>
    <phoneticPr fontId="100" type="noConversion"/>
  </si>
  <si>
    <t>4. 수수료 항목 및 지급 기준</t>
    <phoneticPr fontId="18" type="noConversion"/>
  </si>
  <si>
    <t>세 부 사 항</t>
    <phoneticPr fontId="18" type="noConversion"/>
  </si>
  <si>
    <t>정산P, 신계약관리수수료, 유지율 산출의 기초</t>
    <phoneticPr fontId="18" type="noConversion"/>
  </si>
  <si>
    <t>신계약 관리 수수료</t>
    <phoneticPr fontId="18" type="noConversion"/>
  </si>
  <si>
    <t>전 종목에 대해 6개월 先지급으로 운영중</t>
    <phoneticPr fontId="18" type="noConversion"/>
  </si>
  <si>
    <t xml:space="preserve">10백만↑ 76% / 30백만↑ 80% / 40백만↑ 84% / 70백만↑ 88% / </t>
    <phoneticPr fontId="18" type="noConversion"/>
  </si>
  <si>
    <t>일반지점장</t>
    <phoneticPr fontId="18" type="noConversion"/>
  </si>
  <si>
    <t>인증지점장</t>
    <phoneticPr fontId="18" type="noConversion"/>
  </si>
  <si>
    <t xml:space="preserve">              직급별 테이블 예시는 본부장, 일반지점장, 팀장, FC 기준으로 작성되었으며, 이외의 직급(지급률)의 경우는 해당 지급률을 직접 반영하여 확인 바람</t>
    <phoneticPr fontId="35" type="noConversion"/>
  </si>
  <si>
    <t>상품명</t>
    <phoneticPr fontId="18" type="noConversion"/>
  </si>
  <si>
    <r>
      <rPr>
        <b/>
        <sz val="9"/>
        <color rgb="FFFF0000"/>
        <rFont val="맑은 고딕"/>
        <family val="3"/>
        <charset val="129"/>
      </rPr>
      <t>주계약</t>
    </r>
    <r>
      <rPr>
        <sz val="9"/>
        <rFont val="맑은 고딕"/>
        <family val="3"/>
        <charset val="129"/>
      </rPr>
      <t xml:space="preserve">
월납P</t>
    </r>
    <phoneticPr fontId="18" type="noConversion"/>
  </si>
  <si>
    <t>Com. Rate</t>
    <phoneticPr fontId="18" type="noConversion"/>
  </si>
  <si>
    <t>SC(환산)</t>
    <phoneticPr fontId="17" type="noConversion"/>
  </si>
  <si>
    <t>PB</t>
    <phoneticPr fontId="18" type="noConversion"/>
  </si>
  <si>
    <t>PC(익월)</t>
    <phoneticPr fontId="18" type="noConversion"/>
  </si>
  <si>
    <t>PC(2개월후)</t>
    <phoneticPr fontId="18" type="noConversion"/>
  </si>
  <si>
    <t>BC</t>
    <phoneticPr fontId="18" type="noConversion"/>
  </si>
  <si>
    <t>본사수수료</t>
    <phoneticPr fontId="18" type="noConversion"/>
  </si>
  <si>
    <t>본부장</t>
    <phoneticPr fontId="18" type="noConversion"/>
  </si>
  <si>
    <t>일반지점장</t>
    <phoneticPr fontId="18" type="noConversion"/>
  </si>
  <si>
    <t>팀장</t>
    <phoneticPr fontId="18" type="noConversion"/>
  </si>
  <si>
    <t>위촉FC</t>
    <phoneticPr fontId="18" type="noConversion"/>
  </si>
  <si>
    <t>기준</t>
    <phoneticPr fontId="18" type="noConversion"/>
  </si>
  <si>
    <t>환산율</t>
    <phoneticPr fontId="18" type="noConversion"/>
  </si>
  <si>
    <t>총량</t>
    <phoneticPr fontId="18" type="noConversion"/>
  </si>
  <si>
    <t>1회
(2~6회先)</t>
    <phoneticPr fontId="18" type="noConversion"/>
  </si>
  <si>
    <t>1차년합계</t>
    <phoneticPr fontId="18" type="noConversion"/>
  </si>
  <si>
    <t>2차년도</t>
    <phoneticPr fontId="18" type="noConversion"/>
  </si>
  <si>
    <t>3차년도</t>
    <phoneticPr fontId="18" type="noConversion"/>
  </si>
  <si>
    <t>익월</t>
    <phoneticPr fontId="18" type="noConversion"/>
  </si>
  <si>
    <t>1차년
(익월포함)</t>
    <phoneticPr fontId="18" type="noConversion"/>
  </si>
  <si>
    <t>총계</t>
    <phoneticPr fontId="18" type="noConversion"/>
  </si>
  <si>
    <t>30만이상</t>
    <phoneticPr fontId="18" type="noConversion"/>
  </si>
  <si>
    <t>20년납이상</t>
    <phoneticPr fontId="18" type="noConversion"/>
  </si>
  <si>
    <t>6년납이상</t>
    <phoneticPr fontId="18" type="noConversion"/>
  </si>
  <si>
    <t>3. 수수료 항목별 익월 지급 기준 : Production Bonus , Base Commission(6개월분), Partnership Commission ▶ 총 3개 항목이며 아래 기준으로 예시함</t>
    <phoneticPr fontId="18" type="noConversion"/>
  </si>
  <si>
    <t xml:space="preserve"> ① 상품군별 지급 횟수 : 상품군에 상관 없이 전 종목 3차년도까지 지급하며, 6개월 선지급으로 비례수수료는 7~36회까지 지급됨</t>
    <phoneticPr fontId="18" type="noConversion"/>
  </si>
  <si>
    <t xml:space="preserve"> ① 최저 보장제 미적용 : 정산실적, 유지율 및 기타 조건은 실제 지급 기준과 연동하여 적용 </t>
    <phoneticPr fontId="18" type="noConversion"/>
  </si>
  <si>
    <t xml:space="preserve">▶ 지급액 : SC * 155%(총량) / 총량을 1차년도 60%, 2차년도 20%, 3차년도 20%로 나누어 지급 </t>
    <phoneticPr fontId="18" type="noConversion"/>
  </si>
  <si>
    <r>
      <t xml:space="preserve">    즉, </t>
    </r>
    <r>
      <rPr>
        <b/>
        <sz val="9"/>
        <color indexed="12"/>
        <rFont val="맑은 고딕"/>
        <family val="3"/>
        <charset val="129"/>
      </rPr>
      <t>1차년도 :</t>
    </r>
    <r>
      <rPr>
        <sz val="9"/>
        <color indexed="12"/>
        <rFont val="맑은 고딕"/>
        <family val="3"/>
        <charset val="129"/>
      </rPr>
      <t xml:space="preserve"> SC * 155% * 60%를 8.3%씩 1차월(1~6차월先), 7~12회 각월 지급(12차월 8.7%),</t>
    </r>
    <phoneticPr fontId="17" type="noConversion"/>
  </si>
  <si>
    <r>
      <t xml:space="preserve">        </t>
    </r>
    <r>
      <rPr>
        <b/>
        <sz val="9"/>
        <color indexed="12"/>
        <rFont val="맑은 고딕"/>
        <family val="3"/>
        <charset val="129"/>
      </rPr>
      <t>2~3차년도 :</t>
    </r>
    <r>
      <rPr>
        <sz val="9"/>
        <color indexed="12"/>
        <rFont val="맑은 고딕"/>
        <family val="3"/>
        <charset val="129"/>
      </rPr>
      <t xml:space="preserve"> SC * 155% * 40%를 24개월로 나누어 매달 지급 </t>
    </r>
    <phoneticPr fontId="17" type="noConversion"/>
  </si>
  <si>
    <t>▶ 지급 방식 : 익월 先지급 (1회 지급)</t>
    <phoneticPr fontId="18" type="noConversion"/>
  </si>
  <si>
    <t>100백만↑</t>
    <phoneticPr fontId="18" type="noConversion"/>
  </si>
  <si>
    <t>0%이상</t>
    <phoneticPr fontId="35" type="noConversion"/>
  </si>
  <si>
    <t>-5%이상</t>
    <phoneticPr fontId="18" type="noConversion"/>
  </si>
  <si>
    <t>초회는 6개월 선지급으로 6회분(SC의 약46%)이 지급됨</t>
    <phoneticPr fontId="17" type="noConversion"/>
  </si>
  <si>
    <t>▶ NSC구간별 지급율</t>
    <phoneticPr fontId="18" type="noConversion"/>
  </si>
  <si>
    <t>당월NSC</t>
    <phoneticPr fontId="18" type="noConversion"/>
  </si>
  <si>
    <t>지급율</t>
    <phoneticPr fontId="18" type="noConversion"/>
  </si>
  <si>
    <t>▶ 지급 방식 : 6개월 先지급 (유지는 7차월부터 지급하며 36차월 까지 지급됨)</t>
    <phoneticPr fontId="18" type="noConversion"/>
  </si>
  <si>
    <t>35백만↑</t>
  </si>
  <si>
    <t>25백만↑</t>
  </si>
  <si>
    <t>15백만↑</t>
  </si>
  <si>
    <t>7백만미만</t>
  </si>
  <si>
    <t>ZERO 제외</t>
  </si>
  <si>
    <t>상품명</t>
    <phoneticPr fontId="18" type="noConversion"/>
  </si>
  <si>
    <r>
      <rPr>
        <b/>
        <sz val="9"/>
        <color rgb="FFFF0000"/>
        <rFont val="맑은 고딕"/>
        <family val="3"/>
        <charset val="129"/>
      </rPr>
      <t>주계약</t>
    </r>
    <r>
      <rPr>
        <sz val="9"/>
        <rFont val="맑은 고딕"/>
        <family val="3"/>
        <charset val="129"/>
      </rPr>
      <t xml:space="preserve">
월납P</t>
    </r>
    <phoneticPr fontId="18" type="noConversion"/>
  </si>
  <si>
    <t>환산P</t>
    <phoneticPr fontId="18" type="noConversion"/>
  </si>
  <si>
    <t>본부장</t>
    <phoneticPr fontId="18" type="noConversion"/>
  </si>
  <si>
    <t>일반지점장</t>
    <phoneticPr fontId="18" type="noConversion"/>
  </si>
  <si>
    <t>팀장</t>
    <phoneticPr fontId="18" type="noConversion"/>
  </si>
  <si>
    <t>익월</t>
    <phoneticPr fontId="18" type="noConversion"/>
  </si>
  <si>
    <t>1차년
(익월포함)</t>
    <phoneticPr fontId="18" type="noConversion"/>
  </si>
  <si>
    <t>총계</t>
    <phoneticPr fontId="18" type="noConversion"/>
  </si>
  <si>
    <t>인증지점장</t>
    <phoneticPr fontId="18" type="noConversion"/>
  </si>
  <si>
    <t>위촉FC</t>
    <phoneticPr fontId="18" type="noConversion"/>
  </si>
  <si>
    <t>상품군</t>
    <phoneticPr fontId="110" type="noConversion"/>
  </si>
  <si>
    <t>기준</t>
    <phoneticPr fontId="18" type="noConversion"/>
  </si>
  <si>
    <t>환산율</t>
    <phoneticPr fontId="18" type="noConversion"/>
  </si>
  <si>
    <t>1. 업적 관련 용어 정의</t>
    <phoneticPr fontId="18" type="noConversion"/>
  </si>
  <si>
    <t>항  목</t>
    <phoneticPr fontId="18" type="noConversion"/>
  </si>
  <si>
    <t>용어 정의</t>
    <phoneticPr fontId="18" type="noConversion"/>
  </si>
  <si>
    <t>비고</t>
    <phoneticPr fontId="17" type="noConversion"/>
  </si>
  <si>
    <t>월납초회보험료</t>
    <phoneticPr fontId="18" type="noConversion"/>
  </si>
  <si>
    <t>신계약의 납입 방법중 월납인 경우의 초회 보험료</t>
    <phoneticPr fontId="18" type="noConversion"/>
  </si>
  <si>
    <t>월납기준보험료</t>
    <phoneticPr fontId="18" type="noConversion"/>
  </si>
  <si>
    <t>초회보험료를 월납기준으로 환산한 신계약 성적</t>
    <phoneticPr fontId="18" type="noConversion"/>
  </si>
  <si>
    <t>환산초회(환산P)</t>
    <phoneticPr fontId="18" type="noConversion"/>
  </si>
  <si>
    <t>신계약 건별 월납기준보험료 * 상품별 환산율(주계약 및 특약별로 상이함)</t>
    <phoneticPr fontId="18" type="noConversion"/>
  </si>
  <si>
    <t>정산초회(정산P)</t>
    <phoneticPr fontId="18" type="noConversion"/>
  </si>
  <si>
    <t>(환산초회P - 미유지 환수 - 기타 성적 환수 + 부활환산초회)</t>
    <phoneticPr fontId="18" type="noConversion"/>
  </si>
  <si>
    <t>2. 수수료 관련 기타 기준</t>
    <phoneticPr fontId="18" type="noConversion"/>
  </si>
  <si>
    <t>승환 계약</t>
    <phoneticPr fontId="18" type="noConversion"/>
  </si>
  <si>
    <t>▶타영업채널의 기존계약을 실효, 해약(감액포함), 해지한 후에 동일계약자 또는 동일 피보험자로 ±6개월 이내에 재가입한 신계약
▶ 대상범위 : FC↔GA채널간 : 기존계약신계약이 모두 본인모집계약일 경우 적용 / DM↔GA채널간 : 본인모집여부 상관없이 모든계약에 적용 /
                원계약이 36회차 이내 승환 적용 / 희망가득, 행복플랜, 라이프플랜재테크, 꿈이있는재테크 상품은 60회차 이내 승환 적용(품보, 민원해지는 회차무관)</t>
    <phoneticPr fontId="17" type="noConversion"/>
  </si>
  <si>
    <t>3. 수수료 항목 및 지급 기준</t>
    <phoneticPr fontId="18" type="noConversion"/>
  </si>
  <si>
    <t>세 부  사 항</t>
    <phoneticPr fontId="18" type="noConversion"/>
  </si>
  <si>
    <t>비  고</t>
    <phoneticPr fontId="18" type="noConversion"/>
  </si>
  <si>
    <t>지 급 회 차</t>
    <phoneticPr fontId="18" type="noConversion"/>
  </si>
  <si>
    <t>모집수수료</t>
    <phoneticPr fontId="18" type="noConversion"/>
  </si>
  <si>
    <t>▶ 기준 : 상품별 환산초회P *  20% (월납)</t>
    <phoneticPr fontId="17" type="noConversion"/>
  </si>
  <si>
    <t>비월납 및 일시납의 경우 별도 지급률 적용</t>
    <phoneticPr fontId="17" type="noConversion"/>
  </si>
  <si>
    <t>1회</t>
    <phoneticPr fontId="17" type="noConversion"/>
  </si>
  <si>
    <t>계약관리수수료</t>
    <phoneticPr fontId="18" type="noConversion"/>
  </si>
  <si>
    <t>▶ 기준 : 2~36회차 입금환산초회P * 상품별 지급률 * 납방별 지급계수</t>
    <phoneticPr fontId="17" type="noConversion"/>
  </si>
  <si>
    <r>
      <t xml:space="preserve">▶ </t>
    </r>
    <r>
      <rPr>
        <sz val="9"/>
        <color rgb="FF0000FF"/>
        <rFont val="맑은 고딕"/>
        <family val="3"/>
        <charset val="129"/>
      </rPr>
      <t>2~9회 총 8회 익월 선지급모집수수료로 지급</t>
    </r>
    <r>
      <rPr>
        <sz val="9"/>
        <rFont val="맑은 고딕"/>
        <family val="3"/>
        <charset val="129"/>
      </rPr>
      <t xml:space="preserve">
▶</t>
    </r>
    <r>
      <rPr>
        <b/>
        <sz val="9"/>
        <rFont val="맑은 고딕"/>
        <family val="3"/>
        <charset val="129"/>
      </rPr>
      <t xml:space="preserve"> 2~24회 연체건은 지급률의 80% 지급</t>
    </r>
    <r>
      <rPr>
        <sz val="9"/>
        <rFont val="맑은 고딕"/>
        <family val="3"/>
        <charset val="129"/>
      </rPr>
      <t xml:space="preserve">
▶ </t>
    </r>
    <r>
      <rPr>
        <b/>
        <sz val="9"/>
        <color rgb="FFFF0000"/>
        <rFont val="맑은 고딕"/>
        <family val="3"/>
        <charset val="129"/>
      </rPr>
      <t>카드납(실제 수금방법 기준) : 산출수수료의 70% 지급</t>
    </r>
    <r>
      <rPr>
        <sz val="9"/>
        <rFont val="맑은 고딕"/>
        <family val="3"/>
        <charset val="129"/>
      </rPr>
      <t xml:space="preserve">
▶ 보험금 지급건, 납입 면제건, 해촉자 미이관건은 수수료 不지급
▶ 선납건 지급 : 해당월 도래시에 해당 보험료로 인정 지급
▶ 부활건 지급 : 부활보험료중 해당월분은 해당 보험료로 기타는 연체보험료로 적용 지급
▶ 비월납 지급 : 월납 해당회차분 지급</t>
    </r>
    <phoneticPr fontId="18" type="noConversion"/>
  </si>
  <si>
    <t>35회</t>
    <phoneticPr fontId="17" type="noConversion"/>
  </si>
  <si>
    <t>회차</t>
    <phoneticPr fontId="17" type="noConversion"/>
  </si>
  <si>
    <t>종신</t>
    <phoneticPr fontId="17" type="noConversion"/>
  </si>
  <si>
    <t>보장</t>
    <phoneticPr fontId="17" type="noConversion"/>
  </si>
  <si>
    <t>연금/저축/VUL</t>
    <phoneticPr fontId="18" type="noConversion"/>
  </si>
  <si>
    <t>지급계수</t>
    <phoneticPr fontId="17" type="noConversion"/>
  </si>
  <si>
    <t>2~12회</t>
    <phoneticPr fontId="17" type="noConversion"/>
  </si>
  <si>
    <t>1월납 : 1
3월납 : 3
6월납 : 6
년납 : 12</t>
    <phoneticPr fontId="17" type="noConversion"/>
  </si>
  <si>
    <t>13~24회</t>
    <phoneticPr fontId="17" type="noConversion"/>
  </si>
  <si>
    <t>25~36회</t>
    <phoneticPr fontId="17" type="noConversion"/>
  </si>
  <si>
    <t>유지보너스수수료</t>
    <phoneticPr fontId="18" type="noConversion"/>
  </si>
  <si>
    <t>▶ 지급대상 : 정산초회P 1백만 이상시만 지급
▶ 통산유지율 산출은 규정 적용 후 모집분 계약부터 산출</t>
    <phoneticPr fontId="18" type="noConversion"/>
  </si>
  <si>
    <t>24회</t>
    <phoneticPr fontId="17" type="noConversion"/>
  </si>
  <si>
    <t>구분</t>
    <phoneticPr fontId="17" type="noConversion"/>
  </si>
  <si>
    <t>2~18회 통산유지율</t>
    <phoneticPr fontId="17" type="noConversion"/>
  </si>
  <si>
    <t>지급률</t>
    <phoneticPr fontId="17" type="noConversion"/>
  </si>
  <si>
    <t>성과수수료</t>
    <phoneticPr fontId="18" type="noConversion"/>
  </si>
  <si>
    <t xml:space="preserve">▶ 기준 : 정산초회P * 구간별 지급률 * 가삭감율 </t>
    <phoneticPr fontId="17" type="noConversion"/>
  </si>
  <si>
    <t>정산P 구간</t>
    <phoneticPr fontId="18" type="noConversion"/>
  </si>
  <si>
    <t>130백만↑</t>
    <phoneticPr fontId="18" type="noConversion"/>
  </si>
  <si>
    <t>100백만↑</t>
    <phoneticPr fontId="18" type="noConversion"/>
  </si>
  <si>
    <t>50백만↑</t>
    <phoneticPr fontId="18" type="noConversion"/>
  </si>
  <si>
    <t>30백만↑</t>
    <phoneticPr fontId="18" type="noConversion"/>
  </si>
  <si>
    <t>20백만↑</t>
    <phoneticPr fontId="18" type="noConversion"/>
  </si>
  <si>
    <t>10백만↑</t>
    <phoneticPr fontId="18" type="noConversion"/>
  </si>
  <si>
    <t>가삭감율 (2~13회차 통산유지율 지표(89%) 달성도에 따라 차등적용)</t>
    <phoneticPr fontId="17" type="noConversion"/>
  </si>
  <si>
    <t>지표대비</t>
    <phoneticPr fontId="18" type="noConversion"/>
  </si>
  <si>
    <t>지표이상</t>
    <phoneticPr fontId="18" type="noConversion"/>
  </si>
  <si>
    <t>0~-3%</t>
    <phoneticPr fontId="18" type="noConversion"/>
  </si>
  <si>
    <t>-3~-5%</t>
    <phoneticPr fontId="18" type="noConversion"/>
  </si>
  <si>
    <t>-5~-10%</t>
    <phoneticPr fontId="18" type="noConversion"/>
  </si>
  <si>
    <t>-10~-15%</t>
    <phoneticPr fontId="17" type="noConversion"/>
  </si>
  <si>
    <t>가삭감율</t>
    <phoneticPr fontId="18" type="noConversion"/>
  </si>
  <si>
    <t>(2~13 IQA) / 지표</t>
    <phoneticPr fontId="18" type="noConversion"/>
  </si>
  <si>
    <t>성과
수수료</t>
    <phoneticPr fontId="18" type="noConversion"/>
  </si>
  <si>
    <t>모집
수수료</t>
    <phoneticPr fontId="18" type="noConversion"/>
  </si>
  <si>
    <t>계약관리수수료</t>
    <phoneticPr fontId="18" type="noConversion"/>
  </si>
  <si>
    <t>유지
보너스</t>
    <phoneticPr fontId="18" type="noConversion"/>
  </si>
  <si>
    <t>10~12회</t>
    <phoneticPr fontId="18" type="noConversion"/>
  </si>
  <si>
    <t>13~24회</t>
    <phoneticPr fontId="18" type="noConversion"/>
  </si>
  <si>
    <t>25~36회</t>
    <phoneticPr fontId="18" type="noConversion"/>
  </si>
  <si>
    <t>13~36회</t>
    <phoneticPr fontId="17" type="noConversion"/>
  </si>
  <si>
    <t>보장</t>
    <phoneticPr fontId="110" type="noConversion"/>
  </si>
  <si>
    <t>홈케어암Ⅱ (15년갱신형/순수보장형)</t>
    <phoneticPr fontId="17" type="noConversion"/>
  </si>
  <si>
    <t>기준계약2천5백만/30~39세</t>
    <phoneticPr fontId="18" type="noConversion"/>
  </si>
  <si>
    <t>꿈나무자녀사랑</t>
    <phoneticPr fontId="17" type="noConversion"/>
  </si>
  <si>
    <t>20년납이상/1, 2형</t>
    <phoneticPr fontId="18" type="noConversion"/>
  </si>
  <si>
    <t>NEW하나로종합보장</t>
    <phoneticPr fontId="17" type="noConversion"/>
  </si>
  <si>
    <t>20년납이상</t>
    <phoneticPr fontId="18" type="noConversion"/>
  </si>
  <si>
    <t>종신/CI</t>
    <phoneticPr fontId="17" type="noConversion"/>
  </si>
  <si>
    <t>프리스타일 통합종신</t>
    <phoneticPr fontId="18" type="noConversion"/>
  </si>
  <si>
    <t>20년납이상/30~34세</t>
    <phoneticPr fontId="18" type="noConversion"/>
  </si>
  <si>
    <t>프리스타일 통합 CI</t>
    <phoneticPr fontId="18" type="noConversion"/>
  </si>
  <si>
    <t>연금</t>
    <phoneticPr fontId="17" type="noConversion"/>
  </si>
  <si>
    <t>리셋플러스변액연금/골든라이프연금</t>
    <phoneticPr fontId="17" type="noConversion"/>
  </si>
  <si>
    <t>10년납이상</t>
    <phoneticPr fontId="18" type="noConversion"/>
  </si>
  <si>
    <t>저축</t>
    <phoneticPr fontId="17" type="noConversion"/>
  </si>
  <si>
    <t>리셋플러스VUL</t>
    <phoneticPr fontId="17" type="noConversion"/>
  </si>
  <si>
    <t>기준계약 10백만</t>
    <phoneticPr fontId="18" type="noConversion"/>
  </si>
  <si>
    <t>라이프플랜재테크 (적립형/수익형)</t>
    <phoneticPr fontId="17" type="noConversion"/>
  </si>
  <si>
    <t>12년납</t>
    <phoneticPr fontId="32" type="noConversion"/>
  </si>
  <si>
    <t>일시납</t>
    <phoneticPr fontId="17" type="noConversion"/>
  </si>
  <si>
    <t>골든라이프연금</t>
    <phoneticPr fontId="17" type="noConversion"/>
  </si>
  <si>
    <t>비월납</t>
    <phoneticPr fontId="17" type="noConversion"/>
  </si>
  <si>
    <t>일시납</t>
    <phoneticPr fontId="32" type="noConversion"/>
  </si>
  <si>
    <t xml:space="preserve"> &lt; 세부 사항 안내 &gt;</t>
    <phoneticPr fontId="18" type="noConversion"/>
  </si>
  <si>
    <t>1. 작성 기준</t>
    <phoneticPr fontId="18" type="noConversion"/>
  </si>
  <si>
    <t xml:space="preserve"> ② 환산 기준 : 납기에 따른 주계약의 월납영수보험료를 기준으로 예시하였으며, 실제 설계시 보험료 및 특약별로 적용되는 환산이 다를 수 있으므로, </t>
    <phoneticPr fontId="18" type="noConversion"/>
  </si>
  <si>
    <t>2. 계약관리수수료 익월 先지급 기준 : 8개월 先지급</t>
    <phoneticPr fontId="18" type="noConversion"/>
  </si>
  <si>
    <t>3. 수수료 항목별 익월 지급 기준 : 성과 수수료, 모집수수료, 선지급계약관리수수료 ▶ 총 3개 항목</t>
    <phoneticPr fontId="18" type="noConversion"/>
  </si>
  <si>
    <t xml:space="preserve">4. 비고 : 상기 자료는 예시이므로 매월 마감 업적, 유지율 및 개별 상품 설계시의 실제 환산P등에 따라 추가 또는 감소되어 지급됨 </t>
    <phoneticPr fontId="18" type="noConversion"/>
  </si>
  <si>
    <t>인증지점장</t>
    <phoneticPr fontId="18" type="noConversion"/>
  </si>
  <si>
    <t>성과 Commission</t>
    <phoneticPr fontId="18" type="noConversion"/>
  </si>
  <si>
    <t>▶ 당월 NGAP 구간별 지급률</t>
    <phoneticPr fontId="35" type="noConversion"/>
  </si>
  <si>
    <t>2~9회
(익월선지급)</t>
    <phoneticPr fontId="17" type="noConversion"/>
  </si>
  <si>
    <t xml:space="preserve"> ① 최저보장제 적용 : 성과수수료는 정산P 1억3천구간으로 최저보장하며, 유지율 및 기타 조건등은 실제 지급 기준과 연동하여 적용됨</t>
    <phoneticPr fontId="18" type="noConversion"/>
  </si>
  <si>
    <t xml:space="preserve">                                 예시 기준은 총환산월초 5천만원 이상 , 유지율 82% 이상 구간으로 예시함</t>
    <phoneticPr fontId="18" type="noConversion"/>
  </si>
  <si>
    <t>50백만이상</t>
    <phoneticPr fontId="18" type="noConversion"/>
  </si>
  <si>
    <t>20백만이상</t>
    <phoneticPr fontId="18" type="noConversion"/>
  </si>
  <si>
    <r>
      <t xml:space="preserve">▶ 지급 방식 : 당월 산출액의 50% 를 지급 , 잔여액은 2개월 후 지급
▶ 유지율 적용 : 전월 18회 IQA 유지율과 직전 3개월 통산 18회 IQA 유지율중 유리한 지표
▶ 지급액 : 당월NSC*NSC구간별지급율*유지가감율
</t>
    </r>
    <r>
      <rPr>
        <b/>
        <sz val="9"/>
        <color rgb="FF0000FF"/>
        <rFont val="맑은 고딕"/>
        <family val="3"/>
        <charset val="129"/>
      </rPr>
      <t xml:space="preserve">
  테이블 예시는 NSC 5천만 이상 , 유지율 82% 이상 구간으로 예시함</t>
    </r>
    <phoneticPr fontId="18" type="noConversion"/>
  </si>
  <si>
    <t xml:space="preserve"> ▶ PB : 당월 NSC(정산실적)의 50% / BC : 6차월분(상품별 환산 성적에 따라 차등) / PC(유지율 우대) : NSC의 10.5%로 예시</t>
    <phoneticPr fontId="18" type="noConversion"/>
  </si>
  <si>
    <t>10백만이상</t>
    <phoneticPr fontId="18" type="noConversion"/>
  </si>
  <si>
    <t>+3%이상</t>
    <phoneticPr fontId="35" type="noConversion"/>
  </si>
  <si>
    <t>PB
(Production Bonus)</t>
    <phoneticPr fontId="18" type="noConversion"/>
  </si>
  <si>
    <t>PC
(Partnership Commission)</t>
    <phoneticPr fontId="18" type="noConversion"/>
  </si>
  <si>
    <t>BC
(Base Commission)</t>
    <phoneticPr fontId="18" type="noConversion"/>
  </si>
  <si>
    <t>업적월 기준으로 3개월 전후 사이에, 동일 계약자 또는 피보험자 명의의 기존 계약 실효, 해약, 감액된 경우는 성적 및 수수료 100% 차감</t>
    <phoneticPr fontId="18" type="noConversion"/>
  </si>
  <si>
    <t>승환계약으로 판정시 성적 및 수수료 100% 차감</t>
    <phoneticPr fontId="17" type="noConversion"/>
  </si>
  <si>
    <t>신계약 가입월도 전,후 3개월이내 기존 보험계약(24개월이내)이 해지 등 소멸된 경우의 신계약</t>
    <phoneticPr fontId="18" type="noConversion"/>
  </si>
  <si>
    <t>승환(대체)계약 및 부당추정계약으로 판명시 성적 및 수수료 100% 차감</t>
    <phoneticPr fontId="35" type="noConversion"/>
  </si>
  <si>
    <t xml:space="preserve">모든 계약의 마감전,후 청약철회, 무효(해지)처리월 및 전,후 1개월이내 타 모집자로 재가입되는 신계약 </t>
    <phoneticPr fontId="17" type="noConversion"/>
  </si>
  <si>
    <r>
      <rPr>
        <b/>
        <sz val="9"/>
        <color rgb="FF0000FF"/>
        <rFont val="맑은 고딕"/>
        <family val="3"/>
        <charset val="129"/>
      </rPr>
      <t>4백만미만 140%</t>
    </r>
    <r>
      <rPr>
        <sz val="9"/>
        <rFont val="맑은 고딕"/>
        <family val="3"/>
        <charset val="129"/>
      </rPr>
      <t xml:space="preserve"> /</t>
    </r>
    <r>
      <rPr>
        <b/>
        <sz val="9"/>
        <color rgb="FF0000FF"/>
        <rFont val="맑은 고딕"/>
        <family val="3"/>
        <charset val="129"/>
      </rPr>
      <t xml:space="preserve"> </t>
    </r>
    <r>
      <rPr>
        <sz val="9"/>
        <rFont val="맑은 고딕"/>
        <family val="3"/>
        <charset val="129"/>
      </rPr>
      <t>4백만↑ 170%</t>
    </r>
    <r>
      <rPr>
        <b/>
        <sz val="9"/>
        <color rgb="FF0000FF"/>
        <rFont val="맑은 고딕"/>
        <family val="3"/>
        <charset val="129"/>
      </rPr>
      <t xml:space="preserve"> </t>
    </r>
    <r>
      <rPr>
        <sz val="9"/>
        <rFont val="맑은 고딕"/>
        <family val="3"/>
        <charset val="129"/>
      </rPr>
      <t>/ 10백만↑ 200% / 20백만↑ 220%</t>
    </r>
    <phoneticPr fontId="18" type="noConversion"/>
  </si>
  <si>
    <t xml:space="preserve">   관련 환산율 자료는 &lt;팜스 공지사항 → 일반공지&gt; 에서 "환산"검색하여 확인하실 수 있습니다.</t>
    <phoneticPr fontId="100" type="noConversion"/>
  </si>
  <si>
    <t xml:space="preserve"> ① 최저 보장제 미적용 : 성과 Commission 은 NGAP 4백만 미만구간 140%로 예시하며 ,유지율 및 기타 조건등은 실제 지급 기준과 연동하여 적용됨</t>
    <phoneticPr fontId="35" type="noConversion"/>
  </si>
  <si>
    <t>(무)스마트/라이프/VIP플랜VUL종신</t>
    <phoneticPr fontId="18" type="noConversion"/>
  </si>
  <si>
    <t>(무)미리받는 변액 종신보험</t>
    <phoneticPr fontId="18" type="noConversion"/>
  </si>
  <si>
    <t>20년납이상</t>
    <phoneticPr fontId="18" type="noConversion"/>
  </si>
  <si>
    <t>14년 9월 생보사별수수료테이블 변동사항(전월대비)</t>
    <phoneticPr fontId="18" type="noConversion"/>
  </si>
  <si>
    <t>1년납</t>
  </si>
  <si>
    <t>보장</t>
  </si>
  <si>
    <t>12년납이상</t>
  </si>
  <si>
    <t>저축 / 12년납↑</t>
    <phoneticPr fontId="18" type="noConversion"/>
  </si>
  <si>
    <t>1. 작성 기준</t>
    <phoneticPr fontId="18" type="noConversion"/>
  </si>
  <si>
    <t>1차년</t>
    <phoneticPr fontId="18" type="noConversion"/>
  </si>
  <si>
    <t>3차년</t>
    <phoneticPr fontId="18" type="noConversion"/>
  </si>
  <si>
    <t>미리보는내연금(무)교보변액연금1종(주식편입 30%미만)</t>
    <phoneticPr fontId="35" type="noConversion"/>
  </si>
  <si>
    <t>10년납</t>
    <phoneticPr fontId="18" type="noConversion"/>
  </si>
  <si>
    <r>
      <rPr>
        <b/>
        <sz val="9"/>
        <color rgb="FFFF0000"/>
        <rFont val="맑은 고딕"/>
        <family val="3"/>
        <charset val="129"/>
      </rPr>
      <t>주계약</t>
    </r>
    <r>
      <rPr>
        <sz val="9"/>
        <rFont val="맑은 고딕"/>
        <family val="3"/>
        <charset val="129"/>
      </rPr>
      <t xml:space="preserve">
월납P</t>
    </r>
    <phoneticPr fontId="18" type="noConversion"/>
  </si>
  <si>
    <t>본부장</t>
    <phoneticPr fontId="18" type="noConversion"/>
  </si>
  <si>
    <t>일반지점장</t>
    <phoneticPr fontId="18" type="noConversion"/>
  </si>
  <si>
    <t>기준</t>
    <phoneticPr fontId="18" type="noConversion"/>
  </si>
  <si>
    <t>1차년
(익월포함)</t>
    <phoneticPr fontId="18" type="noConversion"/>
  </si>
  <si>
    <t>10년납 이상</t>
    <phoneticPr fontId="18" type="noConversion"/>
  </si>
  <si>
    <t xml:space="preserve"> &lt; 세부 사항 안내 &gt;</t>
    <phoneticPr fontId="18" type="noConversion"/>
  </si>
  <si>
    <t>1. 업적 관련 용어 정의</t>
    <phoneticPr fontId="18" type="noConversion"/>
  </si>
  <si>
    <t>항  목</t>
    <phoneticPr fontId="18" type="noConversion"/>
  </si>
  <si>
    <t>용어 정의</t>
    <phoneticPr fontId="18" type="noConversion"/>
  </si>
  <si>
    <t>구분</t>
    <phoneticPr fontId="18" type="noConversion"/>
  </si>
  <si>
    <t>2. 효율 관련 용어 정의</t>
    <phoneticPr fontId="18" type="noConversion"/>
  </si>
  <si>
    <t>항  목</t>
    <phoneticPr fontId="18" type="noConversion"/>
  </si>
  <si>
    <t>용어 정의</t>
    <phoneticPr fontId="18" type="noConversion"/>
  </si>
  <si>
    <t>3. 수수료 항목 및 지급 기준</t>
    <phoneticPr fontId="18" type="noConversion"/>
  </si>
  <si>
    <t>세 부  사 항</t>
    <phoneticPr fontId="18" type="noConversion"/>
  </si>
  <si>
    <t>비  고</t>
    <phoneticPr fontId="18" type="noConversion"/>
  </si>
  <si>
    <t>기준</t>
    <phoneticPr fontId="18" type="noConversion"/>
  </si>
  <si>
    <t>익월</t>
    <phoneticPr fontId="18" type="noConversion"/>
  </si>
  <si>
    <t>1차년
(익월포함)</t>
    <phoneticPr fontId="18" type="noConversion"/>
  </si>
  <si>
    <t>총계</t>
    <phoneticPr fontId="18" type="noConversion"/>
  </si>
  <si>
    <t>CI / 20년납↑</t>
    <phoneticPr fontId="17" type="noConversion"/>
  </si>
  <si>
    <t>-</t>
    <phoneticPr fontId="17" type="noConversion"/>
  </si>
  <si>
    <t xml:space="preserve"> &lt; 세부 사항 안내 &gt;</t>
    <phoneticPr fontId="18" type="noConversion"/>
  </si>
  <si>
    <t>1. 작성 기준</t>
    <phoneticPr fontId="18" type="noConversion"/>
  </si>
  <si>
    <t>ANP(연납환산보험료)</t>
    <phoneticPr fontId="18" type="noConversion"/>
  </si>
  <si>
    <t>월납: 초회보험료 X 12 / 3월납: 초회보험료 X 4 / 6월납: 초회보험료 X 2 / 연납: 초회보험료 X 1 / 일시납: 일시납보험료 X 10%</t>
    <phoneticPr fontId="18" type="noConversion"/>
  </si>
  <si>
    <t>CANP</t>
    <phoneticPr fontId="18" type="noConversion"/>
  </si>
  <si>
    <t>CANP(Converted Annualized New Premium) = ANP(연납보험료) * 상품별 환산율(Conversion Rate)</t>
    <phoneticPr fontId="18" type="noConversion"/>
  </si>
  <si>
    <t>정산 CANP(NET CANP)</t>
    <phoneticPr fontId="18" type="noConversion"/>
  </si>
  <si>
    <t>신계약 CANP - 환수 CANP + 가산 CANP</t>
    <phoneticPr fontId="18" type="noConversion"/>
  </si>
  <si>
    <t>유지율
(2~25회 통산유지율 적용)</t>
    <phoneticPr fontId="18" type="noConversion"/>
  </si>
  <si>
    <t>유지율은 수수료 실적월의 전전월부터 24개월간 모집한 신계약 연납환산보험료 합계를 분모로 하고 
수수료 실적월의 전전월 부터 24개월간 모집한 신계약 중 당월 현재 유지되고 있는 보험계약의 연납환산보험료 합계를 분자로 하여 산출</t>
    <phoneticPr fontId="18" type="noConversion"/>
  </si>
  <si>
    <t>대체계약</t>
    <phoneticPr fontId="18" type="noConversion"/>
  </si>
  <si>
    <r>
      <t xml:space="preserve">보험계약 체결일로부터 월납기준 36개월 이상 보험료가 납부되지 아니한 보험계약만기 도래 이전의 보험계약이 실효, 해약, 해지 또는 감액된 경우,
해당 사유가 발생한 달을 기준으로 전후 6개월 이내 동일 피보험자 명의로 유사한 종류의 보험상품에 관하여 다시 보험계약이 성립된 경우에 해당 신계약
(유사한 종류의 상품 : 대체계약과 대체대상계약이 모두 생명보험상품이거나 모두 제3보험상품인 경우)
</t>
    </r>
    <r>
      <rPr>
        <b/>
        <sz val="9"/>
        <color rgb="FFFF0000"/>
        <rFont val="맑은 고딕"/>
        <family val="3"/>
        <charset val="129"/>
      </rPr>
      <t>※ 대체계약으로 판정시 성적 및 수수료 100% 차감</t>
    </r>
    <phoneticPr fontId="18" type="noConversion"/>
  </si>
  <si>
    <t>모집수수료</t>
    <phoneticPr fontId="18" type="noConversion"/>
  </si>
  <si>
    <t>납입된 1차년도 보험료 * 모집수수료율 * 환산율</t>
    <phoneticPr fontId="18" type="noConversion"/>
  </si>
  <si>
    <t>계약서비스수수료</t>
    <phoneticPr fontId="17" type="noConversion"/>
  </si>
  <si>
    <t>납입된 2차년(13~24차월)도 보험료 * 계약서비스수수료율 * 환산율</t>
    <phoneticPr fontId="18" type="noConversion"/>
  </si>
  <si>
    <t>신계약성과수수료</t>
    <phoneticPr fontId="18" type="noConversion"/>
  </si>
  <si>
    <t>당월 정산 CANP * 구간별 신계약성과지급률</t>
    <phoneticPr fontId="17" type="noConversion"/>
  </si>
  <si>
    <t>지급률 산정 기준 : 
직전3개월(당월포함)평균CANP</t>
    <phoneticPr fontId="18" type="noConversion"/>
  </si>
  <si>
    <t>월평균정산CANP</t>
    <phoneticPr fontId="18" type="noConversion"/>
  </si>
  <si>
    <t>85,000천↑</t>
    <phoneticPr fontId="18" type="noConversion"/>
  </si>
  <si>
    <t>50,000천↑</t>
    <phoneticPr fontId="18" type="noConversion"/>
  </si>
  <si>
    <t>20,000천↑</t>
    <phoneticPr fontId="18" type="noConversion"/>
  </si>
  <si>
    <t>20,000천미만</t>
    <phoneticPr fontId="18" type="noConversion"/>
  </si>
  <si>
    <t>유지성과수수료</t>
    <phoneticPr fontId="18" type="noConversion"/>
  </si>
  <si>
    <t>모집수수료 및 계약서비스수수료 * 유지성과수수료지급률
(수수료 실적월 말일 기준으로 산출된 유지율에 따라 매월 지급)</t>
    <phoneticPr fontId="17" type="noConversion"/>
  </si>
  <si>
    <t>25차월↑</t>
    <phoneticPr fontId="18" type="noConversion"/>
  </si>
  <si>
    <t>85%이상</t>
    <phoneticPr fontId="18" type="noConversion"/>
  </si>
  <si>
    <t>82%이상</t>
    <phoneticPr fontId="18" type="noConversion"/>
  </si>
  <si>
    <t>80%이상</t>
    <phoneticPr fontId="18" type="noConversion"/>
  </si>
  <si>
    <t>78%이상</t>
    <phoneticPr fontId="18" type="noConversion"/>
  </si>
  <si>
    <t>75%이상</t>
    <phoneticPr fontId="18" type="noConversion"/>
  </si>
  <si>
    <t>75%미만</t>
    <phoneticPr fontId="18" type="noConversion"/>
  </si>
  <si>
    <r>
      <t xml:space="preserve">장기유지이익수수료
</t>
    </r>
    <r>
      <rPr>
        <sz val="9"/>
        <color rgb="FFFF0000"/>
        <rFont val="맑은 고딕"/>
        <family val="3"/>
        <charset val="129"/>
      </rPr>
      <t>(메디컬플랜변액유니버셜 상품에 한함)</t>
    </r>
    <phoneticPr fontId="100" type="noConversion"/>
  </si>
  <si>
    <t>납입된 3차년(25~36차월)도 보험료 * 통산유지율별 지급율</t>
    <phoneticPr fontId="100" type="noConversion"/>
  </si>
  <si>
    <t>유지율</t>
    <phoneticPr fontId="100" type="noConversion"/>
  </si>
  <si>
    <t>75%이상</t>
    <phoneticPr fontId="100" type="noConversion"/>
  </si>
  <si>
    <t>65%이상 75%미만</t>
    <phoneticPr fontId="100" type="noConversion"/>
  </si>
  <si>
    <t>65%미만</t>
    <phoneticPr fontId="100" type="noConversion"/>
  </si>
  <si>
    <t>지급율</t>
    <phoneticPr fontId="100" type="noConversion"/>
  </si>
  <si>
    <t>90% ÷ 12 * 100%</t>
    <phoneticPr fontId="100" type="noConversion"/>
  </si>
  <si>
    <t>90% ÷ 12 * 50%</t>
    <phoneticPr fontId="100" type="noConversion"/>
  </si>
  <si>
    <t>0% (미지급)</t>
    <phoneticPr fontId="100" type="noConversion"/>
  </si>
  <si>
    <t>(무)THE투명한변액보험
[적립형/거치형]</t>
    <phoneticPr fontId="18" type="noConversion"/>
  </si>
  <si>
    <r>
      <rPr>
        <b/>
        <sz val="9"/>
        <color rgb="FF0000FF"/>
        <rFont val="맑은 고딕"/>
        <family val="3"/>
        <charset val="129"/>
      </rPr>
      <t xml:space="preserve">[적립형] </t>
    </r>
    <r>
      <rPr>
        <sz val="9"/>
        <rFont val="맑은 고딕"/>
        <family val="3"/>
        <charset val="129"/>
      </rPr>
      <t xml:space="preserve">모집수수료 : 기본보험료 * 모집수수료율(4%), 1차년 동안 지급
계약서비스수수료 : 기본보험료 * 계약서비스수수료율(4%), 2차년 ~ 납기 종료시까지 지급
</t>
    </r>
    <r>
      <rPr>
        <b/>
        <sz val="9"/>
        <color rgb="FF0000FF"/>
        <rFont val="맑은 고딕"/>
        <family val="3"/>
        <charset val="129"/>
      </rPr>
      <t xml:space="preserve">[거치형] </t>
    </r>
    <r>
      <rPr>
        <sz val="9"/>
        <rFont val="맑은 고딕"/>
        <family val="3"/>
        <charset val="129"/>
      </rPr>
      <t>모집수수료 : 기본보험료 * 모집수수료율(4%), 1회 지급</t>
    </r>
    <phoneticPr fontId="18" type="noConversion"/>
  </si>
  <si>
    <t>(무)THE투명한변액보험(적립형/거치형)의 경우 신계약성과수수료 및 유지성과수수료는 지급되지 않음</t>
    <phoneticPr fontId="17" type="noConversion"/>
  </si>
  <si>
    <t>상품명</t>
    <phoneticPr fontId="18" type="noConversion"/>
  </si>
  <si>
    <t>월납P</t>
    <phoneticPr fontId="18" type="noConversion"/>
  </si>
  <si>
    <t>모집수수료</t>
    <phoneticPr fontId="18" type="noConversion"/>
  </si>
  <si>
    <t>계약서비스</t>
    <phoneticPr fontId="17" type="noConversion"/>
  </si>
  <si>
    <t>신계약성과</t>
    <phoneticPr fontId="18" type="noConversion"/>
  </si>
  <si>
    <t>유지성과</t>
    <phoneticPr fontId="18" type="noConversion"/>
  </si>
  <si>
    <t>장기유지</t>
    <phoneticPr fontId="100" type="noConversion"/>
  </si>
  <si>
    <t>총 지급 수수료</t>
    <phoneticPr fontId="18" type="noConversion"/>
  </si>
  <si>
    <t>본부장</t>
    <phoneticPr fontId="18" type="noConversion"/>
  </si>
  <si>
    <t>인증지점장</t>
    <phoneticPr fontId="17" type="noConversion"/>
  </si>
  <si>
    <t>팀장</t>
    <phoneticPr fontId="18" type="noConversion"/>
  </si>
  <si>
    <t>위촉FC</t>
    <phoneticPr fontId="18" type="noConversion"/>
  </si>
  <si>
    <t>모집
수수료율</t>
    <phoneticPr fontId="17" type="noConversion"/>
  </si>
  <si>
    <t>계약서비스
수수료율</t>
    <phoneticPr fontId="17" type="noConversion"/>
  </si>
  <si>
    <t>환산율</t>
    <phoneticPr fontId="17" type="noConversion"/>
  </si>
  <si>
    <t>1회</t>
    <phoneticPr fontId="18" type="noConversion"/>
  </si>
  <si>
    <t>2~12회
합계</t>
    <phoneticPr fontId="18" type="noConversion"/>
  </si>
  <si>
    <t>13~24회
합계</t>
    <phoneticPr fontId="17" type="noConversion"/>
  </si>
  <si>
    <t>1회</t>
    <phoneticPr fontId="17" type="noConversion"/>
  </si>
  <si>
    <t>13~24회 합계</t>
    <phoneticPr fontId="18" type="noConversion"/>
  </si>
  <si>
    <t>25~36회 합계</t>
    <phoneticPr fontId="18" type="noConversion"/>
  </si>
  <si>
    <t>(무)THE건강한치아보험(갱신형)</t>
    <phoneticPr fontId="18" type="noConversion"/>
  </si>
  <si>
    <t>-</t>
    <phoneticPr fontId="100" type="noConversion"/>
  </si>
  <si>
    <t>THE 집중건강보험</t>
    <phoneticPr fontId="18" type="noConversion"/>
  </si>
  <si>
    <t>(무)THE큰보장실버보험(만기지급형)</t>
    <phoneticPr fontId="18" type="noConversion"/>
  </si>
  <si>
    <t>-</t>
    <phoneticPr fontId="100" type="noConversion"/>
  </si>
  <si>
    <t>(무)고혈압OK보험(갱신형)</t>
    <phoneticPr fontId="18" type="noConversion"/>
  </si>
  <si>
    <t>(무)라이나OK암보험(갱신형)</t>
    <phoneticPr fontId="18" type="noConversion"/>
  </si>
  <si>
    <t>(무)THE건강한우리아이(E)보험</t>
    <phoneticPr fontId="18" type="noConversion"/>
  </si>
  <si>
    <t>(무)실버암보험(갱신형)</t>
    <phoneticPr fontId="18" type="noConversion"/>
  </si>
  <si>
    <t>(무)든든한시니어간병보험(갱신형)</t>
    <phoneticPr fontId="18" type="noConversion"/>
  </si>
  <si>
    <t>65세미만</t>
    <phoneticPr fontId="17" type="noConversion"/>
  </si>
  <si>
    <t>65세이상</t>
    <phoneticPr fontId="17" type="noConversion"/>
  </si>
  <si>
    <t>(무)스페셜정기</t>
    <phoneticPr fontId="18" type="noConversion"/>
  </si>
  <si>
    <t>(무)메디컬플랜변액유니버셜보험</t>
    <phoneticPr fontId="18" type="noConversion"/>
  </si>
  <si>
    <t>(무)THE투명한변액보험(거치형)</t>
    <phoneticPr fontId="17" type="noConversion"/>
  </si>
  <si>
    <t>일시납</t>
    <phoneticPr fontId="17" type="noConversion"/>
  </si>
  <si>
    <t xml:space="preserve"> 최저 보장제 미적용 : 성과수수료는 월평균정산CANP 85,000천↑구간 (32%), 유지성과수수료는 유지율 85%↑구간(25차월↑, 지급률15%)으로 예시함</t>
    <phoneticPr fontId="17" type="noConversion"/>
  </si>
  <si>
    <t>2. 수수료 항목별 익월 지급 기준 : 모집수수료(1회) + 신계약성과수수료 + 유지성과수수료(1회) ▶ 총 3개 항목</t>
    <phoneticPr fontId="18" type="noConversion"/>
  </si>
  <si>
    <t xml:space="preserve">3. 비고 : 상기 자료는 예시이므로 매월 마감 업적, 유지율 및 개별 상품 설계시의 실제 환산 성적등에 따라 추가 또는 감소되어 지급됨 </t>
    <phoneticPr fontId="18" type="noConversion"/>
  </si>
  <si>
    <t>1. 성적 관련 용어 정의</t>
    <phoneticPr fontId="18" type="noConversion"/>
  </si>
  <si>
    <t>항  목</t>
    <phoneticPr fontId="18" type="noConversion"/>
  </si>
  <si>
    <t>용어 정의</t>
    <phoneticPr fontId="18" type="noConversion"/>
  </si>
  <si>
    <t>비  고</t>
    <phoneticPr fontId="18" type="noConversion"/>
  </si>
  <si>
    <t>환산월초</t>
    <phoneticPr fontId="18" type="noConversion"/>
  </si>
  <si>
    <t>▶ 월납기준보험료 * 상품별 환산율
▶ 예정 신계약비가 부가된 보험에 한하여 계상하며, 주계약과 특약이 조립된 상태로 계상</t>
    <phoneticPr fontId="110" type="noConversion"/>
  </si>
  <si>
    <t>비월납 계약(일시납 제외)의 환산월초는 해당 계약내역(보험기간, 납입기간 등)의 월납을 적용</t>
    <phoneticPr fontId="100" type="noConversion"/>
  </si>
  <si>
    <t>정산월초</t>
    <phoneticPr fontId="110" type="noConversion"/>
  </si>
  <si>
    <t>▶ 정산월초 = 환산월초 - 미유지 환수 환산월초 - 마감 후 철회,해지 환산월초 + 부활 환산월초</t>
    <phoneticPr fontId="110" type="noConversion"/>
  </si>
  <si>
    <t>미유지계약 환산성적 : 실효, 해약, 감액, 철회, 반송, 해지 계약의 환산성적</t>
    <phoneticPr fontId="100" type="noConversion"/>
  </si>
  <si>
    <t>2. 효율 관련 용어 정의</t>
    <phoneticPr fontId="18" type="noConversion"/>
  </si>
  <si>
    <t>18회통산 IQA 유지율</t>
    <phoneticPr fontId="18" type="noConversion"/>
  </si>
  <si>
    <t>▶ 2~18회차통산 유지환산월초 / 2~18회차통산 모집 환산월초 x 100</t>
    <phoneticPr fontId="110" type="noConversion"/>
  </si>
  <si>
    <t>3. 수수료 관련 기타 기준</t>
    <phoneticPr fontId="18" type="noConversion"/>
  </si>
  <si>
    <t>기 준</t>
    <phoneticPr fontId="100" type="noConversion"/>
  </si>
  <si>
    <t>보험료 할인 및 선납</t>
    <phoneticPr fontId="18" type="noConversion"/>
  </si>
  <si>
    <t>▶ 수수료는 할인 전 보험료 기준으로 지급 / 보험료 선납된 계약의 경우 해당차월 경과월도에 환산월초 계상</t>
    <phoneticPr fontId="18" type="noConversion"/>
  </si>
  <si>
    <t>승환계약</t>
    <phoneticPr fontId="17" type="noConversion"/>
  </si>
  <si>
    <t>▶ 모집점포코드 기준, 24회차 이내에 해지, 해약, 실효월 전후 3개월(총 6개월)내 동일계약자 또는 피보험자를 대상으로 체결된 동일 보종계약</t>
    <phoneticPr fontId="17" type="noConversion"/>
  </si>
  <si>
    <t>승환계약으로 판정시 성적 및 수수료 100% 차감</t>
    <phoneticPr fontId="100" type="noConversion"/>
  </si>
  <si>
    <t>4. 수수료 항목 및 지급 기준</t>
    <phoneticPr fontId="18" type="noConversion"/>
  </si>
  <si>
    <t>세 부 사 항</t>
    <phoneticPr fontId="18" type="noConversion"/>
  </si>
  <si>
    <t>성과수수료</t>
    <phoneticPr fontId="110" type="noConversion"/>
  </si>
  <si>
    <t xml:space="preserve">▶ 환산월초 * 지급율 </t>
    <phoneticPr fontId="110" type="noConversion"/>
  </si>
  <si>
    <t>정산월초</t>
    <phoneticPr fontId="18" type="noConversion"/>
  </si>
  <si>
    <t>50백만↑</t>
    <phoneticPr fontId="18" type="noConversion"/>
  </si>
  <si>
    <t>30백만↑</t>
    <phoneticPr fontId="18" type="noConversion"/>
  </si>
  <si>
    <t>20백만↑</t>
    <phoneticPr fontId="110" type="noConversion"/>
  </si>
  <si>
    <t>10백만↑</t>
    <phoneticPr fontId="18" type="noConversion"/>
  </si>
  <si>
    <t>10백만 ↓</t>
    <phoneticPr fontId="110" type="noConversion"/>
  </si>
  <si>
    <t>지급률</t>
    <phoneticPr fontId="18" type="noConversion"/>
  </si>
  <si>
    <t>계약관리수수료</t>
    <phoneticPr fontId="110" type="noConversion"/>
  </si>
  <si>
    <t>▶ 1회~24회 환산월초 * 지급률</t>
    <phoneticPr fontId="110" type="noConversion"/>
  </si>
  <si>
    <t>구분</t>
    <phoneticPr fontId="110" type="noConversion"/>
  </si>
  <si>
    <t>1차년계약관리수수료</t>
    <phoneticPr fontId="100" type="noConversion"/>
  </si>
  <si>
    <t>2차년계약관리수수료</t>
    <phoneticPr fontId="100" type="noConversion"/>
  </si>
  <si>
    <t>일시납</t>
    <phoneticPr fontId="110" type="noConversion"/>
  </si>
  <si>
    <r>
      <t xml:space="preserve">▶ 연금2종 : (무)KDB적립플러스연금보험, (무)KDB트리플에셋변액연금보험
</t>
    </r>
    <r>
      <rPr>
        <sz val="9"/>
        <color rgb="FFFF0000"/>
        <rFont val="맑은 고딕"/>
        <family val="3"/>
        <charset val="129"/>
        <scheme val="major"/>
      </rPr>
      <t>※ 계속보험료 카드수금시
영수P의 3% 공제</t>
    </r>
    <phoneticPr fontId="100" type="noConversion"/>
  </si>
  <si>
    <t>익월先</t>
    <phoneticPr fontId="100" type="noConversion"/>
  </si>
  <si>
    <t>13~24회
(익월先)</t>
    <phoneticPr fontId="100" type="noConversion"/>
  </si>
  <si>
    <t>12% (10회~12회)</t>
    <phoneticPr fontId="100" type="noConversion"/>
  </si>
  <si>
    <t>연금2종</t>
    <phoneticPr fontId="100" type="noConversion"/>
  </si>
  <si>
    <t>12% (11회~12회)</t>
    <phoneticPr fontId="100" type="noConversion"/>
  </si>
  <si>
    <t>저축,연금
(연금2종 외)</t>
    <phoneticPr fontId="100" type="noConversion"/>
  </si>
  <si>
    <t>12% (8회~12회)</t>
    <phoneticPr fontId="100" type="noConversion"/>
  </si>
  <si>
    <t>Override수수료</t>
    <phoneticPr fontId="110" type="noConversion"/>
  </si>
  <si>
    <t>▶ 계약관리수수료 * 제휴 근속 지급률 * 정산월초 구간별 지급률</t>
    <phoneticPr fontId="110" type="noConversion"/>
  </si>
  <si>
    <t>제휴근속</t>
    <phoneticPr fontId="110" type="noConversion"/>
  </si>
  <si>
    <t>5년↑</t>
    <phoneticPr fontId="110" type="noConversion"/>
  </si>
  <si>
    <t>정산월초</t>
    <phoneticPr fontId="110" type="noConversion"/>
  </si>
  <si>
    <t>60백만 ↑</t>
    <phoneticPr fontId="100" type="noConversion"/>
  </si>
  <si>
    <t>40백만 ↑</t>
    <phoneticPr fontId="18" type="noConversion"/>
  </si>
  <si>
    <t>25백만 ↑</t>
    <phoneticPr fontId="110" type="noConversion"/>
  </si>
  <si>
    <t>10백만 ↑</t>
    <phoneticPr fontId="110" type="noConversion"/>
  </si>
  <si>
    <t xml:space="preserve">
▶ 계약관리先지급 적용 안됨
해당 회차 도래시 각 회차별 지급</t>
    <phoneticPr fontId="100" type="noConversion"/>
  </si>
  <si>
    <t>지급률</t>
    <phoneticPr fontId="110" type="noConversion"/>
  </si>
  <si>
    <t>지급률</t>
    <phoneticPr fontId="110" type="noConversion"/>
  </si>
  <si>
    <t>유지율보너스</t>
    <phoneticPr fontId="110" type="noConversion"/>
  </si>
  <si>
    <t>▶ 계약관리수수료 * 18 IQA 유지율에 따른 지급률</t>
    <phoneticPr fontId="100" type="noConversion"/>
  </si>
  <si>
    <t>18회 IQA 유지율</t>
    <phoneticPr fontId="18" type="noConversion"/>
  </si>
  <si>
    <t>90% ↑</t>
    <phoneticPr fontId="18" type="noConversion"/>
  </si>
  <si>
    <t>88%  ↑</t>
    <phoneticPr fontId="18" type="noConversion"/>
  </si>
  <si>
    <t>86%  ↑</t>
    <phoneticPr fontId="18" type="noConversion"/>
  </si>
  <si>
    <t>84%  ↑</t>
    <phoneticPr fontId="18" type="noConversion"/>
  </si>
  <si>
    <t>84%  ↓</t>
    <phoneticPr fontId="18" type="noConversion"/>
  </si>
  <si>
    <t>지급률</t>
    <phoneticPr fontId="18" type="noConversion"/>
  </si>
  <si>
    <t>연금전환지원비</t>
    <phoneticPr fontId="18" type="noConversion"/>
  </si>
  <si>
    <t>▶ 1~12회 환산월초 * 3.5% (익월 先지급/(무)KDB적립플러스연금보험, (무)KDB트리플에셋변액연금보험에 한함)</t>
    <phoneticPr fontId="110" type="noConversion"/>
  </si>
  <si>
    <t>▶ 일시납 제외</t>
    <phoneticPr fontId="100" type="noConversion"/>
  </si>
  <si>
    <t>장기유지수수료</t>
    <phoneticPr fontId="18" type="noConversion"/>
  </si>
  <si>
    <t>▶ 25~36회 환산월초 * 지급률</t>
    <phoneticPr fontId="110" type="noConversion"/>
  </si>
  <si>
    <t>구분</t>
    <phoneticPr fontId="18" type="noConversion"/>
  </si>
  <si>
    <t>보장성보험</t>
    <phoneticPr fontId="18" type="noConversion"/>
  </si>
  <si>
    <t>연금보험</t>
    <phoneticPr fontId="18" type="noConversion"/>
  </si>
  <si>
    <t>저축보험</t>
    <phoneticPr fontId="18" type="noConversion"/>
  </si>
  <si>
    <t>전략상품지원수수료</t>
    <phoneticPr fontId="100" type="noConversion"/>
  </si>
  <si>
    <t>▶ 13~36회 환산월초 * 지급률</t>
    <phoneticPr fontId="100" type="noConversion"/>
  </si>
  <si>
    <t>해당상품</t>
    <phoneticPr fontId="18" type="noConversion"/>
  </si>
  <si>
    <t>▶ 14년납 이하 계약은 미적용
/ 일시납제외</t>
    <phoneticPr fontId="100" type="noConversion"/>
  </si>
  <si>
    <t>(무)KDB퍼펙트플랜종신(체감형)/15년납↑</t>
    <phoneticPr fontId="110" type="noConversion"/>
  </si>
  <si>
    <t>(무)KDB퍼펙트플랜종신(체증형)/15년납↑</t>
    <phoneticPr fontId="110" type="noConversion"/>
  </si>
  <si>
    <t>(무)KDB퍼펙트플랜종신(일반형)/15년납↑</t>
    <phoneticPr fontId="110" type="noConversion"/>
  </si>
  <si>
    <t>(무)KDB멀티종신보험(고급형,실속형)/15년납↑</t>
    <phoneticPr fontId="110" type="noConversion"/>
  </si>
  <si>
    <t>일시납지원비</t>
    <phoneticPr fontId="18" type="noConversion"/>
  </si>
  <si>
    <t>▶ 일시납 영수P * 지급율</t>
    <phoneticPr fontId="110" type="noConversion"/>
  </si>
  <si>
    <t>▶ 환산표 비고란 참조</t>
    <phoneticPr fontId="100" type="noConversion"/>
  </si>
  <si>
    <t>1. 성적제도 및 용어정의</t>
    <phoneticPr fontId="18" type="noConversion"/>
  </si>
  <si>
    <t>항  목</t>
    <phoneticPr fontId="18" type="noConversion"/>
  </si>
  <si>
    <t>용어 정의</t>
    <phoneticPr fontId="18" type="noConversion"/>
  </si>
  <si>
    <t>비고</t>
    <phoneticPr fontId="17" type="noConversion"/>
  </si>
  <si>
    <t>환산초회료(환산P)</t>
    <phoneticPr fontId="18" type="noConversion"/>
  </si>
  <si>
    <t>▶ 월납보험료 * 상품별 환산율</t>
    <phoneticPr fontId="100" type="noConversion"/>
  </si>
  <si>
    <t>정산초회료, 계약관리커미션, 보장성커미션, 유지율 산출 기초</t>
    <phoneticPr fontId="100" type="noConversion"/>
  </si>
  <si>
    <t>2. 수수료 관련 기타 기준</t>
    <phoneticPr fontId="18" type="noConversion"/>
  </si>
  <si>
    <t>승환 계약</t>
    <phoneticPr fontId="18" type="noConversion"/>
  </si>
  <si>
    <t>▶ 유지회차 25회 이내에 해약 및 해지(품보, 민원)되고 동일계약자 또는 동일 피보험자로 성립된 신계약
▶ 대상범위 :계약소멸 후 3개월이내에 새로운 계약을 성립 또는 새로운 계약 성립 후 3개월 이내에 기존계약을 소멸 시키는 경우 외</t>
    <phoneticPr fontId="17" type="noConversion"/>
  </si>
  <si>
    <t>승환계약으로 판정시 성적 및 수수료 100% 차감</t>
    <phoneticPr fontId="17" type="noConversion"/>
  </si>
  <si>
    <t>3. 수수료 항목 및 지급 기준</t>
    <phoneticPr fontId="18" type="noConversion"/>
  </si>
  <si>
    <t>세 부  사 항</t>
    <phoneticPr fontId="18" type="noConversion"/>
  </si>
  <si>
    <t>비  고</t>
    <phoneticPr fontId="18" type="noConversion"/>
  </si>
  <si>
    <t>지 급 회 차</t>
    <phoneticPr fontId="18" type="noConversion"/>
  </si>
  <si>
    <t>효율커미션</t>
    <phoneticPr fontId="18" type="noConversion"/>
  </si>
  <si>
    <t xml:space="preserve"> ▶ 기준 : 정산초회료 * 지급률</t>
    <phoneticPr fontId="17" type="noConversion"/>
  </si>
  <si>
    <t>정산P 구간</t>
    <phoneticPr fontId="18" type="noConversion"/>
  </si>
  <si>
    <t>100백만↑</t>
    <phoneticPr fontId="18" type="noConversion"/>
  </si>
  <si>
    <t>70백만↑</t>
    <phoneticPr fontId="18" type="noConversion"/>
  </si>
  <si>
    <t>50백만↑</t>
    <phoneticPr fontId="18" type="noConversion"/>
  </si>
  <si>
    <t>30백만↑</t>
    <phoneticPr fontId="18" type="noConversion"/>
  </si>
  <si>
    <t>15백만↑</t>
    <phoneticPr fontId="18" type="noConversion"/>
  </si>
  <si>
    <r>
      <t>▶ 일시납제외</t>
    </r>
    <r>
      <rPr>
        <sz val="9"/>
        <color rgb="FFFF0000"/>
        <rFont val="맑은 고딕"/>
        <family val="3"/>
        <charset val="129"/>
      </rPr>
      <t xml:space="preserve">
</t>
    </r>
    <r>
      <rPr>
        <sz val="9"/>
        <color rgb="FF0000FF"/>
        <rFont val="맑은 고딕"/>
        <family val="3"/>
        <charset val="129"/>
      </rPr>
      <t>▶ 일시납/실손의료보험/1년납상품은 원수사 연동 지급</t>
    </r>
    <phoneticPr fontId="128" type="noConversion"/>
  </si>
  <si>
    <t>1회</t>
    <phoneticPr fontId="17" type="noConversion"/>
  </si>
  <si>
    <t>보장성우대커미션</t>
    <phoneticPr fontId="18" type="noConversion"/>
  </si>
  <si>
    <t xml:space="preserve"> ▶ 기준 : 보장성 정산초회료 * 지급률</t>
    <phoneticPr fontId="17" type="noConversion"/>
  </si>
  <si>
    <t>15백만↓</t>
    <phoneticPr fontId="18" type="noConversion"/>
  </si>
  <si>
    <t>프라임지원커미션</t>
    <phoneticPr fontId="18" type="noConversion"/>
  </si>
  <si>
    <t xml:space="preserve"> ▶ 기준 : 정산초회료 * 상품별지급률</t>
    <phoneticPr fontId="17" type="noConversion"/>
  </si>
  <si>
    <t>상품군</t>
    <phoneticPr fontId="100" type="noConversion"/>
  </si>
  <si>
    <t>보장성</t>
    <phoneticPr fontId="17" type="noConversion"/>
  </si>
  <si>
    <t>연금</t>
    <phoneticPr fontId="17" type="noConversion"/>
  </si>
  <si>
    <t>저축</t>
    <phoneticPr fontId="18" type="noConversion"/>
  </si>
  <si>
    <t>지급률</t>
    <phoneticPr fontId="100" type="noConversion"/>
  </si>
  <si>
    <t>계약관리커미션</t>
    <phoneticPr fontId="18" type="noConversion"/>
  </si>
  <si>
    <t xml:space="preserve"> ▶ 기준 : 1~36회차 입금 회차별 환산P * 상품별 지급률
             (1년납은 1~12회 지급)</t>
    <phoneticPr fontId="17" type="noConversion"/>
  </si>
  <si>
    <t>회  차</t>
    <phoneticPr fontId="17" type="noConversion"/>
  </si>
  <si>
    <t>일시납</t>
    <phoneticPr fontId="18" type="noConversion"/>
  </si>
  <si>
    <r>
      <t xml:space="preserve">▶ 연납이하 비월납 계약은 해당월 도래시
월납기준에 의거 지급 
</t>
    </r>
    <r>
      <rPr>
        <sz val="9"/>
        <color rgb="FF0000FF"/>
        <rFont val="맑은 고딕"/>
        <family val="3"/>
        <charset val="129"/>
      </rPr>
      <t>▶ 일시납/실손의료보험/1년납상품은 원수사 연동 지급</t>
    </r>
    <phoneticPr fontId="128" type="noConversion"/>
  </si>
  <si>
    <t>12회/36회</t>
    <phoneticPr fontId="100" type="noConversion"/>
  </si>
  <si>
    <t>1~12회</t>
    <phoneticPr fontId="17" type="noConversion"/>
  </si>
  <si>
    <t>일시납P *
상품별지급율</t>
    <phoneticPr fontId="100" type="noConversion"/>
  </si>
  <si>
    <t>13~24회</t>
    <phoneticPr fontId="17" type="noConversion"/>
  </si>
  <si>
    <t>25~36회</t>
    <phoneticPr fontId="17" type="noConversion"/>
  </si>
  <si>
    <t>※ 아래 예시 외 상품(또는 납기 등 다른 기준)은 &lt;팜스Ⅱ 공지사항 → 업무공지 → "환산" 자료를 참조하여 활용하시기 바랍니다. (상품의 환산율이 변경될 시 테이블 금액 및 수수료 지급액은 달라질 수 있습니다.)</t>
    <phoneticPr fontId="100" type="noConversion"/>
  </si>
  <si>
    <t>상품명</t>
    <phoneticPr fontId="18" type="noConversion"/>
  </si>
  <si>
    <r>
      <rPr>
        <b/>
        <sz val="9"/>
        <color rgb="FFFF0000"/>
        <rFont val="맑은 고딕"/>
        <family val="3"/>
        <charset val="129"/>
      </rPr>
      <t>주계약</t>
    </r>
    <r>
      <rPr>
        <sz val="9"/>
        <rFont val="맑은 고딕"/>
        <family val="3"/>
        <charset val="129"/>
      </rPr>
      <t xml:space="preserve">
월납P</t>
    </r>
    <phoneticPr fontId="18" type="noConversion"/>
  </si>
  <si>
    <t>환산P</t>
    <phoneticPr fontId="18" type="noConversion"/>
  </si>
  <si>
    <t>보장성우대
커미션</t>
    <phoneticPr fontId="18" type="noConversion"/>
  </si>
  <si>
    <t>프라임지원
커미션</t>
    <phoneticPr fontId="18" type="noConversion"/>
  </si>
  <si>
    <t>본사수수료</t>
    <phoneticPr fontId="18" type="noConversion"/>
  </si>
  <si>
    <t>본부장</t>
    <phoneticPr fontId="18" type="noConversion"/>
  </si>
  <si>
    <t>인증지점장</t>
    <phoneticPr fontId="18" type="noConversion"/>
  </si>
  <si>
    <t>일반지점장</t>
    <phoneticPr fontId="18" type="noConversion"/>
  </si>
  <si>
    <t>팀장</t>
    <phoneticPr fontId="18" type="noConversion"/>
  </si>
  <si>
    <t>위촉FC</t>
    <phoneticPr fontId="18" type="noConversion"/>
  </si>
  <si>
    <t>상품군</t>
    <phoneticPr fontId="110" type="noConversion"/>
  </si>
  <si>
    <t>기준</t>
    <phoneticPr fontId="18" type="noConversion"/>
  </si>
  <si>
    <t>환산율</t>
    <phoneticPr fontId="18" type="noConversion"/>
  </si>
  <si>
    <t>1~12회</t>
    <phoneticPr fontId="110" type="noConversion"/>
  </si>
  <si>
    <t>13~24회</t>
    <phoneticPr fontId="110" type="noConversion"/>
  </si>
  <si>
    <t>25~36회</t>
    <phoneticPr fontId="110" type="noConversion"/>
  </si>
  <si>
    <t>익월</t>
    <phoneticPr fontId="18" type="noConversion"/>
  </si>
  <si>
    <t>1차년
(익월포함)</t>
    <phoneticPr fontId="18" type="noConversion"/>
  </si>
  <si>
    <t>총계</t>
    <phoneticPr fontId="18" type="noConversion"/>
  </si>
  <si>
    <t>종신</t>
    <phoneticPr fontId="100" type="noConversion"/>
  </si>
  <si>
    <t>현대라이프 종신보험/변액종신보험</t>
    <phoneticPr fontId="100" type="noConversion"/>
  </si>
  <si>
    <t>20년납이상</t>
    <phoneticPr fontId="128" type="noConversion"/>
  </si>
  <si>
    <t>현대라이프 ZERO 종신보험</t>
    <phoneticPr fontId="128" type="noConversion"/>
  </si>
  <si>
    <t>현대라이프 종신보험</t>
    <phoneticPr fontId="100" type="noConversion"/>
  </si>
  <si>
    <t>현대라이프 ZERO 정기보험</t>
    <phoneticPr fontId="100" type="noConversion"/>
  </si>
  <si>
    <t>20년납/20년만기</t>
    <phoneticPr fontId="100" type="noConversion"/>
  </si>
  <si>
    <t>현대라이프 ZERO 5대성인병보험</t>
    <phoneticPr fontId="100" type="noConversion"/>
  </si>
  <si>
    <t>현대라이프 ZERO 암보험</t>
    <phoneticPr fontId="100" type="noConversion"/>
  </si>
  <si>
    <t>20년납</t>
    <phoneticPr fontId="100" type="noConversion"/>
  </si>
  <si>
    <t>현대라이프 ZERO 사고보험</t>
    <phoneticPr fontId="100" type="noConversion"/>
  </si>
  <si>
    <t>10년납/20년납</t>
    <phoneticPr fontId="100" type="noConversion"/>
  </si>
  <si>
    <t>현대라이프 ZERO 어린이보험</t>
    <phoneticPr fontId="100" type="noConversion"/>
  </si>
  <si>
    <t>10년납이상</t>
    <phoneticPr fontId="100" type="noConversion"/>
  </si>
  <si>
    <t>현대라이프 실손의료비보험</t>
    <phoneticPr fontId="100" type="noConversion"/>
  </si>
  <si>
    <t>1년납</t>
    <phoneticPr fontId="100" type="noConversion"/>
  </si>
  <si>
    <t>연금</t>
    <phoneticPr fontId="100" type="noConversion"/>
  </si>
  <si>
    <t>현대라이프 연금보험/변액연금보험</t>
    <phoneticPr fontId="100" type="noConversion"/>
  </si>
  <si>
    <t>저축</t>
    <phoneticPr fontId="100" type="noConversion"/>
  </si>
  <si>
    <t>현대라이프 저축보험</t>
    <phoneticPr fontId="100" type="noConversion"/>
  </si>
  <si>
    <t>12년납이상</t>
    <phoneticPr fontId="100" type="noConversion"/>
  </si>
  <si>
    <t>일시납</t>
    <phoneticPr fontId="100" type="noConversion"/>
  </si>
  <si>
    <t>현대라이프 종신보험 외 기타</t>
    <phoneticPr fontId="100" type="noConversion"/>
  </si>
  <si>
    <t xml:space="preserve"> &lt; 세부 사항 안내 &gt;</t>
    <phoneticPr fontId="18" type="noConversion"/>
  </si>
  <si>
    <t>1. 작성 기준</t>
    <phoneticPr fontId="18" type="noConversion"/>
  </si>
  <si>
    <t xml:space="preserve"> ① 최저 보장제 적용 : 효율커미션은  정산P 구간 100백만 이상 등급을 최저보장하며, 유지율 및 기타 조건등은 실제 지급 기준과 연동하여 적용됨 </t>
    <phoneticPr fontId="18" type="noConversion"/>
  </si>
  <si>
    <t xml:space="preserve"> ② 환산 기준 : 납기에 따른 주계약의 월납영수보험료를 기준으로 예시하였으며, 실제 설계시 보험료 및 특약별로 적용되는 환산이 다를 수 있으므로, 정확한 환산은 팜스에 공지되어 있는 상품별 환산 자료 참조 요망 (환산자료 : 팜스 공지사항 -&gt;업무공지 -&gt; '환산' 검색) </t>
    <phoneticPr fontId="18" type="noConversion"/>
  </si>
  <si>
    <t xml:space="preserve">2. 비고 : 상기 자료는 예시이므로 매월 마감 업적, 유지율 및 개별 상품 설계시의 실제 환산P등에 따라 추가 또는 감소되어 지급됨 </t>
    <phoneticPr fontId="18" type="noConversion"/>
  </si>
  <si>
    <t>1회</t>
    <phoneticPr fontId="110" type="noConversion"/>
  </si>
  <si>
    <t>10년납/50만↑</t>
    <phoneticPr fontId="18" type="noConversion"/>
  </si>
  <si>
    <t>10년납/50만↑</t>
    <phoneticPr fontId="110" type="noConversion"/>
  </si>
  <si>
    <t>파워즉시</t>
    <phoneticPr fontId="110" type="noConversion"/>
  </si>
  <si>
    <t>-</t>
    <phoneticPr fontId="32" type="noConversion"/>
  </si>
  <si>
    <t xml:space="preserve">                     정확한 환산은 팜스에 공지되어 있는 상품별 환산 자료 참조 요망(환산자료 :  팜스 공지사항 -&gt;업무공지 -&gt; '환산' 검색) </t>
  </si>
  <si>
    <t xml:space="preserve">                     정확한 환산은 팜스에 공지되어 있는 상품별 환산 자료 참조 요망 (환산자료 :  팜스 공지사항 -&gt;업무공지 -&gt; '환산' 검색) </t>
  </si>
  <si>
    <t xml:space="preserve">                    (환산자료 :  팜스 공지사항 -&gt;업무공지 -&gt; '환산' 검색) </t>
  </si>
  <si>
    <t xml:space="preserve"> ② 환산 기준 : 납기에 따른 주계약의 월납영수보험료를 기준으로 예시하였으며, 실제 설계시 보험료 및 특약별로 적용되는 환산이 다를 수 있으므로, 정확한 환산은 팜스에 공지되어 있는 상품별 환산 자료 참조 요망  (환산자료 :  팜스 공지사항 -&gt;업무공지 -&gt; '환산' 검색) </t>
  </si>
  <si>
    <t>※ 아래 예시 외 상품(또는 납기 등 다른 기준)은 &lt;팜스 공지사항 → 업무공지&gt; "환산" 자료를 참조하여 활용하시기 바랍니다. (상품의 환산율이 변경될 시 테이블 금액 및 수수료 지급액은 달라질 수 있습니다.)</t>
    <phoneticPr fontId="100" type="noConversion"/>
  </si>
  <si>
    <t>※ 아래 예시 외 상품(또는 납기 등 다른 기준)은 &lt;팜스 공지사항 → 업무공지&gt; "환산" 자료를 참조하여 활용하시기 바랍니다. (상품의 환산율이 변경될 시 테이블 금액 및 수수료 지급액은 달라질 수 있습니다.)</t>
    <phoneticPr fontId="100" type="noConversion"/>
  </si>
  <si>
    <t>※ 아래 예시 외 상품(또는 납기 등 다른 기준)은 &lt;팜스 공지사항 → 업무공지&gt; "환산" 자료를 참조하여 활용하시기 바랍니다. (상품의 환산율이 변경될 시 테이블 금액 및 수수료 지급액은 달라질 수 있습니다.)</t>
    <phoneticPr fontId="35" type="noConversion"/>
  </si>
  <si>
    <t>1. 업적 관련 용어 정의</t>
  </si>
  <si>
    <t>항  목</t>
  </si>
  <si>
    <t>용어 정의</t>
  </si>
  <si>
    <t>비  고</t>
  </si>
  <si>
    <t>환산성적</t>
  </si>
  <si>
    <t>보험료를 납입주기, 상품별 환산율에 따라 연납기준으로 환산한 보험료</t>
  </si>
  <si>
    <t>납입보험료 * 계수 * 상품별 환산율</t>
  </si>
  <si>
    <t>구분</t>
  </si>
  <si>
    <t>3개월납</t>
  </si>
  <si>
    <t>6개월납</t>
  </si>
  <si>
    <t>일시납</t>
  </si>
  <si>
    <t>계수</t>
  </si>
  <si>
    <t>정산성적</t>
  </si>
  <si>
    <t>환산성적 - 미유지 환수성적 + 부활성적</t>
  </si>
  <si>
    <t>2. 수수료 관련 기타 기준</t>
  </si>
  <si>
    <t>승환 계약</t>
  </si>
  <si>
    <t>업적월 기준으로 4개월 전후 사이에, 동일계약자 또는 피보험자 명의의 계약 해지 후 같은 종류 상품을 가입한 경우 성적 및 수수료 100% 차감</t>
  </si>
  <si>
    <t>3. 수수료 항목 및 지급 기준</t>
  </si>
  <si>
    <t>세 부  사 항</t>
  </si>
  <si>
    <t>모집수수료</t>
  </si>
  <si>
    <t>▶ 기준 : 2~36회차 입금환산초회P * 상품별 지급률 * 납방별 지급계수</t>
  </si>
  <si>
    <t>▶ 선납건 지급 : 해당월 도래시에 해당 보험료로 인정 지급
▶ 비월납 지급 : 보험료 입금분에 비례지급
▶ 일시납 지급 : 지급률 30% 적용하며 성립 익월 일시 지급</t>
  </si>
  <si>
    <t>회차</t>
  </si>
  <si>
    <t>연금</t>
  </si>
  <si>
    <t>저축</t>
  </si>
  <si>
    <t>지급계수</t>
  </si>
  <si>
    <t>1~12회</t>
  </si>
  <si>
    <t>1월납 : 1
3월납 : 3
6월납 : 6
년납 : 12</t>
  </si>
  <si>
    <t>생산성수수료</t>
  </si>
  <si>
    <r>
      <t>▶</t>
    </r>
    <r>
      <rPr>
        <sz val="9"/>
        <color rgb="FF0000FF"/>
        <rFont val="맑은 고딕"/>
        <family val="3"/>
        <charset val="129"/>
      </rPr>
      <t xml:space="preserve"> </t>
    </r>
    <r>
      <rPr>
        <b/>
        <sz val="9"/>
        <color rgb="FF0000FF"/>
        <rFont val="맑은 고딕"/>
        <family val="3"/>
        <charset val="129"/>
      </rPr>
      <t>1회</t>
    </r>
    <r>
      <rPr>
        <b/>
        <sz val="9"/>
        <rFont val="맑은 고딕"/>
        <family val="3"/>
        <charset val="129"/>
      </rPr>
      <t xml:space="preserve"> :</t>
    </r>
    <r>
      <rPr>
        <sz val="9"/>
        <rFont val="맑은 고딕"/>
        <family val="3"/>
        <charset val="129"/>
      </rPr>
      <t xml:space="preserve"> 환산성적 * 지급률</t>
    </r>
  </si>
  <si>
    <t>당월 정산성적</t>
  </si>
  <si>
    <t>25천만이상</t>
  </si>
  <si>
    <t>15천만이상</t>
  </si>
  <si>
    <t>8천만이상</t>
  </si>
  <si>
    <t>3천만이상</t>
  </si>
  <si>
    <t>3천만미만</t>
  </si>
  <si>
    <t>성과수수료</t>
  </si>
  <si>
    <r>
      <t xml:space="preserve">▶ </t>
    </r>
    <r>
      <rPr>
        <b/>
        <sz val="9"/>
        <color rgb="FF0000FF"/>
        <rFont val="맑은 고딕"/>
        <family val="3"/>
        <charset val="129"/>
      </rPr>
      <t>1회</t>
    </r>
    <r>
      <rPr>
        <sz val="9"/>
        <rFont val="맑은 고딕"/>
        <family val="3"/>
        <charset val="129"/>
      </rPr>
      <t xml:space="preserve"> :환산성적 * 상품별 지급률</t>
    </r>
  </si>
  <si>
    <t>연금저축(세테크NH연금저축보험) 상품의 경우 기타 지급률 적용</t>
  </si>
  <si>
    <t>기타</t>
  </si>
  <si>
    <t>직전 3개월 평균 보장성 정산성적에 따라 지급</t>
  </si>
  <si>
    <t>13천만이상</t>
  </si>
  <si>
    <t>5천만이상</t>
  </si>
  <si>
    <t>5천만미만</t>
  </si>
  <si>
    <t>상품명</t>
    <phoneticPr fontId="18" type="noConversion"/>
  </si>
  <si>
    <r>
      <rPr>
        <b/>
        <sz val="9"/>
        <color rgb="FFFF0000"/>
        <rFont val="맑은 고딕"/>
        <family val="3"/>
        <charset val="129"/>
      </rPr>
      <t>주계약</t>
    </r>
    <r>
      <rPr>
        <sz val="9"/>
        <rFont val="맑은 고딕"/>
        <family val="3"/>
        <charset val="129"/>
      </rPr>
      <t xml:space="preserve">
월납P</t>
    </r>
    <phoneticPr fontId="18" type="noConversion"/>
  </si>
  <si>
    <t>환산P</t>
    <phoneticPr fontId="18" type="noConversion"/>
  </si>
  <si>
    <t>성과수수료</t>
    <phoneticPr fontId="18" type="noConversion"/>
  </si>
  <si>
    <t>모집수수료</t>
    <phoneticPr fontId="18" type="noConversion"/>
  </si>
  <si>
    <t>생산성수수료</t>
    <phoneticPr fontId="18" type="noConversion"/>
  </si>
  <si>
    <t>본사수수료</t>
    <phoneticPr fontId="18" type="noConversion"/>
  </si>
  <si>
    <t>본부장</t>
    <phoneticPr fontId="18" type="noConversion"/>
  </si>
  <si>
    <t>인증지점장</t>
    <phoneticPr fontId="18" type="noConversion"/>
  </si>
  <si>
    <t>일반지사장</t>
    <phoneticPr fontId="18" type="noConversion"/>
  </si>
  <si>
    <t>팀장</t>
    <phoneticPr fontId="18" type="noConversion"/>
  </si>
  <si>
    <t>위촉FC</t>
    <phoneticPr fontId="18" type="noConversion"/>
  </si>
  <si>
    <t>상품군</t>
    <phoneticPr fontId="110" type="noConversion"/>
  </si>
  <si>
    <t>기준</t>
    <phoneticPr fontId="18" type="noConversion"/>
  </si>
  <si>
    <t>환산율</t>
    <phoneticPr fontId="18" type="noConversion"/>
  </si>
  <si>
    <t>1~12회</t>
    <phoneticPr fontId="110" type="noConversion"/>
  </si>
  <si>
    <t>13~24회</t>
    <phoneticPr fontId="110" type="noConversion"/>
  </si>
  <si>
    <t>25~36회</t>
    <phoneticPr fontId="110" type="noConversion"/>
  </si>
  <si>
    <t>익월</t>
    <phoneticPr fontId="18" type="noConversion"/>
  </si>
  <si>
    <t>1차년
(익월포함)</t>
    <phoneticPr fontId="18" type="noConversion"/>
  </si>
  <si>
    <t>총계</t>
    <phoneticPr fontId="18" type="noConversion"/>
  </si>
  <si>
    <t>익월</t>
    <phoneticPr fontId="18" type="noConversion"/>
  </si>
  <si>
    <t>1차년
(익월포함)</t>
    <phoneticPr fontId="18" type="noConversion"/>
  </si>
  <si>
    <t>총계</t>
    <phoneticPr fontId="18" type="noConversion"/>
  </si>
  <si>
    <t>익월</t>
    <phoneticPr fontId="18" type="noConversion"/>
  </si>
  <si>
    <t>1차년
(익월포함)</t>
    <phoneticPr fontId="18" type="noConversion"/>
  </si>
  <si>
    <t>총계</t>
    <phoneticPr fontId="18" type="noConversion"/>
  </si>
  <si>
    <t>익월</t>
    <phoneticPr fontId="18" type="noConversion"/>
  </si>
  <si>
    <t>총계</t>
    <phoneticPr fontId="18" type="noConversion"/>
  </si>
  <si>
    <t>총계</t>
    <phoneticPr fontId="18" type="noConversion"/>
  </si>
  <si>
    <t>보장</t>
    <phoneticPr fontId="100" type="noConversion"/>
  </si>
  <si>
    <t>(무)가족사랑NH종신보험</t>
    <phoneticPr fontId="128" type="noConversion"/>
  </si>
  <si>
    <t>20년이상</t>
    <phoneticPr fontId="128" type="noConversion"/>
  </si>
  <si>
    <t>20년이상</t>
    <phoneticPr fontId="128" type="noConversion"/>
  </si>
  <si>
    <t>연금</t>
    <phoneticPr fontId="100" type="noConversion"/>
  </si>
  <si>
    <t>10년이상</t>
    <phoneticPr fontId="100" type="noConversion"/>
  </si>
  <si>
    <t>(무)행복열매NH연금보험</t>
    <phoneticPr fontId="128" type="noConversion"/>
  </si>
  <si>
    <t>10년이상</t>
    <phoneticPr fontId="128" type="noConversion"/>
  </si>
  <si>
    <t>저축</t>
    <phoneticPr fontId="100" type="noConversion"/>
  </si>
  <si>
    <t>세테크NH연금저축보험</t>
    <phoneticPr fontId="100" type="noConversion"/>
  </si>
  <si>
    <t>일시납</t>
    <phoneticPr fontId="100" type="noConversion"/>
  </si>
  <si>
    <t>파워자유NH연금보험</t>
    <phoneticPr fontId="100" type="noConversion"/>
  </si>
  <si>
    <t>-</t>
    <phoneticPr fontId="128" type="noConversion"/>
  </si>
  <si>
    <t>(무)가족사랑NH종신보험</t>
    <phoneticPr fontId="110" type="noConversion"/>
  </si>
  <si>
    <t>-</t>
    <phoneticPr fontId="128" type="noConversion"/>
  </si>
  <si>
    <t xml:space="preserve"> &lt; 세부 사항 안내 &gt;</t>
    <phoneticPr fontId="18" type="noConversion"/>
  </si>
  <si>
    <t>1. 작성 기준</t>
    <phoneticPr fontId="18" type="noConversion"/>
  </si>
  <si>
    <t>2. 수수료 항목별 익월 지급 기준 : 모집수수료(1회) + 신계약성과수수료 + 생상선수수료 ▶ 총 3개 항목</t>
    <phoneticPr fontId="18" type="noConversion"/>
  </si>
  <si>
    <t xml:space="preserve"> ▶ 성과수수료 , 생산성수수료 : 1회 선지급</t>
    <phoneticPr fontId="18" type="noConversion"/>
  </si>
  <si>
    <t xml:space="preserve"> ▶ 상품군별 모집 수수료(1차년도) : 보장 5%,  연금, 저축 4%</t>
    <phoneticPr fontId="18" type="noConversion"/>
  </si>
  <si>
    <t xml:space="preserve"> ▶ 모집수수료 : 2차년도 이후 지급률 1차년도와 상이함. 기초시트 확인</t>
    <phoneticPr fontId="18" type="noConversion"/>
  </si>
  <si>
    <t xml:space="preserve"> ▶ 성과 수수료 - 환산성적의 80%(연금) / 환산성적의 53%(보장) / 환산성적의 50%(기타) +  생산성수수료 (환산성적의 20%) + 모집수수료</t>
    <phoneticPr fontId="18" type="noConversion"/>
  </si>
  <si>
    <t xml:space="preserve"> ① 환산 기준 : 납기에 따른 주계약의 월납영수보험료를 기준으로 예시하였으며, 실제 설계시 보험료 및 특약별로 적용되는 환산이 다를 수 있으므로, 정확한 환산은 팜스에 공지되어 있는 상품별 환산 자료 참조 요망 (환산자료 : 팜스 공지사항 -&gt;업무공지 -&gt; '환산' 검색) </t>
    <phoneticPr fontId="100" type="noConversion"/>
  </si>
  <si>
    <t>** 수수료 규정이나 테이블 예시구간 변경 외에도, 상품의 환산율이 변경될 시 테이블 금액 및 수수료 실제 지급액은 달라질 수 있으니 이점 참고하시어 활용 바랍니다.</t>
    <phoneticPr fontId="100" type="noConversion"/>
  </si>
  <si>
    <t xml:space="preserve">   관련 환산율 자료는 &lt;팜스 공지사항 → 업무공지&gt; 에서 "환산"검색하여 확인하실 수 있습니다.</t>
    <phoneticPr fontId="100" type="noConversion"/>
  </si>
  <si>
    <t>보험사</t>
    <phoneticPr fontId="100" type="noConversion"/>
  </si>
  <si>
    <t>변동 항목</t>
    <phoneticPr fontId="100" type="noConversion"/>
  </si>
  <si>
    <t>구분</t>
    <phoneticPr fontId="100" type="noConversion"/>
  </si>
  <si>
    <t>변동 전</t>
    <phoneticPr fontId="100" type="noConversion"/>
  </si>
  <si>
    <t>변동 후</t>
    <phoneticPr fontId="100" type="noConversion"/>
  </si>
  <si>
    <t>항  목</t>
    <phoneticPr fontId="18" type="noConversion"/>
  </si>
  <si>
    <t>용어 정의</t>
    <phoneticPr fontId="18" type="noConversion"/>
  </si>
  <si>
    <t>월납초회보험료(월초P)</t>
    <phoneticPr fontId="18" type="noConversion"/>
  </si>
  <si>
    <t>납입 방법이 순수 월납인 계약의 초회보험료</t>
    <phoneticPr fontId="18" type="noConversion"/>
  </si>
  <si>
    <t>FYC</t>
    <phoneticPr fontId="18" type="noConversion"/>
  </si>
  <si>
    <t>초년도 수수료</t>
    <phoneticPr fontId="18" type="noConversion"/>
  </si>
  <si>
    <t>FYP : 초년도 보험료, PSF : 상품별 주계약 가입금액에 따른 환산율
PF : 19회차 IQA 유지율에 따른 환산율</t>
    <phoneticPr fontId="32" type="noConversion"/>
  </si>
  <si>
    <t>RYC</t>
    <phoneticPr fontId="18" type="noConversion"/>
  </si>
  <si>
    <t>유지수수료로 2차년도 이후에 지급되는 수수료 (3차년도까지 지급)</t>
    <phoneticPr fontId="18" type="noConversion"/>
  </si>
  <si>
    <t>승환계약</t>
    <phoneticPr fontId="18" type="noConversion"/>
  </si>
  <si>
    <t>기존계약의 실효,해약,감액 후 업적월 기준으로 6개월 전후 사이에  동일 계약자 또는 피보험자 명의로 동일 상품군 신계약 가입시 성적 및 수수료 100% 환수</t>
    <phoneticPr fontId="17" type="noConversion"/>
  </si>
  <si>
    <t>2. 수수료 항목 및 지급 기준</t>
    <phoneticPr fontId="18" type="noConversion"/>
  </si>
  <si>
    <t>세 부 사 항</t>
    <phoneticPr fontId="18" type="noConversion"/>
  </si>
  <si>
    <t>지급 기준</t>
    <phoneticPr fontId="18" type="noConversion"/>
  </si>
  <si>
    <t>모집수수료</t>
    <phoneticPr fontId="18" type="noConversion"/>
  </si>
  <si>
    <t>모집, 유지수수료 분할 지급</t>
    <phoneticPr fontId="32" type="noConversion"/>
  </si>
  <si>
    <t>RYC 100% 해당액 지급 &gt; 2,3차년도 지급 수수료</t>
    <phoneticPr fontId="18" type="noConversion"/>
  </si>
  <si>
    <t>성과보너스
(Production Bonus)</t>
    <phoneticPr fontId="18" type="noConversion"/>
  </si>
  <si>
    <t>▶ 1~3분기 :  각 분기별 성과보너스의 75% 지급</t>
    <phoneticPr fontId="18" type="noConversion"/>
  </si>
  <si>
    <t>통산 유지율</t>
    <phoneticPr fontId="18" type="noConversion"/>
  </si>
  <si>
    <t>70%↓</t>
    <phoneticPr fontId="18" type="noConversion"/>
  </si>
  <si>
    <t>70% ↑</t>
    <phoneticPr fontId="18" type="noConversion"/>
  </si>
  <si>
    <t xml:space="preserve">75% ↑
</t>
    <phoneticPr fontId="18" type="noConversion"/>
  </si>
  <si>
    <t>▶ 4분기 :  4분기 성과보너스 100% + 각 분기 유보액 전액 지급</t>
    <phoneticPr fontId="18" type="noConversion"/>
  </si>
  <si>
    <t>분기별 FYC 합계</t>
    <phoneticPr fontId="18" type="noConversion"/>
  </si>
  <si>
    <t>(400만 이상)</t>
    <phoneticPr fontId="18" type="noConversion"/>
  </si>
  <si>
    <t>20년납이상</t>
    <phoneticPr fontId="128" type="noConversion"/>
  </si>
  <si>
    <t>1형(종신형)/10년이상</t>
    <phoneticPr fontId="100" type="noConversion"/>
  </si>
  <si>
    <t>AIA생명 수수료 지급 기준(15년 1월 기준) - 최저 보장제 미적용(분급형)</t>
    <phoneticPr fontId="110" type="noConversion"/>
  </si>
  <si>
    <t>상품명</t>
    <phoneticPr fontId="18" type="noConversion"/>
  </si>
  <si>
    <t>기준</t>
    <phoneticPr fontId="18" type="noConversion"/>
  </si>
  <si>
    <t>GA 수수료 항목</t>
    <phoneticPr fontId="18" type="noConversion"/>
  </si>
  <si>
    <t>본사수수료</t>
    <phoneticPr fontId="18" type="noConversion"/>
  </si>
  <si>
    <t>본부장</t>
    <phoneticPr fontId="18" type="noConversion"/>
  </si>
  <si>
    <t>인증지점장</t>
    <phoneticPr fontId="18" type="noConversion"/>
  </si>
  <si>
    <t>일반지점장</t>
    <phoneticPr fontId="18" type="noConversion"/>
  </si>
  <si>
    <t>팀장</t>
    <phoneticPr fontId="18" type="noConversion"/>
  </si>
  <si>
    <t>위촉FC</t>
    <phoneticPr fontId="18" type="noConversion"/>
  </si>
  <si>
    <t>상품군</t>
    <phoneticPr fontId="18" type="noConversion"/>
  </si>
  <si>
    <t>초년/2차년/3차년 지급율</t>
    <phoneticPr fontId="18" type="noConversion"/>
  </si>
  <si>
    <r>
      <rPr>
        <b/>
        <sz val="9"/>
        <color indexed="10"/>
        <rFont val="맑은 고딕"/>
        <family val="3"/>
        <charset val="129"/>
      </rPr>
      <t>주계약</t>
    </r>
    <r>
      <rPr>
        <sz val="9"/>
        <rFont val="맑은 고딕"/>
        <family val="3"/>
        <charset val="129"/>
      </rPr>
      <t xml:space="preserve">
월납P</t>
    </r>
    <phoneticPr fontId="18" type="noConversion"/>
  </si>
  <si>
    <t>초년도실적수수료</t>
    <phoneticPr fontId="18" type="noConversion"/>
  </si>
  <si>
    <t>성과보너스</t>
    <phoneticPr fontId="18" type="noConversion"/>
  </si>
  <si>
    <t>1차년합</t>
    <phoneticPr fontId="18" type="noConversion"/>
  </si>
  <si>
    <t>2차년합</t>
    <phoneticPr fontId="18" type="noConversion"/>
  </si>
  <si>
    <t>3차년</t>
    <phoneticPr fontId="18" type="noConversion"/>
  </si>
  <si>
    <t>4차년</t>
    <phoneticPr fontId="17" type="noConversion"/>
  </si>
  <si>
    <t>5차년</t>
    <phoneticPr fontId="17" type="noConversion"/>
  </si>
  <si>
    <t>익월</t>
    <phoneticPr fontId="18" type="noConversion"/>
  </si>
  <si>
    <t>1차년
(익월포함)</t>
    <phoneticPr fontId="18" type="noConversion"/>
  </si>
  <si>
    <t>총계</t>
    <phoneticPr fontId="18" type="noConversion"/>
  </si>
  <si>
    <t>UL (저축성보험)</t>
    <phoneticPr fontId="18" type="noConversion"/>
  </si>
  <si>
    <t>스마트 유니버셜 저축보험</t>
    <phoneticPr fontId="18" type="noConversion"/>
  </si>
  <si>
    <t xml:space="preserve">VUL </t>
    <phoneticPr fontId="18" type="noConversion"/>
  </si>
  <si>
    <t xml:space="preserve">부자아이VUL </t>
    <phoneticPr fontId="18" type="noConversion"/>
  </si>
  <si>
    <t>2차년도</t>
    <phoneticPr fontId="18" type="noConversion"/>
  </si>
  <si>
    <t>3차년도</t>
    <phoneticPr fontId="18" type="noConversion"/>
  </si>
  <si>
    <t>FUTURE SAFETY 변액유니버셜보험</t>
  </si>
  <si>
    <t>FUTURE BALANCE 변액유니버셜보험</t>
  </si>
  <si>
    <t>어린이보험</t>
    <phoneticPr fontId="17" type="noConversion"/>
  </si>
  <si>
    <t>현명한엄마가고른AIA어린이보험 1형</t>
    <phoneticPr fontId="18" type="noConversion"/>
  </si>
  <si>
    <t>현명한엄마가고른AIA어린이보험2형</t>
    <phoneticPr fontId="18" type="noConversion"/>
  </si>
  <si>
    <t>현명한엄마가고른AIA어린이보험3형</t>
    <phoneticPr fontId="18" type="noConversion"/>
  </si>
  <si>
    <t xml:space="preserve">AIA우리가족을위한평생설계보험 1,2형 </t>
    <phoneticPr fontId="18" type="noConversion"/>
  </si>
  <si>
    <t>2차년도</t>
    <phoneticPr fontId="18" type="noConversion"/>
  </si>
  <si>
    <t>3차년도</t>
    <phoneticPr fontId="18" type="noConversion"/>
  </si>
  <si>
    <t>종신보험</t>
    <phoneticPr fontId="17" type="noConversion"/>
  </si>
  <si>
    <t xml:space="preserve">AIA우리가족을위한평생설계보험 3형(평준형) </t>
    <phoneticPr fontId="18" type="noConversion"/>
  </si>
  <si>
    <t>2차년도</t>
    <phoneticPr fontId="18" type="noConversion"/>
  </si>
  <si>
    <t>AIA우리가족 변액종신보험</t>
    <phoneticPr fontId="18" type="noConversion"/>
  </si>
  <si>
    <t>3차년도</t>
    <phoneticPr fontId="18" type="noConversion"/>
  </si>
  <si>
    <t>프라임평생설계플러스 (20년납이상)</t>
    <phoneticPr fontId="18" type="noConversion"/>
  </si>
  <si>
    <t>프라임평생설계플러스 (10년납이상)</t>
    <phoneticPr fontId="18" type="noConversion"/>
  </si>
  <si>
    <t>프라임평생설계플러스 (5년납)</t>
    <phoneticPr fontId="18" type="noConversion"/>
  </si>
  <si>
    <t xml:space="preserve">VA(변액연금) </t>
    <phoneticPr fontId="18" type="noConversion"/>
  </si>
  <si>
    <t>스텝업재테크변액연금보험 (15년납, 30만원이상)</t>
    <phoneticPr fontId="18" type="noConversion"/>
  </si>
  <si>
    <t>연금보험</t>
    <phoneticPr fontId="18" type="noConversion"/>
  </si>
  <si>
    <t xml:space="preserve">GOLDEN CHOICE 연금 </t>
    <phoneticPr fontId="18" type="noConversion"/>
  </si>
  <si>
    <t xml:space="preserve">건강/정기/치아/암 </t>
    <phoneticPr fontId="18" type="noConversion"/>
  </si>
  <si>
    <t>실속하나로건강보험</t>
    <phoneticPr fontId="18" type="noConversion"/>
  </si>
  <si>
    <t>3대질병보험(갱신형)</t>
    <phoneticPr fontId="18" type="noConversion"/>
  </si>
  <si>
    <t>평준정기보험</t>
    <phoneticPr fontId="18" type="noConversion"/>
  </si>
  <si>
    <t>실속보장치아보험(1/2/3형)</t>
    <phoneticPr fontId="18" type="noConversion"/>
  </si>
  <si>
    <t>뉴원스톱 암보험(1,2형)</t>
    <phoneticPr fontId="18" type="noConversion"/>
  </si>
  <si>
    <t>뉴원스톱 암보험(3형)</t>
    <phoneticPr fontId="18" type="noConversion"/>
  </si>
  <si>
    <t>원스톱암보험플러스보험(2차암)</t>
    <phoneticPr fontId="18" type="noConversion"/>
  </si>
  <si>
    <t>꼭 필요한 100세 암보험</t>
    <phoneticPr fontId="18" type="noConversion"/>
  </si>
  <si>
    <t>뉴 원스톱 단계별로 더 받는 암보험</t>
    <phoneticPr fontId="18" type="noConversion"/>
  </si>
  <si>
    <t>일시납</t>
    <phoneticPr fontId="100" type="noConversion"/>
  </si>
  <si>
    <t>THE 좋은 프레스티지 변액유니버셜보험</t>
    <phoneticPr fontId="18" type="noConversion"/>
  </si>
  <si>
    <t>GOLDEN TIME 연금보험</t>
    <phoneticPr fontId="18" type="noConversion"/>
  </si>
  <si>
    <t>&lt; 세부 사항 안내 &gt;</t>
    <phoneticPr fontId="18" type="noConversion"/>
  </si>
  <si>
    <r>
      <t xml:space="preserve"> - AIA생명의 경우, </t>
    </r>
    <r>
      <rPr>
        <b/>
        <sz val="9"/>
        <color indexed="10"/>
        <rFont val="맑은 고딕"/>
        <family val="3"/>
        <charset val="129"/>
      </rPr>
      <t>전 종목 분급형으로 지급</t>
    </r>
    <r>
      <rPr>
        <sz val="9"/>
        <color indexed="8"/>
        <rFont val="맑은 고딕"/>
        <family val="3"/>
        <charset val="129"/>
      </rPr>
      <t xml:space="preserve">되고 있으며, 계약 유지에 따라 </t>
    </r>
    <r>
      <rPr>
        <sz val="9"/>
        <color indexed="8"/>
        <rFont val="맑은 고딕"/>
        <family val="3"/>
        <charset val="129"/>
      </rPr>
      <t>5</t>
    </r>
    <r>
      <rPr>
        <sz val="9"/>
        <color indexed="8"/>
        <rFont val="맑은 고딕"/>
        <family val="3"/>
        <charset val="129"/>
      </rPr>
      <t>차년도까지 분할하여 지급됨</t>
    </r>
    <phoneticPr fontId="18" type="noConversion"/>
  </si>
  <si>
    <r>
      <t xml:space="preserve"> - AIA생명은 </t>
    </r>
    <r>
      <rPr>
        <b/>
        <sz val="9"/>
        <color indexed="10"/>
        <rFont val="맑은 고딕"/>
        <family val="3"/>
        <charset val="129"/>
      </rPr>
      <t>상품별 환산율이 없으며</t>
    </r>
    <r>
      <rPr>
        <sz val="9"/>
        <color indexed="8"/>
        <rFont val="맑은 고딕"/>
        <family val="3"/>
        <charset val="129"/>
      </rPr>
      <t xml:space="preserve">, 상기 예시 자료는 현재 지급되는 당사 지급율을 평균 적용한 예시자료이므로 변동될 수 있음 </t>
    </r>
    <phoneticPr fontId="18" type="noConversion"/>
  </si>
  <si>
    <t xml:space="preserve"> - 우리가족변액종신보험은 주계약 환산 수수료율 MAX로 적용함</t>
    <phoneticPr fontId="18" type="noConversion"/>
  </si>
  <si>
    <t>KDB생명 수수료 지급 기준(15년 1월 기준) - 최저 보장제 미적용</t>
    <phoneticPr fontId="100" type="noConversion"/>
  </si>
  <si>
    <t>※ 아래 예시 외 상품(또는 납기 등 다른 기준)은 &lt;팜스 공지사항 → 업무공지&gt; "환산" 자료를 참조하여 활용하시기 바랍니다. (상품의 환산율이 변경될 시 테이블 금액 및 수수료 지급액은 달라질 수 있습니다.)</t>
    <phoneticPr fontId="100" type="noConversion"/>
  </si>
  <si>
    <r>
      <rPr>
        <b/>
        <sz val="9"/>
        <color rgb="FFFF0000"/>
        <rFont val="맑은 고딕"/>
        <family val="3"/>
        <charset val="129"/>
      </rPr>
      <t>주계약</t>
    </r>
    <r>
      <rPr>
        <sz val="9"/>
        <rFont val="맑은 고딕"/>
        <family val="3"/>
        <charset val="129"/>
      </rPr>
      <t xml:space="preserve">
월납P</t>
    </r>
    <phoneticPr fontId="18" type="noConversion"/>
  </si>
  <si>
    <t>환산P</t>
    <phoneticPr fontId="18" type="noConversion"/>
  </si>
  <si>
    <t>성과
수수료</t>
    <phoneticPr fontId="18" type="noConversion"/>
  </si>
  <si>
    <t>계약관리수수료</t>
    <phoneticPr fontId="18" type="noConversion"/>
  </si>
  <si>
    <t>Override 수수료</t>
    <phoneticPr fontId="18" type="noConversion"/>
  </si>
  <si>
    <t>유지율보너스</t>
    <phoneticPr fontId="18" type="noConversion"/>
  </si>
  <si>
    <t>연금전환</t>
    <phoneticPr fontId="110" type="noConversion"/>
  </si>
  <si>
    <t>장기유지</t>
    <phoneticPr fontId="18" type="noConversion"/>
  </si>
  <si>
    <t>전략상품</t>
    <phoneticPr fontId="18" type="noConversion"/>
  </si>
  <si>
    <t>일시납
지원비</t>
    <phoneticPr fontId="110" type="noConversion"/>
  </si>
  <si>
    <t>상품군</t>
    <phoneticPr fontId="110" type="noConversion"/>
  </si>
  <si>
    <t>기준</t>
    <phoneticPr fontId="17" type="noConversion"/>
  </si>
  <si>
    <t>환산율</t>
    <phoneticPr fontId="18" type="noConversion"/>
  </si>
  <si>
    <t>1~12회</t>
    <phoneticPr fontId="18" type="noConversion"/>
  </si>
  <si>
    <t>13~24회</t>
    <phoneticPr fontId="18" type="noConversion"/>
  </si>
  <si>
    <t>13~24회</t>
    <phoneticPr fontId="110" type="noConversion"/>
  </si>
  <si>
    <t>25~36회</t>
    <phoneticPr fontId="18" type="noConversion"/>
  </si>
  <si>
    <t>13~36회</t>
    <phoneticPr fontId="18" type="noConversion"/>
  </si>
  <si>
    <t>보장</t>
    <phoneticPr fontId="110" type="noConversion"/>
  </si>
  <si>
    <t>(무)VIP프리미엄보험</t>
    <phoneticPr fontId="18" type="noConversion"/>
  </si>
  <si>
    <t>20년납이상/1종</t>
    <phoneticPr fontId="17" type="noConversion"/>
  </si>
  <si>
    <t>(무)가족愛Dream보험Ⅱ2종</t>
    <phoneticPr fontId="18" type="noConversion"/>
  </si>
  <si>
    <t>6,000미만</t>
    <phoneticPr fontId="17" type="noConversion"/>
  </si>
  <si>
    <t>종신</t>
    <phoneticPr fontId="100" type="noConversion"/>
  </si>
  <si>
    <t>(무)KDB퍼펙트플랜종신(체감형)</t>
    <phoneticPr fontId="18" type="noConversion"/>
  </si>
  <si>
    <t>20년납이상(체감형)</t>
    <phoneticPr fontId="17" type="noConversion"/>
  </si>
  <si>
    <t>(무)KDB퍼펙트플랜종신(체증형)</t>
    <phoneticPr fontId="18" type="noConversion"/>
  </si>
  <si>
    <t>20년납이상(체증형)</t>
    <phoneticPr fontId="17" type="noConversion"/>
  </si>
  <si>
    <t>(무)KDB퍼펙트플랜종신(일반형)</t>
    <phoneticPr fontId="18" type="noConversion"/>
  </si>
  <si>
    <t>20년납이상(일반형)</t>
    <phoneticPr fontId="17" type="noConversion"/>
  </si>
  <si>
    <t>(무)KDB은퇴설계변액종신보험</t>
    <phoneticPr fontId="18" type="noConversion"/>
  </si>
  <si>
    <t>20년납이상(1종일반형)</t>
    <phoneticPr fontId="17" type="noConversion"/>
  </si>
  <si>
    <t>(무)KDB멀티종신보험</t>
    <phoneticPr fontId="18" type="noConversion"/>
  </si>
  <si>
    <t>20년납이상(실속형)</t>
    <phoneticPr fontId="17" type="noConversion"/>
  </si>
  <si>
    <t>연금</t>
    <phoneticPr fontId="100" type="noConversion"/>
  </si>
  <si>
    <t>(무)KDB적립플러스연금보험</t>
    <phoneticPr fontId="100" type="noConversion"/>
  </si>
  <si>
    <t>10년납이상</t>
    <phoneticPr fontId="17" type="noConversion"/>
  </si>
  <si>
    <t>(무)KDB트리플에셋변액연금보험</t>
    <phoneticPr fontId="17" type="noConversion"/>
  </si>
  <si>
    <t>(무)KDB변액연금보험</t>
    <phoneticPr fontId="100" type="noConversion"/>
  </si>
  <si>
    <t>저축</t>
    <phoneticPr fontId="100" type="noConversion"/>
  </si>
  <si>
    <t>(무)알뜰플러스저축</t>
    <phoneticPr fontId="18" type="noConversion"/>
  </si>
  <si>
    <t>(무)파워펀딩변액유니버셜Ⅲ</t>
    <phoneticPr fontId="18" type="noConversion"/>
  </si>
  <si>
    <t>월납</t>
    <phoneticPr fontId="100" type="noConversion"/>
  </si>
  <si>
    <t>일시납</t>
    <phoneticPr fontId="110" type="noConversion"/>
  </si>
  <si>
    <t>환산율</t>
    <phoneticPr fontId="100" type="noConversion"/>
  </si>
  <si>
    <t>일시납지원</t>
    <phoneticPr fontId="100" type="noConversion"/>
  </si>
  <si>
    <t>일시납</t>
    <phoneticPr fontId="17" type="noConversion"/>
  </si>
  <si>
    <t xml:space="preserve">1. 작성 기준 </t>
    <phoneticPr fontId="18" type="noConversion"/>
  </si>
  <si>
    <t xml:space="preserve"> ② 환산 기준 : 납기에 따른 주계약의 월납영수보험료를 기준으로 예시하였으며, 실제 설계시 보험료 및 특약별로 적용되는 환산이 다를 수 있으므로, </t>
    <phoneticPr fontId="18" type="noConversion"/>
  </si>
  <si>
    <t>2. 계약관리수수료 익월 先지급 기준 :  보장성(1~9회 익월 先지급) 연금 (1~10회익월 先지급) 저축 (1~7회 익월 先지급) 즉, 유지수수료는 선지급 이후 회차부터 지급됨</t>
    <phoneticPr fontId="18" type="noConversion"/>
  </si>
  <si>
    <t>3. 유지율 적용 기준 : 18회차 통산 유지율을 적용하며 수수료 항목중 유지율 보너스 항목만 연동됨</t>
    <phoneticPr fontId="18" type="noConversion"/>
  </si>
  <si>
    <t>4. 계속보험료 카드수금시 영수P의 3%를 별도 공제함 (2011.11월 신계약부터 적용)</t>
    <phoneticPr fontId="17" type="noConversion"/>
  </si>
  <si>
    <t xml:space="preserve">5. 비고 : 상기 자료는 예시이므로 매월 마감 업적, 유지율 및 개별 상품 설계시의 실제 환산P등에 따라 추가 또는 감소되어 지급됨 </t>
    <phoneticPr fontId="18" type="noConversion"/>
  </si>
  <si>
    <t>AIA생명</t>
    <phoneticPr fontId="100" type="noConversion"/>
  </si>
  <si>
    <t>일시납수수료</t>
    <phoneticPr fontId="100" type="noConversion"/>
  </si>
  <si>
    <t>지급율변동</t>
    <phoneticPr fontId="100" type="noConversion"/>
  </si>
  <si>
    <t>납입보험료 * 3.07% (THE 좋은변액유니버셜)</t>
    <phoneticPr fontId="100" type="noConversion"/>
  </si>
  <si>
    <t>세부시트 참조 (상품별상이)</t>
    <phoneticPr fontId="100" type="noConversion"/>
  </si>
  <si>
    <t>삼성생명</t>
    <phoneticPr fontId="100" type="noConversion"/>
  </si>
  <si>
    <t>저축성 유지커미션</t>
    <phoneticPr fontId="100" type="noConversion"/>
  </si>
  <si>
    <t>1~12회차</t>
    <phoneticPr fontId="100" type="noConversion"/>
  </si>
  <si>
    <t>당월 TP X 29.3%</t>
    <phoneticPr fontId="100" type="noConversion"/>
  </si>
  <si>
    <t>13~24회차</t>
    <phoneticPr fontId="100" type="noConversion"/>
  </si>
  <si>
    <t>당월 TP X 14.3%</t>
    <phoneticPr fontId="100" type="noConversion"/>
  </si>
  <si>
    <t>당월 TP X 15.3%   (+1%)</t>
    <phoneticPr fontId="100" type="noConversion"/>
  </si>
  <si>
    <t>25~36회차</t>
    <phoneticPr fontId="100" type="noConversion"/>
  </si>
  <si>
    <t>당월 TP X 11.7%</t>
    <phoneticPr fontId="100" type="noConversion"/>
  </si>
  <si>
    <t>당월 TP X 12.7%   (+1%)</t>
    <phoneticPr fontId="100" type="noConversion"/>
  </si>
  <si>
    <t>유지성과수수료</t>
    <phoneticPr fontId="100" type="noConversion"/>
  </si>
  <si>
    <t>예시구간변경</t>
    <phoneticPr fontId="100" type="noConversion"/>
  </si>
  <si>
    <t>유지율 90%↑ 지급율 98%  /  유지율 90%미만 지급율 97%</t>
    <phoneticPr fontId="100" type="noConversion"/>
  </si>
  <si>
    <t>유지율 90%↑ 지급율 97%  /  유지율 90%미만 지급율 95%</t>
    <phoneticPr fontId="100" type="noConversion"/>
  </si>
  <si>
    <t>※ 아래 예시 외 상품(또는 납기 등 다른 기준)은 &lt;팜스 공지사항 → 업무공지&gt; "환산" 자료를 참조하여 활용하시기 바랍니다. (상품의 환산율이 변경될 시 테이블 금액 및 수수료 지급액은 달라질 수 있습니다.)</t>
    <phoneticPr fontId="100" type="noConversion"/>
  </si>
  <si>
    <t>상품명</t>
    <phoneticPr fontId="18" type="noConversion"/>
  </si>
  <si>
    <t>환산TP</t>
    <phoneticPr fontId="18" type="noConversion"/>
  </si>
  <si>
    <t>성과커미션</t>
    <phoneticPr fontId="18" type="noConversion"/>
  </si>
  <si>
    <t>신계약커미션</t>
    <phoneticPr fontId="18" type="noConversion"/>
  </si>
  <si>
    <t>유지커미션</t>
    <phoneticPr fontId="100" type="noConversion"/>
  </si>
  <si>
    <t>인증지점장</t>
    <phoneticPr fontId="18" type="noConversion"/>
  </si>
  <si>
    <t>팀장</t>
    <phoneticPr fontId="18" type="noConversion"/>
  </si>
  <si>
    <t>위촉FC</t>
    <phoneticPr fontId="18" type="noConversion"/>
  </si>
  <si>
    <t>상품군</t>
    <phoneticPr fontId="110" type="noConversion"/>
  </si>
  <si>
    <t>환산율</t>
    <phoneticPr fontId="18" type="noConversion"/>
  </si>
  <si>
    <t>6~12회</t>
    <phoneticPr fontId="110" type="noConversion"/>
  </si>
  <si>
    <t>익월</t>
    <phoneticPr fontId="18" type="noConversion"/>
  </si>
  <si>
    <t>1차년
(익월포함)</t>
    <phoneticPr fontId="18" type="noConversion"/>
  </si>
  <si>
    <t>총계</t>
    <phoneticPr fontId="18" type="noConversion"/>
  </si>
  <si>
    <t>연금</t>
    <phoneticPr fontId="110" type="noConversion"/>
  </si>
  <si>
    <t>스마트/내리사랑/직장인/여성행복</t>
    <phoneticPr fontId="110" type="noConversion"/>
  </si>
  <si>
    <t>스마트TOP/스마트UP/2-STEP 변액연금</t>
    <phoneticPr fontId="110" type="noConversion"/>
  </si>
  <si>
    <t>우리아이변액연금/자녀교육변액연금</t>
    <phoneticPr fontId="110" type="noConversion"/>
  </si>
  <si>
    <t>연금저축골드연금</t>
    <phoneticPr fontId="110" type="noConversion"/>
  </si>
  <si>
    <t>10년납이상</t>
    <phoneticPr fontId="110" type="noConversion"/>
  </si>
  <si>
    <t>프리미엄기업보장/3종/중위험</t>
    <phoneticPr fontId="110" type="noConversion"/>
  </si>
  <si>
    <t>10년납</t>
    <phoneticPr fontId="110" type="noConversion"/>
  </si>
  <si>
    <t>암만봐도암보험</t>
    <phoneticPr fontId="110" type="noConversion"/>
  </si>
  <si>
    <t>15년만기/순수형</t>
    <phoneticPr fontId="110" type="noConversion"/>
  </si>
  <si>
    <t>퍼펙트통합Ⅱ</t>
    <phoneticPr fontId="110" type="noConversion"/>
  </si>
  <si>
    <t>20년납</t>
    <phoneticPr fontId="18" type="noConversion"/>
  </si>
  <si>
    <t>VIP정기보험/순수형/소득보장/체증형</t>
    <phoneticPr fontId="110" type="noConversion"/>
  </si>
  <si>
    <t>만기20년초과/20년납이상</t>
    <phoneticPr fontId="18" type="noConversion"/>
  </si>
  <si>
    <t>Top클래스유니버설종신</t>
    <phoneticPr fontId="110" type="noConversion"/>
  </si>
  <si>
    <t>20년납</t>
    <phoneticPr fontId="110" type="noConversion"/>
  </si>
  <si>
    <t>저축</t>
    <phoneticPr fontId="110" type="noConversion"/>
  </si>
  <si>
    <t>New에이스변액적립/스마트저축</t>
    <phoneticPr fontId="18" type="noConversion"/>
  </si>
  <si>
    <t>12년납이상/10만↑</t>
    <phoneticPr fontId="18" type="noConversion"/>
  </si>
  <si>
    <t>일시납</t>
    <phoneticPr fontId="110" type="noConversion"/>
  </si>
  <si>
    <t>일시납/주보험</t>
    <phoneticPr fontId="18" type="noConversion"/>
  </si>
  <si>
    <t>TOP클래스 UL종신, 스마트 VUL종신,
플래티넘스마트VUL종신, VVIP (V)UL종신</t>
    <phoneticPr fontId="100" type="noConversion"/>
  </si>
  <si>
    <t>1. 작성 기준</t>
    <phoneticPr fontId="18" type="noConversion"/>
  </si>
  <si>
    <t xml:space="preserve"> ① 최저 보장제 적용 : 성과커미션은  GA등급 S등급을 최저보장하며, 유지율 및 기타 조건등은 실제 지급 기준과 연동하여 적용됨</t>
    <phoneticPr fontId="18" type="noConversion"/>
  </si>
  <si>
    <t xml:space="preserve"> ② 환산 기준 : 납기에 따른 주계약의 월납영수보험료를 기준으로 예시하였으며, 실제 설계시 보험료 및 특약별로 적용되는 환산이 다를 수 있으므로, </t>
    <phoneticPr fontId="18" type="noConversion"/>
  </si>
  <si>
    <t xml:space="preserve">2. 비고 : 상기 자료는 예시이므로 매월 마감 업적, 유지율 및 개별 상품 설계시의 실제 환산P등에 따라 추가 또는 감소되어 지급됨 </t>
    <phoneticPr fontId="18" type="noConversion"/>
  </si>
  <si>
    <t>파워자유NH연금보험</t>
    <phoneticPr fontId="128" type="noConversion"/>
  </si>
  <si>
    <t>(무)평생안심NH건강보험</t>
    <phoneticPr fontId="128" type="noConversion"/>
  </si>
  <si>
    <t>(무)바로받는 W 변액연금</t>
    <phoneticPr fontId="17" type="noConversion"/>
  </si>
  <si>
    <t>(무)실버플랜 VUL</t>
    <phoneticPr fontId="18" type="noConversion"/>
  </si>
  <si>
    <t>(무)실버플랜 VUL 일시납</t>
    <phoneticPr fontId="17" type="noConversion"/>
  </si>
  <si>
    <t>(무)키즈플랜 VUL</t>
    <phoneticPr fontId="18" type="noConversion"/>
  </si>
  <si>
    <t>1. 성적 관련 용어 정의</t>
    <phoneticPr fontId="18" type="noConversion"/>
  </si>
  <si>
    <t>항  목</t>
    <phoneticPr fontId="18" type="noConversion"/>
  </si>
  <si>
    <t>용어 정의</t>
    <phoneticPr fontId="18" type="noConversion"/>
  </si>
  <si>
    <t>비  고</t>
    <phoneticPr fontId="18" type="noConversion"/>
  </si>
  <si>
    <t>환산보험료(환산)</t>
    <phoneticPr fontId="18" type="noConversion"/>
  </si>
  <si>
    <t>신계약 성적에 대한 상품별 비교지표를 설정하기 위하여 
월납기준 보험료를 예정 신계약비 규모에 비례하여 환산한 금액</t>
    <phoneticPr fontId="18" type="noConversion"/>
  </si>
  <si>
    <t>용도 : 유지율, GA정산보험료, 계약관리커미션, 퀄리티커미션 지급기준</t>
    <phoneticPr fontId="17" type="noConversion"/>
  </si>
  <si>
    <t>정산보험료(정산)</t>
    <phoneticPr fontId="18" type="noConversion"/>
  </si>
  <si>
    <t>산출기준 : (초년도 환산P - 승환P - 불건전영업계약P ± 상품교환P )</t>
    <phoneticPr fontId="18" type="noConversion"/>
  </si>
  <si>
    <t>2. 상품구분</t>
    <phoneticPr fontId="18" type="noConversion"/>
  </si>
  <si>
    <t>단기(저축성)상품</t>
    <phoneticPr fontId="17" type="noConversion"/>
  </si>
  <si>
    <t>VIP웰스저축보험, 신한빅플러스저축, 신한저축플러스연금, 신한미래설계연금, 신한아이사랑연금보험, 참신한브릿지변액연금보험, 3대질병납입면제되는변액연금보험 등 저축성 상품(상품추가/삭제될 수 있음)</t>
    <phoneticPr fontId="17" type="noConversion"/>
  </si>
  <si>
    <t>중장기상품</t>
    <phoneticPr fontId="100" type="noConversion"/>
  </si>
  <si>
    <t>단기(저축성) 상품을 제외한 전상품</t>
    <phoneticPr fontId="100" type="noConversion"/>
  </si>
  <si>
    <t>금융형상픔</t>
    <phoneticPr fontId="17" type="noConversion"/>
  </si>
  <si>
    <t>단기(저축성) 상품 거치형(일시납)의 총칭</t>
    <phoneticPr fontId="100" type="noConversion"/>
  </si>
  <si>
    <t>3. 승환규정</t>
    <phoneticPr fontId="18" type="noConversion"/>
  </si>
  <si>
    <t>규정</t>
    <phoneticPr fontId="18" type="noConversion"/>
  </si>
  <si>
    <t>승환</t>
    <phoneticPr fontId="18" type="noConversion"/>
  </si>
  <si>
    <t>신계약 가입월 전/후 6개월이내, 동일한 계약자나 피보험자의 보험계약이 미유지 된 경우 : 성적 및 수수료 100% 차감</t>
    <phoneticPr fontId="18" type="noConversion"/>
  </si>
  <si>
    <t>불건전계약</t>
    <phoneticPr fontId="18" type="noConversion"/>
  </si>
  <si>
    <t>동일 계약자나 피보험자를 대상으로 청약철회, 품질보증해지, 민원해지 당월포함 전후 3개월 내 체결한 신계약 : 성적 및 수수료 100% 차감 / 판정시점 : 신계약 성립 4차월 이후</t>
    <phoneticPr fontId="17" type="noConversion"/>
  </si>
  <si>
    <t>4. 수수료 항목 및 지급 기준</t>
    <phoneticPr fontId="18" type="noConversion"/>
  </si>
  <si>
    <t>항  목</t>
    <phoneticPr fontId="18" type="noConversion"/>
  </si>
  <si>
    <t>계 산 식</t>
    <phoneticPr fontId="18" type="noConversion"/>
  </si>
  <si>
    <t>지급 기준</t>
  </si>
  <si>
    <t>신계약커미션</t>
    <phoneticPr fontId="18" type="noConversion"/>
  </si>
  <si>
    <t xml:space="preserve">
▶ 지급액 : 당월 정산P 및 2~18회 통산유지율 실적에 따라 지급</t>
    <phoneticPr fontId="100" type="noConversion"/>
  </si>
  <si>
    <t>당월정산P</t>
  </si>
  <si>
    <t>10백만미만</t>
    <phoneticPr fontId="17" type="noConversion"/>
  </si>
  <si>
    <t>10백만이상</t>
    <phoneticPr fontId="17" type="noConversion"/>
  </si>
  <si>
    <t>30백만이상</t>
    <phoneticPr fontId="17" type="noConversion"/>
  </si>
  <si>
    <t>50백만이상</t>
    <phoneticPr fontId="17" type="noConversion"/>
  </si>
  <si>
    <t>지급률</t>
    <phoneticPr fontId="100" type="noConversion"/>
  </si>
  <si>
    <t>가삭감률</t>
    <phoneticPr fontId="17" type="noConversion"/>
  </si>
  <si>
    <t>성과비례 +20%</t>
    <phoneticPr fontId="100" type="noConversion"/>
  </si>
  <si>
    <t xml:space="preserve"> +10%</t>
    <phoneticPr fontId="100" type="noConversion"/>
  </si>
  <si>
    <t xml:space="preserve">  -10%</t>
    <phoneticPr fontId="100" type="noConversion"/>
  </si>
  <si>
    <t xml:space="preserve">  -20%</t>
    <phoneticPr fontId="100" type="noConversion"/>
  </si>
  <si>
    <t>유지율</t>
    <phoneticPr fontId="100" type="noConversion"/>
  </si>
  <si>
    <t>12차월 이하</t>
    <phoneticPr fontId="17" type="noConversion"/>
  </si>
  <si>
    <t>92%이상</t>
  </si>
  <si>
    <t>90%이상</t>
  </si>
  <si>
    <t>88%이상</t>
  </si>
  <si>
    <t>88%미만</t>
  </si>
  <si>
    <t>18차월 미만</t>
    <phoneticPr fontId="100" type="noConversion"/>
  </si>
  <si>
    <t>86%이상</t>
  </si>
  <si>
    <t>86%미만</t>
  </si>
  <si>
    <t>18차월 이상</t>
    <phoneticPr fontId="17" type="noConversion"/>
  </si>
  <si>
    <t>84%이상</t>
  </si>
  <si>
    <t>84%미만</t>
  </si>
  <si>
    <t xml:space="preserve">  ▶ 보장성 우대 : 보장성보험 정산P * 40%</t>
    <phoneticPr fontId="100" type="noConversion"/>
  </si>
  <si>
    <t>파트너 커미션</t>
    <phoneticPr fontId="18" type="noConversion"/>
  </si>
  <si>
    <t>▶ 지급액 :  차월 및 당월 정산P 비례</t>
    <phoneticPr fontId="100" type="noConversion"/>
  </si>
  <si>
    <t>차월</t>
    <phoneticPr fontId="100" type="noConversion"/>
  </si>
  <si>
    <t>25차월이하</t>
  </si>
  <si>
    <t>25차월이상</t>
    <phoneticPr fontId="17" type="noConversion"/>
  </si>
  <si>
    <t>61차월이상</t>
    <phoneticPr fontId="17" type="noConversion"/>
  </si>
  <si>
    <t>지급률</t>
    <phoneticPr fontId="100" type="noConversion"/>
  </si>
  <si>
    <t>정산P * 20%</t>
    <phoneticPr fontId="18" type="noConversion"/>
  </si>
  <si>
    <t>정산P * 30%</t>
    <phoneticPr fontId="18" type="noConversion"/>
  </si>
  <si>
    <t>정산P * 50%</t>
    <phoneticPr fontId="18" type="noConversion"/>
  </si>
  <si>
    <t>계약관리 커미션</t>
    <phoneticPr fontId="18" type="noConversion"/>
  </si>
  <si>
    <t>▶ 지급액:  2~36회 유지환산P 비례지급
 종신: 2회~6회 , 연금: 2~4회 익월 선지급
종신/연금 외 지급액 : (2회이후)환산P * 지급률
(비월납의 경우는 월납기준 지급회차임, 납입면제 건의 경우도 계약관리수수료 지급,
수금 미이관시 산출액의 80% 지급, 타법인대리점 모집계약 제외)
▶일시납 수수료 :  보장성보험 - 초년도환산P * 360% / 저축성보험 - 납초P * 1.5% (단, 즉시연금은 1.0%)
-계약관리수수료 부지급</t>
    <phoneticPr fontId="100" type="noConversion"/>
  </si>
  <si>
    <t>상품군</t>
    <phoneticPr fontId="100" type="noConversion"/>
  </si>
  <si>
    <t>1회</t>
    <phoneticPr fontId="100" type="noConversion"/>
  </si>
  <si>
    <t>2~4회</t>
    <phoneticPr fontId="100" type="noConversion"/>
  </si>
  <si>
    <t>5~6회</t>
    <phoneticPr fontId="100" type="noConversion"/>
  </si>
  <si>
    <t>7~12회</t>
    <phoneticPr fontId="100" type="noConversion"/>
  </si>
  <si>
    <t>13~24회</t>
    <phoneticPr fontId="100" type="noConversion"/>
  </si>
  <si>
    <t>25~36회</t>
    <phoneticPr fontId="100" type="noConversion"/>
  </si>
  <si>
    <t>종신</t>
    <phoneticPr fontId="100" type="noConversion"/>
  </si>
  <si>
    <t>-</t>
    <phoneticPr fontId="18" type="noConversion"/>
  </si>
  <si>
    <t>보장</t>
    <phoneticPr fontId="100" type="noConversion"/>
  </si>
  <si>
    <t>연금</t>
    <phoneticPr fontId="100" type="noConversion"/>
  </si>
  <si>
    <t>저축</t>
    <phoneticPr fontId="100" type="noConversion"/>
  </si>
  <si>
    <t>퀄리티 커미션</t>
    <phoneticPr fontId="18" type="noConversion"/>
  </si>
  <si>
    <t xml:space="preserve">▶ 지급방법 :  13~36회 보험료 입금시 지급
▶ 지급액 : 유지 회차별, 상품별 비례지급
※ 비월납은 회차별 지급 합산
※유지율요건 : 2~25회 통산유지율에 따른 차등지급
</t>
    <phoneticPr fontId="100" type="noConversion"/>
  </si>
  <si>
    <t>상품군</t>
    <phoneticPr fontId="100" type="noConversion"/>
  </si>
  <si>
    <t>13~24회차</t>
    <phoneticPr fontId="17" type="noConversion"/>
  </si>
  <si>
    <t>25~35회차</t>
    <phoneticPr fontId="17" type="noConversion"/>
  </si>
  <si>
    <t>36회</t>
    <phoneticPr fontId="17" type="noConversion"/>
  </si>
  <si>
    <t>종신</t>
    <phoneticPr fontId="17" type="noConversion"/>
  </si>
  <si>
    <t>2차년환산P * 80%</t>
    <phoneticPr fontId="100" type="noConversion"/>
  </si>
  <si>
    <t>3차년환산P * 40%</t>
    <phoneticPr fontId="100" type="noConversion"/>
  </si>
  <si>
    <t>기타보장성</t>
    <phoneticPr fontId="17" type="noConversion"/>
  </si>
  <si>
    <t>2차년환산P * 40%</t>
    <phoneticPr fontId="100" type="noConversion"/>
  </si>
  <si>
    <t>연금</t>
    <phoneticPr fontId="17" type="noConversion"/>
  </si>
  <si>
    <t>2차년환산P * 70%</t>
    <phoneticPr fontId="100" type="noConversion"/>
  </si>
  <si>
    <t>3차년환산P * 20%</t>
    <phoneticPr fontId="100" type="noConversion"/>
  </si>
  <si>
    <t>3차년환산P * 90%</t>
    <phoneticPr fontId="100" type="noConversion"/>
  </si>
  <si>
    <t>지급률</t>
    <phoneticPr fontId="17" type="noConversion"/>
  </si>
  <si>
    <t>산출액*100%</t>
    <phoneticPr fontId="17" type="noConversion"/>
  </si>
  <si>
    <t>24차월이하</t>
    <phoneticPr fontId="17" type="noConversion"/>
  </si>
  <si>
    <t>85%이상</t>
    <phoneticPr fontId="17" type="noConversion"/>
  </si>
  <si>
    <t>80%이상</t>
    <phoneticPr fontId="17" type="noConversion"/>
  </si>
  <si>
    <t>75%이상</t>
    <phoneticPr fontId="17" type="noConversion"/>
  </si>
  <si>
    <t>75%미만</t>
    <phoneticPr fontId="17" type="noConversion"/>
  </si>
  <si>
    <t>25차월이상</t>
    <phoneticPr fontId="17" type="noConversion"/>
  </si>
  <si>
    <t>80%이상</t>
    <phoneticPr fontId="17" type="noConversion"/>
  </si>
  <si>
    <t>70%이상</t>
    <phoneticPr fontId="17" type="noConversion"/>
  </si>
  <si>
    <t>70%미만</t>
    <phoneticPr fontId="17" type="noConversion"/>
  </si>
  <si>
    <t>※ 아래 예시 외 상품(또는 납기 등 다른 기준)은 &lt;팜스 공지사항 → 업무공지&gt; "환산" 자료를 참조하여 활용하시기 바랍니다. (상품의 환산율이 변경될 시 테이블 금액 및 수수료 지급액은 달라질 수 있습니다.)</t>
    <phoneticPr fontId="100" type="noConversion"/>
  </si>
  <si>
    <t>상품명</t>
    <phoneticPr fontId="18" type="noConversion"/>
  </si>
  <si>
    <r>
      <rPr>
        <b/>
        <sz val="9"/>
        <color rgb="FFFF0000"/>
        <rFont val="맑은 고딕"/>
        <family val="3"/>
        <charset val="129"/>
      </rPr>
      <t>주계약</t>
    </r>
    <r>
      <rPr>
        <sz val="9"/>
        <rFont val="맑은 고딕"/>
        <family val="3"/>
        <charset val="129"/>
      </rPr>
      <t xml:space="preserve">
월납P</t>
    </r>
    <phoneticPr fontId="18" type="noConversion"/>
  </si>
  <si>
    <t>환산P</t>
    <phoneticPr fontId="18" type="noConversion"/>
  </si>
  <si>
    <t>계약관리 커미션</t>
    <phoneticPr fontId="18" type="noConversion"/>
  </si>
  <si>
    <t>퀄리티 커미션</t>
    <phoneticPr fontId="17" type="noConversion"/>
  </si>
  <si>
    <t>본사수수료</t>
    <phoneticPr fontId="18" type="noConversion"/>
  </si>
  <si>
    <t>본부장</t>
    <phoneticPr fontId="18" type="noConversion"/>
  </si>
  <si>
    <t>인증지점장</t>
    <phoneticPr fontId="18" type="noConversion"/>
  </si>
  <si>
    <t>일반지점장</t>
    <phoneticPr fontId="18" type="noConversion"/>
  </si>
  <si>
    <t>팀장</t>
    <phoneticPr fontId="18" type="noConversion"/>
  </si>
  <si>
    <t>위촉FC</t>
    <phoneticPr fontId="18" type="noConversion"/>
  </si>
  <si>
    <t>기준</t>
    <phoneticPr fontId="18" type="noConversion"/>
  </si>
  <si>
    <t>1차년환산</t>
    <phoneticPr fontId="17" type="noConversion"/>
  </si>
  <si>
    <t>2차년환산</t>
    <phoneticPr fontId="17" type="noConversion"/>
  </si>
  <si>
    <t>3차년환산</t>
    <phoneticPr fontId="18" type="noConversion"/>
  </si>
  <si>
    <t>1차년</t>
    <phoneticPr fontId="18" type="noConversion"/>
  </si>
  <si>
    <t>2차년</t>
    <phoneticPr fontId="18" type="noConversion"/>
  </si>
  <si>
    <t>3차년</t>
    <phoneticPr fontId="18" type="noConversion"/>
  </si>
  <si>
    <t>신계약 커미션</t>
    <phoneticPr fontId="17" type="noConversion"/>
  </si>
  <si>
    <t>파트너 커미션</t>
    <phoneticPr fontId="17" type="noConversion"/>
  </si>
  <si>
    <t>1회</t>
    <phoneticPr fontId="100" type="noConversion"/>
  </si>
  <si>
    <t>2~4회</t>
    <phoneticPr fontId="18" type="noConversion"/>
  </si>
  <si>
    <t>5~6회</t>
    <phoneticPr fontId="18" type="noConversion"/>
  </si>
  <si>
    <t>7~12회</t>
    <phoneticPr fontId="18" type="noConversion"/>
  </si>
  <si>
    <t>13~24회</t>
    <phoneticPr fontId="100" type="noConversion"/>
  </si>
  <si>
    <t>25~36회</t>
    <phoneticPr fontId="17" type="noConversion"/>
  </si>
  <si>
    <t>13~24회</t>
    <phoneticPr fontId="18" type="noConversion"/>
  </si>
  <si>
    <t>25~35회</t>
    <phoneticPr fontId="17" type="noConversion"/>
  </si>
  <si>
    <t>36회</t>
    <phoneticPr fontId="17" type="noConversion"/>
  </si>
  <si>
    <t>익월</t>
    <phoneticPr fontId="18" type="noConversion"/>
  </si>
  <si>
    <t>1차년
(익월포함)</t>
    <phoneticPr fontId="18" type="noConversion"/>
  </si>
  <si>
    <t>총계</t>
    <phoneticPr fontId="18" type="noConversion"/>
  </si>
  <si>
    <t>신한 저축플러스연금보험(연금)</t>
    <phoneticPr fontId="17" type="noConversion"/>
  </si>
  <si>
    <t>10년납</t>
    <phoneticPr fontId="17" type="noConversion"/>
  </si>
  <si>
    <t>신한 유니버설6大건강 종신보험(종신)</t>
    <phoneticPr fontId="17" type="noConversion"/>
  </si>
  <si>
    <t>20년납</t>
    <phoneticPr fontId="17" type="noConversion"/>
  </si>
  <si>
    <t>신한아이사랑 연금보험III(연금)</t>
    <phoneticPr fontId="17" type="noConversion"/>
  </si>
  <si>
    <t>3대질병 납입면제되는 변액연금보험(연금)</t>
    <phoneticPr fontId="17" type="noConversion"/>
  </si>
  <si>
    <t>10년납</t>
    <phoneticPr fontId="17" type="noConversion"/>
  </si>
  <si>
    <t>아이사랑 Big II(100%환급형)(보장)</t>
    <phoneticPr fontId="17" type="noConversion"/>
  </si>
  <si>
    <t>신한 Big플러스 저축보험(저축)</t>
    <phoneticPr fontId="17" type="noConversion"/>
  </si>
  <si>
    <t>12년납</t>
    <phoneticPr fontId="17" type="noConversion"/>
  </si>
  <si>
    <t>신한 참연금 저축보험(연금)</t>
    <phoneticPr fontId="17" type="noConversion"/>
  </si>
  <si>
    <t>7년납 이상</t>
    <phoneticPr fontId="17" type="noConversion"/>
  </si>
  <si>
    <t>신한 유니버설6大건강 종신보험</t>
    <phoneticPr fontId="17" type="noConversion"/>
  </si>
  <si>
    <t>일시납(종신)</t>
    <phoneticPr fontId="18" type="noConversion"/>
  </si>
  <si>
    <t>신한 Big플러스 저축보험</t>
    <phoneticPr fontId="100" type="noConversion"/>
  </si>
  <si>
    <t>일시납(저축)</t>
    <phoneticPr fontId="18" type="noConversion"/>
  </si>
  <si>
    <t xml:space="preserve"> &lt; 세부 사항 안내 &gt;</t>
    <phoneticPr fontId="18" type="noConversion"/>
  </si>
  <si>
    <t>※ 승환 규정 : 신계약 가입월 전/후 6개월이내, 동일한 계약자나 피보험자의 보험계약이 미유지 되거나 청약철회, 품질보증해지, 민원해지 당월포함 전후 3개월 내 체결한 신계약 (불건전계약)</t>
    <phoneticPr fontId="100" type="noConversion"/>
  </si>
  <si>
    <t>1. 작성 기준</t>
    <phoneticPr fontId="18" type="noConversion"/>
  </si>
  <si>
    <t xml:space="preserve"> ① 최저 보장제 적용 : 신계약 커미션中 성과비례 커미션 최고구간 400% , 유지율 가삭감 조항 최고구간 (+20%적용) 보장지급함</t>
    <phoneticPr fontId="18" type="noConversion"/>
  </si>
  <si>
    <t xml:space="preserve"> ② 파트너 커미션 : 25차월이상 지급 보장</t>
    <phoneticPr fontId="18" type="noConversion"/>
  </si>
  <si>
    <t xml:space="preserve"> ③ 환산 기준 : 납기에 따른 주계약의 월납영수보험료를 기준으로 예시하였으며, 실제 설계시 보험료 및 특약별로 적용되는 환산이 다를 수 있으므로, </t>
    <phoneticPr fontId="18" type="noConversion"/>
  </si>
  <si>
    <t>▶ 테이블 예시 기준 :  주계약기준, 보험료 100만원 이상 기준</t>
    <phoneticPr fontId="18" type="noConversion"/>
  </si>
  <si>
    <t>2. 유지율 적용 기준 : 성과수수료, 고능율우대수수료,퀄리티수수료, 생산성유지율보너스수수료 항목에 한하여 유지율 연동</t>
    <phoneticPr fontId="18" type="noConversion"/>
  </si>
  <si>
    <t>1. 업적 관련 용어 정의</t>
    <phoneticPr fontId="18" type="noConversion"/>
  </si>
  <si>
    <t>비월납계약</t>
    <phoneticPr fontId="18" type="noConversion"/>
  </si>
  <si>
    <t>아래 기준에 따라 환산보험료로 산출함</t>
    <phoneticPr fontId="18" type="noConversion"/>
  </si>
  <si>
    <t>일시납 산출 방법</t>
    <phoneticPr fontId="18" type="noConversion"/>
  </si>
  <si>
    <t>월납 - 월납P * 12 * 상품별 1차년 환산율 / 3월납 - 3월납P * 4 * 상품별 1차년 환산율</t>
    <phoneticPr fontId="18" type="noConversion"/>
  </si>
  <si>
    <t xml:space="preserve"> - 보장성 보험 : 일시납p * 상품별 일시납 환산율</t>
    <phoneticPr fontId="18" type="noConversion"/>
  </si>
  <si>
    <t>6월납 - 6월납P * 2 * 상품별 1차년 환산율 / 연납 - 연납P * 1 * 상품별 1차년 환산율</t>
    <phoneticPr fontId="18" type="noConversion"/>
  </si>
  <si>
    <t xml:space="preserve"> - 연금보험등 저축성 보험 : 환산보험료 미계상, 수수료만 지급</t>
    <phoneticPr fontId="18" type="noConversion"/>
  </si>
  <si>
    <t>2. 효율 관련 용어 정의</t>
    <phoneticPr fontId="18" type="noConversion"/>
  </si>
  <si>
    <t>수금율</t>
    <phoneticPr fontId="18" type="noConversion"/>
  </si>
  <si>
    <t>실수금액(건) / 요수금액(건) * 100</t>
    <phoneticPr fontId="18" type="noConversion"/>
  </si>
  <si>
    <t>유지율</t>
    <phoneticPr fontId="18" type="noConversion"/>
  </si>
  <si>
    <t>대상 계약중 유지 계약의 총 환산P / 대상 계약의 총 환산P * 100</t>
    <phoneticPr fontId="18" type="noConversion"/>
  </si>
  <si>
    <t>기준유지율(IQA유지율) : 18회차이상 85%</t>
    <phoneticPr fontId="17" type="noConversion"/>
  </si>
  <si>
    <t>3. 성적 관련 용어 정의</t>
    <phoneticPr fontId="18" type="noConversion"/>
  </si>
  <si>
    <t>용 도   및   기 타</t>
    <phoneticPr fontId="18" type="noConversion"/>
  </si>
  <si>
    <t>환산성적(환산P)</t>
    <phoneticPr fontId="18" type="noConversion"/>
  </si>
  <si>
    <t>상품별 월납기준보험료 * 상품별 환산율(주계약 및 특약별로 상이함)</t>
    <phoneticPr fontId="18" type="noConversion"/>
  </si>
  <si>
    <t>정산성적(정산P)</t>
    <phoneticPr fontId="18" type="noConversion"/>
  </si>
  <si>
    <t>당월 신계약 환산P - (실효, 해약, 철회, 반송, 해지, 무효계약의 환산P)</t>
    <phoneticPr fontId="18" type="noConversion"/>
  </si>
  <si>
    <t>제 수수료 산출의 기초</t>
    <phoneticPr fontId="18" type="noConversion"/>
  </si>
  <si>
    <t>+ (부활 계약 ± 계약변경 계약의 환산P)</t>
    <phoneticPr fontId="18" type="noConversion"/>
  </si>
  <si>
    <t>정산성적 세부 산출 기준</t>
    <phoneticPr fontId="18" type="noConversion"/>
  </si>
  <si>
    <t xml:space="preserve">   &lt; 미유지 사유별 정산성적 반영 기준 &gt;</t>
    <phoneticPr fontId="18" type="noConversion"/>
  </si>
  <si>
    <t xml:space="preserve">   - 실효, 해약 계약 : 실효, 해약 계약의 환산보험료 * (24 - 월납환산 납입개월수) / 24</t>
    <phoneticPr fontId="18" type="noConversion"/>
  </si>
  <si>
    <t xml:space="preserve">   - 철회, 반송, 해지, 무효 계약 : 유지차월에 관계없이 기 계상된 환산보험료의 100% 환수</t>
    <phoneticPr fontId="18" type="noConversion"/>
  </si>
  <si>
    <t xml:space="preserve">   - 부활 계약 : 기 환수된 환산보험료를 부활 당월에 재계상후 미지급 신계약 관리수수료를 일시에 지급</t>
    <phoneticPr fontId="18" type="noConversion"/>
  </si>
  <si>
    <t xml:space="preserve">   - 계약 변경 : 계약 변경에 따른 환산보험료 가감</t>
    <phoneticPr fontId="18" type="noConversion"/>
  </si>
  <si>
    <t>승환계약</t>
    <phoneticPr fontId="100" type="noConversion"/>
  </si>
  <si>
    <t>계약 성립 후 25회 이전에 해약되고, 동일 계약자 또는 동일 피보험자로 성립된 신계약 
(기존계약 해약 후 6개월이내 신계약이 성립되거나 신계약 성립 후 6개월이내 기존계약이 해약된 경우에 한함.
단, 실효후 3개월이 초과된 계약의 해약은 승환에서 제외)
승환계약을 판명시 성적 및 수수료 100% 차감</t>
    <phoneticPr fontId="100" type="noConversion"/>
  </si>
  <si>
    <t>항  목</t>
    <phoneticPr fontId="18" type="noConversion"/>
  </si>
  <si>
    <t>지급 기준</t>
    <phoneticPr fontId="18" type="noConversion"/>
  </si>
  <si>
    <t>보험료 입금시마다 상품별 환산율에 따라 지급</t>
    <phoneticPr fontId="18" type="noConversion"/>
  </si>
  <si>
    <t>판매 촉진 수수료</t>
    <phoneticPr fontId="18" type="noConversion"/>
  </si>
  <si>
    <t>유지차</t>
    <phoneticPr fontId="18" type="noConversion"/>
  </si>
  <si>
    <t>7%↑</t>
    <phoneticPr fontId="18" type="noConversion"/>
  </si>
  <si>
    <t>5%↑</t>
    <phoneticPr fontId="18" type="noConversion"/>
  </si>
  <si>
    <t>3%↑</t>
    <phoneticPr fontId="18" type="noConversion"/>
  </si>
  <si>
    <t>0%↑</t>
    <phoneticPr fontId="18" type="noConversion"/>
  </si>
  <si>
    <t>-5%↑</t>
    <phoneticPr fontId="18" type="noConversion"/>
  </si>
  <si>
    <t>-10%↑</t>
    <phoneticPr fontId="18" type="noConversion"/>
  </si>
  <si>
    <r>
      <t xml:space="preserve">100백만↑ 90% / 150백만↑ 95% / </t>
    </r>
    <r>
      <rPr>
        <b/>
        <sz val="9"/>
        <color rgb="FFFF0000"/>
        <rFont val="맑은 고딕"/>
        <family val="3"/>
        <charset val="129"/>
      </rPr>
      <t>200백만↑ 100%</t>
    </r>
    <phoneticPr fontId="18" type="noConversion"/>
  </si>
  <si>
    <t>가감율</t>
    <phoneticPr fontId="18" type="noConversion"/>
  </si>
  <si>
    <t>단, 유지차 -10%↑시는 수수료 不지급됨</t>
    <phoneticPr fontId="18" type="noConversion"/>
  </si>
  <si>
    <t>조기정착 수수료</t>
    <phoneticPr fontId="18" type="noConversion"/>
  </si>
  <si>
    <t>▶ 지급 대상 : 업적 1~12차월 및 유지율 지표 달성자</t>
    <phoneticPr fontId="18" type="noConversion"/>
  </si>
  <si>
    <t>▶ 지급액 : 당월 정산P * 구간별 지급률</t>
    <phoneticPr fontId="100" type="noConversion"/>
  </si>
  <si>
    <t>당월정산보험료</t>
    <phoneticPr fontId="18" type="noConversion"/>
  </si>
  <si>
    <t>10백만↑</t>
    <phoneticPr fontId="18" type="noConversion"/>
  </si>
  <si>
    <t>30백만↑</t>
    <phoneticPr fontId="18" type="noConversion"/>
  </si>
  <si>
    <t>40백만↑</t>
    <phoneticPr fontId="18" type="noConversion"/>
  </si>
  <si>
    <t>70백만↑</t>
    <phoneticPr fontId="18" type="noConversion"/>
  </si>
  <si>
    <t>100백만↑</t>
    <phoneticPr fontId="18" type="noConversion"/>
  </si>
  <si>
    <t>150백만↑</t>
    <phoneticPr fontId="18" type="noConversion"/>
  </si>
  <si>
    <t>지급률</t>
    <phoneticPr fontId="18" type="noConversion"/>
  </si>
  <si>
    <t>신계약 관리 수수료</t>
    <phoneticPr fontId="18" type="noConversion"/>
  </si>
  <si>
    <t>판매촉진 수수료
(익월)</t>
    <phoneticPr fontId="18" type="noConversion"/>
  </si>
  <si>
    <t>조기정착 수수료
(익월)</t>
    <phoneticPr fontId="18" type="noConversion"/>
  </si>
  <si>
    <t>FC</t>
    <phoneticPr fontId="18" type="noConversion"/>
  </si>
  <si>
    <t>기준</t>
    <phoneticPr fontId="17" type="noConversion"/>
  </si>
  <si>
    <t>1차년
환산율</t>
    <phoneticPr fontId="18" type="noConversion"/>
  </si>
  <si>
    <t>2차년
환산율</t>
    <phoneticPr fontId="18" type="noConversion"/>
  </si>
  <si>
    <t>3차년
환산율</t>
    <phoneticPr fontId="18" type="noConversion"/>
  </si>
  <si>
    <t>익월
(2~6회先)</t>
    <phoneticPr fontId="18" type="noConversion"/>
  </si>
  <si>
    <t>1차년합</t>
    <phoneticPr fontId="18" type="noConversion"/>
  </si>
  <si>
    <t>2차년합</t>
    <phoneticPr fontId="18" type="noConversion"/>
  </si>
  <si>
    <t>3차년합</t>
    <phoneticPr fontId="18" type="noConversion"/>
  </si>
  <si>
    <t>(무) The TOP 변액유니버셜더블종신</t>
    <phoneticPr fontId="18" type="noConversion"/>
  </si>
  <si>
    <t>20년납이상(100%/13,000이상)</t>
    <phoneticPr fontId="17" type="noConversion"/>
  </si>
  <si>
    <t>(무) The smart 유니버셜 더블종신</t>
    <phoneticPr fontId="18" type="noConversion"/>
  </si>
  <si>
    <t>20년납이상(100%/13,000미만)</t>
    <phoneticPr fontId="17" type="noConversion"/>
  </si>
  <si>
    <t>(무) 연금Plus 변액적립보험</t>
    <phoneticPr fontId="18" type="noConversion"/>
  </si>
  <si>
    <t>12년납이상 (50만원 미만)</t>
    <phoneticPr fontId="17" type="noConversion"/>
  </si>
  <si>
    <t>(무) 내생애든든연금보험</t>
    <phoneticPr fontId="100" type="noConversion"/>
  </si>
  <si>
    <t>10년납이상(50만원이상)</t>
    <phoneticPr fontId="17" type="noConversion"/>
  </si>
  <si>
    <t>-</t>
    <phoneticPr fontId="17" type="noConversion"/>
  </si>
  <si>
    <t>-</t>
    <phoneticPr fontId="100" type="noConversion"/>
  </si>
  <si>
    <t>일시납</t>
    <phoneticPr fontId="17" type="noConversion"/>
  </si>
  <si>
    <t>-</t>
    <phoneticPr fontId="17" type="noConversion"/>
  </si>
  <si>
    <t xml:space="preserve"> &lt; 세부 사항 안내 &gt;</t>
    <phoneticPr fontId="18" type="noConversion"/>
  </si>
  <si>
    <t xml:space="preserve"> ① 최저 보장제 : 보장 내용은 정산P 2억원 구간에 대한 판매촉진 수수료 항목만 해당함 / 즉, 유지율 및 기타 조건등은 실제 지급 기준과 연동하여 적용됨</t>
    <phoneticPr fontId="18" type="noConversion"/>
  </si>
  <si>
    <t xml:space="preserve"> ② 환산 기준 : 납기에 따른 주계약의 월납영수보험료를 기준으로 예시하였으며, 실제 설계시 보험료 및 특약별로 적용되는 환산이 다를 수 있으므로, </t>
    <phoneticPr fontId="18" type="noConversion"/>
  </si>
  <si>
    <r>
      <t xml:space="preserve">2. 유지 수수료 익월 先지급 기준 : 상품군에 상관 없이 </t>
    </r>
    <r>
      <rPr>
        <b/>
        <sz val="9"/>
        <color indexed="10"/>
        <rFont val="맑은 고딕"/>
        <family val="3"/>
        <charset val="129"/>
      </rPr>
      <t>5개월 先지급</t>
    </r>
    <r>
      <rPr>
        <b/>
        <sz val="9"/>
        <color rgb="FFFF0000"/>
        <rFont val="맑은 고딕"/>
        <family val="3"/>
        <charset val="129"/>
      </rPr>
      <t>(1차월 포함시 6개월 선지급임)</t>
    </r>
    <phoneticPr fontId="18" type="noConversion"/>
  </si>
  <si>
    <t>3. 수수료 항목별 선지급 기준</t>
    <phoneticPr fontId="18" type="noConversion"/>
  </si>
  <si>
    <t xml:space="preserve"> ① 先지급 항목 : 신계약 관리(6개월 선지급)</t>
    <phoneticPr fontId="18" type="noConversion"/>
  </si>
  <si>
    <t xml:space="preserve"> ② 익월지급수수료항목 - 전 종목 유지수수료(신계약관리수수료) 6개월 선지급 + 판매촉진수수료 + 조기정착 수수료</t>
    <phoneticPr fontId="18" type="noConversion"/>
  </si>
  <si>
    <t>4. 유지율 적용 기준 : 18회차 IQA 유지율이 기준이며, 수수료 항목중 판매촉진 수수료를 유지율에 연동하여 지급</t>
    <phoneticPr fontId="18" type="noConversion"/>
  </si>
  <si>
    <t xml:space="preserve">5. 비고 : 상기 자료는 예시이므로 매월 마감 업적, 유지율 및 개별 상품 설계시의 실제 환산P등에 따라 추가 또는 감소되어 지급됨 </t>
    <phoneticPr fontId="18" type="noConversion"/>
  </si>
  <si>
    <t>1. 업적 관련 용어 정의</t>
    <phoneticPr fontId="18" type="noConversion"/>
  </si>
  <si>
    <t>항  목</t>
    <phoneticPr fontId="18" type="noConversion"/>
  </si>
  <si>
    <t>용어 정의</t>
    <phoneticPr fontId="18" type="noConversion"/>
  </si>
  <si>
    <t>비  고</t>
    <phoneticPr fontId="18" type="noConversion"/>
  </si>
  <si>
    <t>환산성적 (TP)</t>
    <phoneticPr fontId="18" type="noConversion"/>
  </si>
  <si>
    <t>▶ TP = 월납영수보험료 X 상품별 TP Rate
신계약 성적에 대한 상품별 비교 지표를 설정하기 위하여
월납보험료를 예정신계약비 규모에 비례하여 환산한 보험료</t>
    <phoneticPr fontId="18" type="noConversion"/>
  </si>
  <si>
    <t>▶ 모집TP : 신계약 환산 성적
▶ 모집고 : 신계약 - 보험금 지급 계약 (만기, 사망, 퇴직) - 해지
▶ 유지고 : 모집고 - 실효 - 해약 - 감액 + 부활</t>
    <phoneticPr fontId="18" type="noConversion"/>
  </si>
  <si>
    <t>GA 등급</t>
    <phoneticPr fontId="18" type="noConversion"/>
  </si>
  <si>
    <t>▶ 1, 4, 7, 10월에 직전분기 월 평균 TP 규모에 따라 등급 부여</t>
    <phoneticPr fontId="18" type="noConversion"/>
  </si>
  <si>
    <t>등급 구분</t>
    <phoneticPr fontId="18" type="noConversion"/>
  </si>
  <si>
    <t>직전분기평균TP</t>
    <phoneticPr fontId="18" type="noConversion"/>
  </si>
  <si>
    <t>28백만↑</t>
    <phoneticPr fontId="18" type="noConversion"/>
  </si>
  <si>
    <t>11백만↑</t>
    <phoneticPr fontId="18" type="noConversion"/>
  </si>
  <si>
    <t>3백만↑</t>
    <phoneticPr fontId="18" type="noConversion"/>
  </si>
  <si>
    <t>3백만↓</t>
    <phoneticPr fontId="18" type="noConversion"/>
  </si>
  <si>
    <t>상품군</t>
    <phoneticPr fontId="18" type="noConversion"/>
  </si>
  <si>
    <t>전상품</t>
    <phoneticPr fontId="18" type="noConversion"/>
  </si>
  <si>
    <t>2. 수수료 관련 기타 기준</t>
    <phoneticPr fontId="18" type="noConversion"/>
  </si>
  <si>
    <t>보험료 할인 및 선납</t>
    <phoneticPr fontId="18" type="noConversion"/>
  </si>
  <si>
    <t>▶ 보험료 할인 된 계약에 대한 수수료는 할인 후 보험료 기준으로 지급    ▶ 보험료 선납된 계약의 경우 해당월 대체분 만을 해당월 입금된 보험료로 간주하여 수수료 지급</t>
    <phoneticPr fontId="18" type="noConversion"/>
  </si>
  <si>
    <t>승환 계약</t>
    <phoneticPr fontId="18" type="noConversion"/>
  </si>
  <si>
    <t>▶ 기존계약의 해지, 해약, 실효  기준으로  6개월 전, 후 동일 계약자 또는 피보험자 명의의 기존 계약 실효, 해약, 해지 등의 사유가 발생할 경우 성적 및 수수료 100%차감</t>
    <phoneticPr fontId="18" type="noConversion"/>
  </si>
  <si>
    <t>3. 수수료 항목 및 지급 기준</t>
    <phoneticPr fontId="18" type="noConversion"/>
  </si>
  <si>
    <t>세 부  사 항</t>
    <phoneticPr fontId="18" type="noConversion"/>
  </si>
  <si>
    <t>지 급 회 차</t>
    <phoneticPr fontId="18" type="noConversion"/>
  </si>
  <si>
    <t>신계약커미션 
/ 유지커미션</t>
    <phoneticPr fontId="18" type="noConversion"/>
  </si>
  <si>
    <t>▶ 신계약 커미션 = 당월 TP X 입금회차별 지급률 (5개월 先지급)
비월납계약 : 당월 TP X 입금회차별 지급률 X 납입주기 (先지급 제외)
    단, 일시납은 TP의 415% 적용 (1회)</t>
    <phoneticPr fontId="18" type="noConversion"/>
  </si>
  <si>
    <t>입금회차별
커미션율</t>
    <phoneticPr fontId="18" type="noConversion"/>
  </si>
  <si>
    <t>구분</t>
    <phoneticPr fontId="18" type="noConversion"/>
  </si>
  <si>
    <t>1~12회차</t>
    <phoneticPr fontId="18" type="noConversion"/>
  </si>
  <si>
    <t>13~24회차</t>
    <phoneticPr fontId="18" type="noConversion"/>
  </si>
  <si>
    <t>25~36회차</t>
    <phoneticPr fontId="18" type="noConversion"/>
  </si>
  <si>
    <t>36회</t>
    <phoneticPr fontId="18" type="noConversion"/>
  </si>
  <si>
    <t>커미션율</t>
    <phoneticPr fontId="18" type="noConversion"/>
  </si>
  <si>
    <t>저축커미션율</t>
    <phoneticPr fontId="18" type="noConversion"/>
  </si>
  <si>
    <t>성과커미션 
(Performance Commossoin)</t>
    <phoneticPr fontId="18" type="noConversion"/>
  </si>
  <si>
    <t>▶ 성과커미션 = 당월 TP X 지급률 X 유지가삭감</t>
    <phoneticPr fontId="128" type="noConversion"/>
  </si>
  <si>
    <t>1회</t>
    <phoneticPr fontId="18" type="noConversion"/>
  </si>
  <si>
    <t>2~18회 통산유지율</t>
    <phoneticPr fontId="18" type="noConversion"/>
  </si>
  <si>
    <t>92% ↑</t>
    <phoneticPr fontId="18" type="noConversion"/>
  </si>
  <si>
    <t>90% ↑</t>
    <phoneticPr fontId="18" type="noConversion"/>
  </si>
  <si>
    <t>90% 미만</t>
    <phoneticPr fontId="18" type="noConversion"/>
  </si>
  <si>
    <t>신한생명</t>
    <phoneticPr fontId="100" type="noConversion"/>
  </si>
  <si>
    <t>수수료전체</t>
    <phoneticPr fontId="100" type="noConversion"/>
  </si>
  <si>
    <t>규정변경</t>
    <phoneticPr fontId="100" type="noConversion"/>
  </si>
  <si>
    <t>동부생명</t>
    <phoneticPr fontId="100" type="noConversion"/>
  </si>
  <si>
    <t>성과보너스</t>
    <phoneticPr fontId="110" type="noConversion"/>
  </si>
  <si>
    <t>항목폐지</t>
    <phoneticPr fontId="100" type="noConversion"/>
  </si>
  <si>
    <t>직전 2개월 정산P *구간별 지급률</t>
    <phoneticPr fontId="110" type="noConversion"/>
  </si>
  <si>
    <t>-</t>
    <phoneticPr fontId="100" type="noConversion"/>
  </si>
  <si>
    <t>조기정착수수료</t>
    <phoneticPr fontId="110" type="noConversion"/>
  </si>
  <si>
    <t>항목신설</t>
    <phoneticPr fontId="100" type="noConversion"/>
  </si>
  <si>
    <t>당월 정산P * 구간별 지급률</t>
    <phoneticPr fontId="100" type="noConversion"/>
  </si>
  <si>
    <t>미래에셋</t>
    <phoneticPr fontId="100" type="noConversion"/>
  </si>
  <si>
    <t>수수료 전체</t>
    <phoneticPr fontId="100" type="noConversion"/>
  </si>
  <si>
    <t>규정변경</t>
    <phoneticPr fontId="100" type="noConversion"/>
  </si>
  <si>
    <r>
      <t xml:space="preserve">미래에셋 수수료 지급 기준(15년 1월 기준) - </t>
    </r>
    <r>
      <rPr>
        <b/>
        <sz val="15"/>
        <color rgb="FFFF0000"/>
        <rFont val="맑은 고딕"/>
        <family val="3"/>
        <charset val="129"/>
      </rPr>
      <t>성과수수료 항목 최저보장</t>
    </r>
    <phoneticPr fontId="100" type="noConversion"/>
  </si>
  <si>
    <t>1. 업적 관련 용어 정의</t>
    <phoneticPr fontId="18" type="noConversion"/>
  </si>
  <si>
    <t>항  목</t>
    <phoneticPr fontId="18" type="noConversion"/>
  </si>
  <si>
    <t>용어 정의</t>
    <phoneticPr fontId="18" type="noConversion"/>
  </si>
  <si>
    <t>비  고</t>
    <phoneticPr fontId="18" type="noConversion"/>
  </si>
  <si>
    <t>납입초회보험료(납초P)</t>
    <phoneticPr fontId="18" type="noConversion"/>
  </si>
  <si>
    <t>납입 방법별 초회보험료의 합계로 순수월납P + 非월납P(일시납 포함)</t>
    <phoneticPr fontId="18" type="noConversion"/>
  </si>
  <si>
    <t>월납초회보험료(월초P)</t>
    <phoneticPr fontId="18" type="noConversion"/>
  </si>
  <si>
    <t>납입 방법이 순수 월납인 계약의 초회 보험료</t>
    <phoneticPr fontId="18" type="noConversion"/>
  </si>
  <si>
    <t>납입 방법이 순수 월납인 계약의 초회보험료</t>
    <phoneticPr fontId="18" type="noConversion"/>
  </si>
  <si>
    <t>비월납</t>
    <phoneticPr fontId="18" type="noConversion"/>
  </si>
  <si>
    <t>3월납 + 6월납 + 년납 + 일시납</t>
    <phoneticPr fontId="18" type="noConversion"/>
  </si>
  <si>
    <t>월납기준보험료</t>
    <phoneticPr fontId="18" type="noConversion"/>
  </si>
  <si>
    <t>납입방법별 초회보험료를 월납기준으로 환산한 보험료</t>
    <phoneticPr fontId="18" type="noConversion"/>
  </si>
  <si>
    <t>환산율 : 3월납 34% / 6월납 18% / 년납 9% / 일시납 2%</t>
    <phoneticPr fontId="18" type="noConversion"/>
  </si>
  <si>
    <t>▶ 납입초회 보험료 * 납입방법별 환산율</t>
    <phoneticPr fontId="18" type="noConversion"/>
  </si>
  <si>
    <t>2. 효율 관련 용어 정의</t>
    <phoneticPr fontId="18" type="noConversion"/>
  </si>
  <si>
    <t>용어 정의</t>
    <phoneticPr fontId="18" type="noConversion"/>
  </si>
  <si>
    <t>용   도</t>
    <phoneticPr fontId="18" type="noConversion"/>
  </si>
  <si>
    <t>회차 유지율</t>
    <phoneticPr fontId="18" type="noConversion"/>
  </si>
  <si>
    <t>특정회차에 산출되는 총 모집성적 대비 총 유지성적의 비율</t>
    <phoneticPr fontId="18" type="noConversion"/>
  </si>
  <si>
    <t>응당유지율 : 보험료 납입 해당월 기준</t>
    <phoneticPr fontId="18" type="noConversion"/>
  </si>
  <si>
    <t>▶ 철회, 반송, 해지, 무효, 사망보험금 지급 계약은 산출 대상에서 제외</t>
    <phoneticPr fontId="18" type="noConversion"/>
  </si>
  <si>
    <t>확정유지율 : 보험료 납입 유예월 기준</t>
    <phoneticPr fontId="18" type="noConversion"/>
  </si>
  <si>
    <t>표준 유지율</t>
    <phoneticPr fontId="18" type="noConversion"/>
  </si>
  <si>
    <t>25회 IQA 유지율 85%를 기준으로 운영</t>
    <phoneticPr fontId="18" type="noConversion"/>
  </si>
  <si>
    <t>성과수수료 평가시 적용</t>
    <phoneticPr fontId="18" type="noConversion"/>
  </si>
  <si>
    <t>▶ 영업 개시 차월 : 27차월이상 85%</t>
    <phoneticPr fontId="18" type="noConversion"/>
  </si>
  <si>
    <t>표준 IQA 유지율</t>
    <phoneticPr fontId="18" type="noConversion"/>
  </si>
  <si>
    <t>2~25회까지의 총 모집성적 계 대비 총 유지성적</t>
    <phoneticPr fontId="18" type="noConversion"/>
  </si>
  <si>
    <t>▶ IQA 유지율 = 2~25회 총 유지성적 / 2~25회 총 모집성적 * 100</t>
    <phoneticPr fontId="18" type="noConversion"/>
  </si>
  <si>
    <t>수금율</t>
    <phoneticPr fontId="18" type="noConversion"/>
  </si>
  <si>
    <t>해당월 총 수금자원 대비 수금실적의 비율</t>
    <phoneticPr fontId="18" type="noConversion"/>
  </si>
  <si>
    <t>▶ 수금율 = 수금실적/수금자원 * 100</t>
    <phoneticPr fontId="18" type="noConversion"/>
  </si>
  <si>
    <t>3. 성적 관련 용어 정의</t>
    <phoneticPr fontId="18" type="noConversion"/>
  </si>
  <si>
    <t>항  목</t>
    <phoneticPr fontId="18" type="noConversion"/>
  </si>
  <si>
    <t>용어 정의</t>
    <phoneticPr fontId="18" type="noConversion"/>
  </si>
  <si>
    <t>용 도   및   기 타</t>
    <phoneticPr fontId="18" type="noConversion"/>
  </si>
  <si>
    <t>환산성적</t>
    <phoneticPr fontId="18" type="noConversion"/>
  </si>
  <si>
    <t>상품별 월납기준보험료 * 상품별 환산율(주계약 및 특약별로 상이함)</t>
    <phoneticPr fontId="18" type="noConversion"/>
  </si>
  <si>
    <t>정산성적 평가시 적용</t>
    <phoneticPr fontId="18" type="noConversion"/>
  </si>
  <si>
    <t>정산성적</t>
    <phoneticPr fontId="18" type="noConversion"/>
  </si>
  <si>
    <t>당월 환산성적 - 미유지/해지/승환 환산성적 + 부활 환산성적</t>
    <phoneticPr fontId="18" type="noConversion"/>
  </si>
  <si>
    <t>▶ 미유지 환산성적 : 미유지계약 환산성적 * 상품군별 미유지 환수율</t>
    <phoneticPr fontId="18" type="noConversion"/>
  </si>
  <si>
    <t>상품군별 미유지 환수율 : 종신과 일반으로 구분 적용</t>
    <phoneticPr fontId="18" type="noConversion"/>
  </si>
  <si>
    <t>▶ 미유지계약 환산성적 : 전월 해약 및 감액, 당월 실효, 반송, 철회의 환산성적</t>
    <phoneticPr fontId="18" type="noConversion"/>
  </si>
  <si>
    <t>철회는 매월 18일 확정분까지 반영됨</t>
    <phoneticPr fontId="18" type="noConversion"/>
  </si>
  <si>
    <t>효율성적</t>
    <phoneticPr fontId="18" type="noConversion"/>
  </si>
  <si>
    <t>(상품별 월납기준 보험료 * 상품별 효율성적율) - 승환 효율성적</t>
    <phoneticPr fontId="18" type="noConversion"/>
  </si>
  <si>
    <t>계약관리 수수료 평가시 적용</t>
    <phoneticPr fontId="18" type="noConversion"/>
  </si>
  <si>
    <t>▶ 계약 건별 효율 성적 : 주보험 및 특약별로 부여된 성적</t>
    <phoneticPr fontId="18" type="noConversion"/>
  </si>
  <si>
    <t>승환계약</t>
    <phoneticPr fontId="17" type="noConversion"/>
  </si>
  <si>
    <t>해지, 또는 납입회차 24회차 이전 계약을 해약 후 업적월 기준으로 3개월 전후 사이에  동일 계약자 또는 피보험자 명의의 신계약 가입시 성적 및 수수료 100% 차감</t>
    <phoneticPr fontId="17" type="noConversion"/>
  </si>
  <si>
    <t>4. 수수료 항목 및 지급 기준</t>
    <phoneticPr fontId="18" type="noConversion"/>
  </si>
  <si>
    <t>항  목</t>
    <phoneticPr fontId="18" type="noConversion"/>
  </si>
  <si>
    <t>세 부 사 항</t>
    <phoneticPr fontId="18" type="noConversion"/>
  </si>
  <si>
    <t>지급 기준</t>
    <phoneticPr fontId="18" type="noConversion"/>
  </si>
  <si>
    <t>성과 수수료</t>
    <phoneticPr fontId="18" type="noConversion"/>
  </si>
  <si>
    <t xml:space="preserve">  ▶ 가산율 : 25회 IQA 유지율 기준 88%이상 5%</t>
    <phoneticPr fontId="18" type="noConversion"/>
  </si>
  <si>
    <r>
      <t>3백만↓ 200% /</t>
    </r>
    <r>
      <rPr>
        <b/>
        <sz val="9"/>
        <color rgb="FF0000FF"/>
        <rFont val="맑은 고딕"/>
        <family val="3"/>
        <charset val="129"/>
      </rPr>
      <t xml:space="preserve"> </t>
    </r>
    <r>
      <rPr>
        <sz val="9"/>
        <rFont val="맑은 고딕"/>
        <family val="3"/>
        <charset val="129"/>
      </rPr>
      <t>3백만↑ 300% / 5백만↑ 305% / 1천만↑ 315%</t>
    </r>
    <phoneticPr fontId="18" type="noConversion"/>
  </si>
  <si>
    <t xml:space="preserve">  ▶ 가감율 : 25회 IQA 유지율 기준 73%미만 -5%</t>
    <phoneticPr fontId="18" type="noConversion"/>
  </si>
  <si>
    <r>
      <rPr>
        <b/>
        <u/>
        <sz val="11"/>
        <color rgb="FF0000FF"/>
        <rFont val="맑은 고딕"/>
        <family val="3"/>
        <charset val="129"/>
      </rPr>
      <t>프라임 특별 지급구간 적용,</t>
    </r>
    <r>
      <rPr>
        <b/>
        <u/>
        <sz val="11"/>
        <color rgb="FFFF0000"/>
        <rFont val="맑은 고딕"/>
        <family val="3"/>
        <charset val="129"/>
      </rPr>
      <t xml:space="preserve"> 320% 보장지급</t>
    </r>
    <phoneticPr fontId="17" type="noConversion"/>
  </si>
  <si>
    <t>계약관리 수수료</t>
    <phoneticPr fontId="18" type="noConversion"/>
  </si>
  <si>
    <t xml:space="preserve"> ▶ 기본지급 : 당월 효율 성적 * 상품군별 지급률</t>
    <phoneticPr fontId="100" type="noConversion"/>
  </si>
  <si>
    <t>▶ 상품군별 지급률 : 종신 36% / 보장성 , 연금 33% / 기타 27%</t>
    <phoneticPr fontId="17" type="noConversion"/>
  </si>
  <si>
    <t xml:space="preserve"> ▶ 추가지급 : 분급회차 종료 후 지급 / 1회분 효율성적 * 10% 
(지급회차 : 종신 7회 / 보장,연금,기타 6회)</t>
    <phoneticPr fontId="100" type="noConversion"/>
  </si>
  <si>
    <t>유지수수료</t>
    <phoneticPr fontId="18" type="noConversion"/>
  </si>
  <si>
    <t>저축성(연금포함) 상품에 한해 지급</t>
    <phoneticPr fontId="18" type="noConversion"/>
  </si>
  <si>
    <t>"변액적립보험 진심의차이"
수수료규정</t>
    <phoneticPr fontId="18" type="noConversion"/>
  </si>
  <si>
    <r>
      <t xml:space="preserve">유지수수료만 지급 / 매월 입금보험료에 월지급성적을 곱하여 산출, 유지회차 내 지급(최대 84회차 입금까지)
▶지급기준 :  입금보험료 * 월지급성적 * </t>
    </r>
    <r>
      <rPr>
        <sz val="9"/>
        <color rgb="FFFF0000"/>
        <rFont val="맑은 고딕"/>
        <family val="3"/>
        <charset val="129"/>
      </rPr>
      <t>지급율(130%)</t>
    </r>
    <r>
      <rPr>
        <sz val="9"/>
        <rFont val="맑은 고딕"/>
        <family val="3"/>
        <charset val="129"/>
      </rPr>
      <t xml:space="preserve">
(월지급성적은 환산율표에서 확인)</t>
    </r>
    <phoneticPr fontId="100" type="noConversion"/>
  </si>
  <si>
    <t>※ 아래 예시 외 상품(또는 납기 등 다른 기준)은 &lt;팜스 공지사항 → 업무공지&gt; "환산" 자료를 참조하여 활용하시기 바랍니다. (상품의 환산율이 변경될 시 테이블 금액 및 수수료 지급액은 달라질 수 있습니다.)</t>
    <phoneticPr fontId="100" type="noConversion"/>
  </si>
  <si>
    <t>상품명</t>
    <phoneticPr fontId="18" type="noConversion"/>
  </si>
  <si>
    <t>지급횟수</t>
    <phoneticPr fontId="18" type="noConversion"/>
  </si>
  <si>
    <t>기준</t>
    <phoneticPr fontId="18" type="noConversion"/>
  </si>
  <si>
    <t>성과수수료</t>
    <phoneticPr fontId="18" type="noConversion"/>
  </si>
  <si>
    <t>계약관리(27%∼36%)</t>
    <phoneticPr fontId="18" type="noConversion"/>
  </si>
  <si>
    <t>유지수수료(영수P*지급률)</t>
    <phoneticPr fontId="18" type="noConversion"/>
  </si>
  <si>
    <t>본사수수료</t>
    <phoneticPr fontId="18" type="noConversion"/>
  </si>
  <si>
    <t>본부장</t>
    <phoneticPr fontId="18" type="noConversion"/>
  </si>
  <si>
    <t>인증지점장</t>
    <phoneticPr fontId="18" type="noConversion"/>
  </si>
  <si>
    <t>일반지점장</t>
    <phoneticPr fontId="18" type="noConversion"/>
  </si>
  <si>
    <t>팀장</t>
    <phoneticPr fontId="18" type="noConversion"/>
  </si>
  <si>
    <t>위촉FC</t>
    <phoneticPr fontId="18" type="noConversion"/>
  </si>
  <si>
    <t>기준</t>
    <phoneticPr fontId="17" type="noConversion"/>
  </si>
  <si>
    <t>환산</t>
    <phoneticPr fontId="18" type="noConversion"/>
  </si>
  <si>
    <t>효율</t>
    <phoneticPr fontId="18" type="noConversion"/>
  </si>
  <si>
    <t>유지</t>
    <phoneticPr fontId="18" type="noConversion"/>
  </si>
  <si>
    <t>계약 /Over</t>
    <phoneticPr fontId="18" type="noConversion"/>
  </si>
  <si>
    <t>유지</t>
    <phoneticPr fontId="18" type="noConversion"/>
  </si>
  <si>
    <r>
      <rPr>
        <b/>
        <sz val="9"/>
        <color rgb="FFFF0000"/>
        <rFont val="맑은 고딕"/>
        <family val="3"/>
        <charset val="129"/>
      </rPr>
      <t>주계약</t>
    </r>
    <r>
      <rPr>
        <sz val="9"/>
        <rFont val="맑은 고딕"/>
        <family val="3"/>
        <charset val="129"/>
      </rPr>
      <t xml:space="preserve">
월납P</t>
    </r>
    <phoneticPr fontId="18" type="noConversion"/>
  </si>
  <si>
    <t>환산P</t>
    <phoneticPr fontId="18" type="noConversion"/>
  </si>
  <si>
    <t>효율P</t>
    <phoneticPr fontId="18" type="noConversion"/>
  </si>
  <si>
    <t>1회</t>
    <phoneticPr fontId="18" type="noConversion"/>
  </si>
  <si>
    <t>초년도</t>
    <phoneticPr fontId="18" type="noConversion"/>
  </si>
  <si>
    <t>2차년</t>
    <phoneticPr fontId="18" type="noConversion"/>
  </si>
  <si>
    <t>추가지급</t>
    <phoneticPr fontId="100" type="noConversion"/>
  </si>
  <si>
    <t>익월</t>
    <phoneticPr fontId="18" type="noConversion"/>
  </si>
  <si>
    <t>1차년</t>
    <phoneticPr fontId="18" type="noConversion"/>
  </si>
  <si>
    <t>2차년</t>
    <phoneticPr fontId="18" type="noConversion"/>
  </si>
  <si>
    <t>3차년</t>
    <phoneticPr fontId="18" type="noConversion"/>
  </si>
  <si>
    <t>익월</t>
    <phoneticPr fontId="18" type="noConversion"/>
  </si>
  <si>
    <t>1차년
(익월포함)</t>
    <phoneticPr fontId="18" type="noConversion"/>
  </si>
  <si>
    <t>총계</t>
    <phoneticPr fontId="18" type="noConversion"/>
  </si>
  <si>
    <t>익월</t>
    <phoneticPr fontId="18" type="noConversion"/>
  </si>
  <si>
    <t>1차년
(익월포함)</t>
    <phoneticPr fontId="18" type="noConversion"/>
  </si>
  <si>
    <t>총계</t>
    <phoneticPr fontId="18" type="noConversion"/>
  </si>
  <si>
    <t>익월</t>
    <phoneticPr fontId="18" type="noConversion"/>
  </si>
  <si>
    <t>1차년
(익월포함)</t>
    <phoneticPr fontId="18" type="noConversion"/>
  </si>
  <si>
    <t>총계</t>
    <phoneticPr fontId="18" type="noConversion"/>
  </si>
  <si>
    <t>익월</t>
    <phoneticPr fontId="18" type="noConversion"/>
  </si>
  <si>
    <t>1차년
(익월포함)</t>
    <phoneticPr fontId="18" type="noConversion"/>
  </si>
  <si>
    <t>총계</t>
    <phoneticPr fontId="18" type="noConversion"/>
  </si>
  <si>
    <t>익월</t>
    <phoneticPr fontId="18" type="noConversion"/>
  </si>
  <si>
    <t>1차년
(익월포함)</t>
    <phoneticPr fontId="18" type="noConversion"/>
  </si>
  <si>
    <t>1차년
(익월포함)</t>
    <phoneticPr fontId="18" type="noConversion"/>
  </si>
  <si>
    <t>총계</t>
    <phoneticPr fontId="18" type="noConversion"/>
  </si>
  <si>
    <t>파워스텝업변액연금보험(무)1501</t>
    <phoneticPr fontId="17" type="noConversion"/>
  </si>
  <si>
    <t>10년납</t>
    <phoneticPr fontId="17" type="noConversion"/>
  </si>
  <si>
    <t>미래에셋생명연금보험(무)1501</t>
    <phoneticPr fontId="17" type="noConversion"/>
  </si>
  <si>
    <t>10년납</t>
    <phoneticPr fontId="17" type="noConversion"/>
  </si>
  <si>
    <t>연금전환되는 종신보험(무)1501</t>
    <phoneticPr fontId="17" type="noConversion"/>
  </si>
  <si>
    <t>-</t>
    <phoneticPr fontId="17" type="noConversion"/>
  </si>
  <si>
    <t>20년납</t>
    <phoneticPr fontId="17" type="noConversion"/>
  </si>
  <si>
    <t>-</t>
    <phoneticPr fontId="17" type="noConversion"/>
  </si>
  <si>
    <t>파워Rich저축보험(무)1501</t>
    <phoneticPr fontId="17" type="noConversion"/>
  </si>
  <si>
    <t>12년납</t>
    <phoneticPr fontId="17" type="noConversion"/>
  </si>
  <si>
    <t>예방하자암보험(무)1501_ 순수보장형</t>
    <phoneticPr fontId="100" type="noConversion"/>
  </si>
  <si>
    <t>-</t>
    <phoneticPr fontId="100" type="noConversion"/>
  </si>
  <si>
    <t>20년납</t>
    <phoneticPr fontId="17" type="noConversion"/>
  </si>
  <si>
    <t>-</t>
    <phoneticPr fontId="100" type="noConversion"/>
  </si>
  <si>
    <t>미래에셋생명변액적립보험(무)1501 진심의차이</t>
    <phoneticPr fontId="17" type="noConversion"/>
  </si>
  <si>
    <t>-</t>
    <phoneticPr fontId="100" type="noConversion"/>
  </si>
  <si>
    <t>3년납</t>
    <phoneticPr fontId="100" type="noConversion"/>
  </si>
  <si>
    <t>미래에셋 통합종신보험1501</t>
    <phoneticPr fontId="100" type="noConversion"/>
  </si>
  <si>
    <t>-</t>
    <phoneticPr fontId="17" type="noConversion"/>
  </si>
  <si>
    <t>일시납</t>
    <phoneticPr fontId="17" type="noConversion"/>
  </si>
  <si>
    <t>-</t>
    <phoneticPr fontId="17" type="noConversion"/>
  </si>
  <si>
    <t>미래에셋 즉시연금보험(무)1501</t>
    <phoneticPr fontId="17" type="noConversion"/>
  </si>
  <si>
    <t>일시납</t>
    <phoneticPr fontId="17" type="noConversion"/>
  </si>
  <si>
    <t>파워Rich저축보험(무)1501</t>
    <phoneticPr fontId="17" type="noConversion"/>
  </si>
  <si>
    <t>일시납</t>
    <phoneticPr fontId="17" type="noConversion"/>
  </si>
  <si>
    <t>-</t>
    <phoneticPr fontId="17" type="noConversion"/>
  </si>
  <si>
    <t xml:space="preserve"> &lt; 세부 사항 안내 &gt;</t>
    <phoneticPr fontId="18" type="noConversion"/>
  </si>
  <si>
    <t>1. 작성 기준</t>
    <phoneticPr fontId="18" type="noConversion"/>
  </si>
  <si>
    <t xml:space="preserve"> ① 최저 보장제 적용 : 성과수수료는  프라임 특별 지급구간 320%를 최저보장함 (유지율연동하여 -5%삭감가능 :  유지율 73% 미달시 성과수수료 315% 보장)</t>
    <phoneticPr fontId="18" type="noConversion"/>
  </si>
  <si>
    <t>2. 수수료 항목별 익월 지급 기준 : 성과 수수료 , 계약 관리 수수료 ▶ 총 2개 항목</t>
    <phoneticPr fontId="18" type="noConversion"/>
  </si>
  <si>
    <t xml:space="preserve"> ▶ 성과 수수료 - 정산P의 320%(프라임지급구간) +  계약관리 수수료 (효율P의 27% ~ 36%)</t>
    <phoneticPr fontId="18" type="noConversion"/>
  </si>
  <si>
    <t xml:space="preserve"> ▶ 상품군별 계약 관리 수수료 : 종신 36%,  연금, 보장성 33% , 기타 전 종목 27%</t>
    <phoneticPr fontId="18" type="noConversion"/>
  </si>
  <si>
    <t>3. 유지수수료 지급 기준</t>
    <phoneticPr fontId="18" type="noConversion"/>
  </si>
  <si>
    <t xml:space="preserve"> ▶ 저축성(연금포함) 상품에 한하여 1~36회 분할지급 (7회 , 13회 , 14회 이후 매달 지급)</t>
    <phoneticPr fontId="18" type="noConversion"/>
  </si>
  <si>
    <t xml:space="preserve"> ▶ 월납보험료 * 지급률(1.0%~3.5%)</t>
    <phoneticPr fontId="18" type="noConversion"/>
  </si>
  <si>
    <t xml:space="preserve"> ▶ 진심의차이 : 월입금보험료 * 지급성적(2%~3.6%) * 130%</t>
    <phoneticPr fontId="18" type="noConversion"/>
  </si>
  <si>
    <t xml:space="preserve">4. 유지율 적용 기준 : 성과 수수료 항목에 연동하여 지급됨 </t>
    <phoneticPr fontId="18" type="noConversion"/>
  </si>
  <si>
    <t xml:space="preserve">5. 비고 : 상기 자료는 예시이므로 매월 마감 업적, 유지율 및 개별 상품 설계시의 실제 환산P등에 따라 추가 또는 감소되어 지급됨 </t>
    <phoneticPr fontId="18" type="noConversion"/>
  </si>
  <si>
    <r>
      <t>미래에셋 수수료 지급 세부 기준(15년 1월 기준) -</t>
    </r>
    <r>
      <rPr>
        <b/>
        <sz val="15"/>
        <color rgb="FFFF0000"/>
        <rFont val="맑은 고딕"/>
        <family val="3"/>
        <charset val="129"/>
      </rPr>
      <t xml:space="preserve"> 성과수수료 항목 최저보장</t>
    </r>
    <phoneticPr fontId="100" type="noConversion"/>
  </si>
  <si>
    <t>총환산월초</t>
    <phoneticPr fontId="18" type="noConversion"/>
  </si>
  <si>
    <t>현금흐름방식에 의거 산출된 상품별 비용 재원에 비례한 성적</t>
    <phoneticPr fontId="18" type="noConversion"/>
  </si>
  <si>
    <t>환산월초 = 월납기준보험료 * 계약별환산율</t>
    <phoneticPr fontId="17" type="noConversion"/>
  </si>
  <si>
    <t>월납환산보험료</t>
    <phoneticPr fontId="18" type="noConversion"/>
  </si>
  <si>
    <t>납입방법별 초회보험료를 월납기준으로 환산한 보험료
(신계약 초회보험료 * 납방별환산율)</t>
    <phoneticPr fontId="18" type="noConversion"/>
  </si>
  <si>
    <t>구분</t>
    <phoneticPr fontId="18" type="noConversion"/>
  </si>
  <si>
    <t>월납</t>
    <phoneticPr fontId="18" type="noConversion"/>
  </si>
  <si>
    <t>3개월납</t>
    <phoneticPr fontId="18" type="noConversion"/>
  </si>
  <si>
    <t>6개월납</t>
    <phoneticPr fontId="18" type="noConversion"/>
  </si>
  <si>
    <t>연납</t>
    <phoneticPr fontId="18" type="noConversion"/>
  </si>
  <si>
    <t>환산율</t>
    <phoneticPr fontId="18" type="noConversion"/>
  </si>
  <si>
    <t>2~18회 통산유지율</t>
    <phoneticPr fontId="18" type="noConversion"/>
  </si>
  <si>
    <t>(유예)2~18회 유지계약 월납환산P 합산 ÷ (유예)2~18회 모집계약 월납환산P 합산 * 100%
청약철회, 해지, 무효, 취소, 보험금 지급 후 종료된 계약은 모집 및 유지실적에서 제외 후 산출</t>
    <phoneticPr fontId="18" type="noConversion"/>
  </si>
  <si>
    <t>GA 등급</t>
    <phoneticPr fontId="18" type="noConversion"/>
  </si>
  <si>
    <t>직전 3개월 평균 당월총환산월초 규모에 따라 분류
(마감후 청약철회, 품보해지 등 차감 반영)</t>
    <phoneticPr fontId="18" type="noConversion"/>
  </si>
  <si>
    <t>등급</t>
    <phoneticPr fontId="18" type="noConversion"/>
  </si>
  <si>
    <t>1등급</t>
    <phoneticPr fontId="18" type="noConversion"/>
  </si>
  <si>
    <t>2등급</t>
    <phoneticPr fontId="18" type="noConversion"/>
  </si>
  <si>
    <t>3등급</t>
    <phoneticPr fontId="18" type="noConversion"/>
  </si>
  <si>
    <t>4등급</t>
    <phoneticPr fontId="18" type="noConversion"/>
  </si>
  <si>
    <t>5등급</t>
    <phoneticPr fontId="18" type="noConversion"/>
  </si>
  <si>
    <t>35백만↑</t>
    <phoneticPr fontId="100" type="noConversion"/>
  </si>
  <si>
    <t>25백만↑</t>
    <phoneticPr fontId="100" type="noConversion"/>
  </si>
  <si>
    <t>15백만↑</t>
    <phoneticPr fontId="18" type="noConversion"/>
  </si>
  <si>
    <t>7백만↑</t>
    <phoneticPr fontId="18" type="noConversion"/>
  </si>
  <si>
    <t>7백만미만</t>
    <phoneticPr fontId="18" type="noConversion"/>
  </si>
  <si>
    <t>대체(승환) 계약</t>
    <phoneticPr fontId="18" type="noConversion"/>
  </si>
  <si>
    <t>업적월 기준으로 6개월 전후 사이에, 동일계약자 또는 (종)피보험자 명의의 계약이 실효,해약,감액된 경우 성적 및 수수료 100% 차감</t>
    <phoneticPr fontId="18" type="noConversion"/>
  </si>
  <si>
    <t>3. 수수료 항목 및 지급 기준</t>
    <phoneticPr fontId="18" type="noConversion"/>
  </si>
  <si>
    <t>세 부  사 항</t>
    <phoneticPr fontId="18" type="noConversion"/>
  </si>
  <si>
    <t>초년도수수료 (FYC)</t>
    <phoneticPr fontId="18" type="noConversion"/>
  </si>
  <si>
    <r>
      <rPr>
        <sz val="9"/>
        <color rgb="FF0000FF"/>
        <rFont val="맑은 고딕"/>
        <family val="3"/>
        <charset val="129"/>
      </rPr>
      <t xml:space="preserve">     1회 : </t>
    </r>
    <r>
      <rPr>
        <sz val="9"/>
        <rFont val="맑은 고딕"/>
        <family val="3"/>
        <charset val="129"/>
      </rPr>
      <t xml:space="preserve">총환산월초 * 120% * 1회 (1~5회 先지급)
     </t>
    </r>
    <r>
      <rPr>
        <sz val="9"/>
        <color rgb="FF0000FF"/>
        <rFont val="맑은 고딕"/>
        <family val="3"/>
        <charset val="129"/>
      </rPr>
      <t xml:space="preserve">6~12회 : </t>
    </r>
    <r>
      <rPr>
        <sz val="9"/>
        <rFont val="맑은 고딕"/>
        <family val="3"/>
        <charset val="129"/>
      </rPr>
      <t>총환산월초 * 24% * 7회</t>
    </r>
    <phoneticPr fontId="18" type="noConversion"/>
  </si>
  <si>
    <t xml:space="preserve">    비월납의 경우 : 총환산월초 * 월납수수료율 * 비월납개월수
    ※ 일시납은 별도 산출
    ※ 월납수수료율은 '초년도 고객관리수수료' 지급률 적용하되,
        1~5회 월납수수료율 24% 적용</t>
    <phoneticPr fontId="18" type="noConversion"/>
  </si>
  <si>
    <t>2차년도이후수수료 (RC)</t>
    <phoneticPr fontId="18" type="noConversion"/>
  </si>
  <si>
    <r>
      <rPr>
        <sz val="9"/>
        <color rgb="FF0000FF"/>
        <rFont val="맑은 고딕"/>
        <family val="3"/>
        <charset val="129"/>
      </rPr>
      <t xml:space="preserve">    13~24회 :</t>
    </r>
    <r>
      <rPr>
        <sz val="9"/>
        <rFont val="맑은 고딕"/>
        <family val="3"/>
        <charset val="129"/>
      </rPr>
      <t xml:space="preserve"> 총환산월초 * 12.5% * 12회
    </t>
    </r>
    <r>
      <rPr>
        <sz val="9"/>
        <color rgb="FF0000FF"/>
        <rFont val="맑은 고딕"/>
        <family val="3"/>
        <charset val="129"/>
      </rPr>
      <t>25~36회(보장외) :</t>
    </r>
    <r>
      <rPr>
        <sz val="9"/>
        <rFont val="맑은 고딕"/>
        <family val="3"/>
        <charset val="129"/>
      </rPr>
      <t xml:space="preserve"> 총환산월초 * 8% * 12회
    </t>
    </r>
    <r>
      <rPr>
        <sz val="9"/>
        <color rgb="FF0000FF"/>
        <rFont val="맑은 고딕"/>
        <family val="3"/>
        <charset val="129"/>
      </rPr>
      <t>25~36회(보장) :</t>
    </r>
    <r>
      <rPr>
        <sz val="9"/>
        <rFont val="맑은 고딕"/>
        <family val="3"/>
        <charset val="129"/>
      </rPr>
      <t xml:space="preserve"> 총환산월초 * 10% * 12회</t>
    </r>
    <phoneticPr fontId="18" type="noConversion"/>
  </si>
  <si>
    <t>생산성보너스</t>
    <phoneticPr fontId="18" type="noConversion"/>
  </si>
  <si>
    <r>
      <t>총환산월초 * 지급률
(GA등급과 총환산월초 중 유리한 지급률로 적용)</t>
    </r>
    <r>
      <rPr>
        <sz val="9"/>
        <color rgb="FFFF0000"/>
        <rFont val="맑은 고딕"/>
        <family val="3"/>
        <charset val="129"/>
      </rPr>
      <t/>
    </r>
    <phoneticPr fontId="17" type="noConversion"/>
  </si>
  <si>
    <t>GA등급</t>
    <phoneticPr fontId="18" type="noConversion"/>
  </si>
  <si>
    <t>2~18회 통산유지율에 따른 지급률 가삭감 적용</t>
    <phoneticPr fontId="100" type="noConversion"/>
  </si>
  <si>
    <t>통산유지율</t>
    <phoneticPr fontId="100" type="noConversion"/>
  </si>
  <si>
    <t>94%↑</t>
    <phoneticPr fontId="100" type="noConversion"/>
  </si>
  <si>
    <t>90%↑</t>
    <phoneticPr fontId="100" type="noConversion"/>
  </si>
  <si>
    <t>86%↑</t>
    <phoneticPr fontId="100" type="noConversion"/>
  </si>
  <si>
    <t>82%↑</t>
    <phoneticPr fontId="100" type="noConversion"/>
  </si>
  <si>
    <t>82%미만</t>
    <phoneticPr fontId="100" type="noConversion"/>
  </si>
  <si>
    <t>적용률</t>
    <phoneticPr fontId="100" type="noConversion"/>
  </si>
  <si>
    <t>※ 아래 예시 외 상품(또는 납기 등 다른 기준)은 &lt;팜스 공지사항 → 업무공지&gt; "환산" 자료를 참조하여 활용하시기 바랍니다. (상품의 환산율이 변경될 시 테이블 금액 및 수수료 지급액은 달라질 수 있습니다.)</t>
    <phoneticPr fontId="100" type="noConversion"/>
  </si>
  <si>
    <t>상품명</t>
    <phoneticPr fontId="18" type="noConversion"/>
  </si>
  <si>
    <r>
      <rPr>
        <b/>
        <sz val="9"/>
        <color rgb="FFFF0000"/>
        <rFont val="맑은 고딕"/>
        <family val="3"/>
        <charset val="129"/>
      </rPr>
      <t>주계약</t>
    </r>
    <r>
      <rPr>
        <sz val="9"/>
        <rFont val="맑은 고딕"/>
        <family val="3"/>
        <charset val="129"/>
      </rPr>
      <t xml:space="preserve">
월납P</t>
    </r>
    <phoneticPr fontId="18" type="noConversion"/>
  </si>
  <si>
    <t>RC(2차년~)</t>
    <phoneticPr fontId="17" type="noConversion"/>
  </si>
  <si>
    <t>생산성보너스</t>
    <phoneticPr fontId="18" type="noConversion"/>
  </si>
  <si>
    <t>본사수수료</t>
    <phoneticPr fontId="18" type="noConversion"/>
  </si>
  <si>
    <t>본부장</t>
    <phoneticPr fontId="18" type="noConversion"/>
  </si>
  <si>
    <t>인증지점장</t>
    <phoneticPr fontId="17" type="noConversion"/>
  </si>
  <si>
    <t>팀장</t>
    <phoneticPr fontId="18" type="noConversion"/>
  </si>
  <si>
    <t>위촉FC</t>
    <phoneticPr fontId="18" type="noConversion"/>
  </si>
  <si>
    <t>기준</t>
    <phoneticPr fontId="18" type="noConversion"/>
  </si>
  <si>
    <t>모집수수료
(1~5회先)</t>
    <phoneticPr fontId="17" type="noConversion"/>
  </si>
  <si>
    <t>6~12회
합계</t>
    <phoneticPr fontId="17" type="noConversion"/>
  </si>
  <si>
    <t>13~24회
합계</t>
    <phoneticPr fontId="17" type="noConversion"/>
  </si>
  <si>
    <t>25~36회
합계</t>
    <phoneticPr fontId="17" type="noConversion"/>
  </si>
  <si>
    <t>익월</t>
    <phoneticPr fontId="18" type="noConversion"/>
  </si>
  <si>
    <t>1차년
(익월포함)</t>
    <phoneticPr fontId="18" type="noConversion"/>
  </si>
  <si>
    <t>총계</t>
    <phoneticPr fontId="18" type="noConversion"/>
  </si>
  <si>
    <t>1차년
(익월포함)</t>
    <phoneticPr fontId="18" type="noConversion"/>
  </si>
  <si>
    <t>한화생명변액연금보험</t>
    <phoneticPr fontId="18" type="noConversion"/>
  </si>
  <si>
    <t>변액연금 / 10년납↑</t>
    <phoneticPr fontId="18" type="noConversion"/>
  </si>
  <si>
    <t>The따뜻한Free연금보험</t>
    <phoneticPr fontId="100" type="noConversion"/>
  </si>
  <si>
    <t>일반연금 / 10년납↑(100만↑)</t>
    <phoneticPr fontId="18" type="noConversion"/>
  </si>
  <si>
    <t>트리플라이프연금</t>
    <phoneticPr fontId="17" type="noConversion"/>
  </si>
  <si>
    <t>연금저축 하이드림연금보험</t>
    <phoneticPr fontId="17" type="noConversion"/>
  </si>
  <si>
    <t>일반연금(세제적격) / 10년납↑</t>
    <phoneticPr fontId="18" type="noConversion"/>
  </si>
  <si>
    <t>변액유니버셜적립Ⅱ보험</t>
    <phoneticPr fontId="17" type="noConversion"/>
  </si>
  <si>
    <t>저축 / 12년의무납입형</t>
    <phoneticPr fontId="18" type="noConversion"/>
  </si>
  <si>
    <t>스마트통합종신보험</t>
    <phoneticPr fontId="18" type="noConversion"/>
  </si>
  <si>
    <t>종신 / 20년납↑</t>
    <phoneticPr fontId="17" type="noConversion"/>
  </si>
  <si>
    <t>한화생명여성CI보험</t>
    <phoneticPr fontId="100" type="noConversion"/>
  </si>
  <si>
    <t>The따뜻한실버암보험</t>
    <phoneticPr fontId="18" type="noConversion"/>
  </si>
  <si>
    <t>보장 / 비일시납</t>
    <phoneticPr fontId="18" type="noConversion"/>
  </si>
  <si>
    <t>The따뜻한한화생명정기보험</t>
    <phoneticPr fontId="18" type="noConversion"/>
  </si>
  <si>
    <t>보장 / 1종순수형</t>
    <phoneticPr fontId="18" type="noConversion"/>
  </si>
  <si>
    <t>리치바로연금보험</t>
    <phoneticPr fontId="17" type="noConversion"/>
  </si>
  <si>
    <t>-</t>
    <phoneticPr fontId="17" type="noConversion"/>
  </si>
  <si>
    <t>일시납</t>
    <phoneticPr fontId="18" type="noConversion"/>
  </si>
  <si>
    <t>플러스저축보험</t>
    <phoneticPr fontId="17" type="noConversion"/>
  </si>
  <si>
    <t xml:space="preserve"> ① 최저 보장제 미적용 : 총환산월초, 유지율 및 기타 조건은 실제 지급 기준과 연동하여 적용 / 예시 기준은 GA등급 1등급(총환산월초 35백만↑), 유지율 82%↑구간 반영하여 적용</t>
    <phoneticPr fontId="18" type="noConversion"/>
  </si>
  <si>
    <t xml:space="preserve"> ② 환산 기준 : 납기에 따른 주계약의 월납영수보험료를 기준으로 예시하였으며, 실제 설계시 보험료 및 특약별로 적용되는 환산이 다를 수 있으므로, 정확한 환산은 팜스에 공지되어 있는 상품별 환산 자료 참조 요망</t>
    <phoneticPr fontId="18" type="noConversion"/>
  </si>
  <si>
    <t>2. 유지수수료 익월 先지급 기준 : FYC 항목에 한하여 전 종목 4개월(1~5회) 先지급</t>
    <phoneticPr fontId="18" type="noConversion"/>
  </si>
  <si>
    <t>3. 수수료 항목별 익월 지급 기준 : FYC(관리수수료) 5개월 + 생산성보너스 ▶ 총 2개 항목</t>
    <phoneticPr fontId="18" type="noConversion"/>
  </si>
  <si>
    <t>4. 유지율 적용 기준 : 18회차 통산유지율을 관리하며 수수료 항목 중 유지보너스 항목에 연동하여 지급함</t>
    <phoneticPr fontId="18" type="noConversion"/>
  </si>
  <si>
    <t>5. 비고 : 상기 자료는 예시이므로 매월 마감 업적, 유지율 및 개별 상품 설계시의 실제 환산P등에 따라 추가 또는 감소되어 지급될 수 있습니다.</t>
    <phoneticPr fontId="18" type="noConversion"/>
  </si>
  <si>
    <t>알리안츠생명</t>
    <phoneticPr fontId="100" type="noConversion"/>
  </si>
  <si>
    <t>수수료규정</t>
    <phoneticPr fontId="100" type="noConversion"/>
  </si>
  <si>
    <t>1. 성적 관련 용어 정의</t>
    <phoneticPr fontId="18" type="noConversion"/>
  </si>
  <si>
    <t>환산성적</t>
    <phoneticPr fontId="18" type="noConversion"/>
  </si>
  <si>
    <t>월납환산보험료 * 상품별 초년도 환산율</t>
    <phoneticPr fontId="100" type="noConversion"/>
  </si>
  <si>
    <t>정산성적</t>
    <phoneticPr fontId="18" type="noConversion"/>
  </si>
  <si>
    <t>초년도 정산성적 - 환수환산성적 + 부활환산성적</t>
    <phoneticPr fontId="100" type="noConversion"/>
  </si>
  <si>
    <t>2. 수수료 관련 기타 기준</t>
    <phoneticPr fontId="18" type="noConversion"/>
  </si>
  <si>
    <t>규정</t>
    <phoneticPr fontId="18" type="noConversion"/>
  </si>
  <si>
    <t>승환</t>
    <phoneticPr fontId="18" type="noConversion"/>
  </si>
  <si>
    <r>
      <t xml:space="preserve">동일계약자나 동일 피보험자의 계약으로, 기 계약 해약 후 해약 월 포함 7개월 이내에 성립된 신계약 또는 신계약 체결 후 신계약월 포함 7개월 이내에 기계약이 해약된 경우
</t>
    </r>
    <r>
      <rPr>
        <b/>
        <sz val="9"/>
        <color rgb="FFFF0000"/>
        <rFont val="맑은 고딕"/>
        <family val="3"/>
        <charset val="129"/>
      </rPr>
      <t>승환계약으로 판명시 성적 및 수수료 100% 차감</t>
    </r>
    <phoneticPr fontId="18" type="noConversion"/>
  </si>
  <si>
    <t>세부사항</t>
    <phoneticPr fontId="18" type="noConversion"/>
  </si>
  <si>
    <t>비고</t>
  </si>
  <si>
    <t>계약수수료</t>
    <phoneticPr fontId="18" type="noConversion"/>
  </si>
  <si>
    <t xml:space="preserve">▶초년도 환산성적 / 12 </t>
    <phoneticPr fontId="18" type="noConversion"/>
  </si>
  <si>
    <t>익월지급</t>
  </si>
  <si>
    <t>유지수수료</t>
    <phoneticPr fontId="100" type="noConversion"/>
  </si>
  <si>
    <t>▶유지수수료 : 환산성적 / 12 의 금액을 보험료 입금 시 지급(2~36회 지급)</t>
    <phoneticPr fontId="18" type="noConversion"/>
  </si>
  <si>
    <t xml:space="preserve"> 2~6회 익월선지급</t>
  </si>
  <si>
    <t>성과수수료</t>
    <phoneticPr fontId="18" type="noConversion"/>
  </si>
  <si>
    <t>▶ 지급기준 : 초년도 정산성적 * 지급률 (환산성적 지급률+유지율지표달성 지급률)
※유지율지표 달성 지급률은 통산유지율에 따라 변동, 지표 미달성시 지급률 미반영</t>
    <phoneticPr fontId="100" type="noConversion"/>
  </si>
  <si>
    <t>환산성적</t>
    <phoneticPr fontId="100" type="noConversion"/>
  </si>
  <si>
    <t>22백만↓</t>
    <phoneticPr fontId="100" type="noConversion"/>
  </si>
  <si>
    <t>22백만↑</t>
    <phoneticPr fontId="100" type="noConversion"/>
  </si>
  <si>
    <t>68백만↑</t>
    <phoneticPr fontId="100" type="noConversion"/>
  </si>
  <si>
    <t>115백만↑</t>
    <phoneticPr fontId="100" type="noConversion"/>
  </si>
  <si>
    <t>비보장성</t>
    <phoneticPr fontId="100" type="noConversion"/>
  </si>
  <si>
    <t>보장성</t>
    <phoneticPr fontId="100" type="noConversion"/>
  </si>
  <si>
    <t>7회통산</t>
    <phoneticPr fontId="100" type="noConversion"/>
  </si>
  <si>
    <t>13회통산</t>
    <phoneticPr fontId="100" type="noConversion"/>
  </si>
  <si>
    <t>18회통산</t>
    <phoneticPr fontId="100" type="noConversion"/>
  </si>
  <si>
    <t>25회통산</t>
    <phoneticPr fontId="100" type="noConversion"/>
  </si>
  <si>
    <t>지급률</t>
    <phoneticPr fontId="100" type="noConversion"/>
  </si>
  <si>
    <t>지표</t>
    <phoneticPr fontId="100" type="noConversion"/>
  </si>
  <si>
    <t>95%↑</t>
    <phoneticPr fontId="100" type="noConversion"/>
  </si>
  <si>
    <t>91%↑</t>
    <phoneticPr fontId="100" type="noConversion"/>
  </si>
  <si>
    <t>87%↑</t>
    <phoneticPr fontId="100" type="noConversion"/>
  </si>
  <si>
    <t>83%↑</t>
    <phoneticPr fontId="100" type="noConversion"/>
  </si>
  <si>
    <t>98%↑</t>
    <phoneticPr fontId="100" type="noConversion"/>
  </si>
  <si>
    <t>※ 아래 예시 외 상품(또는 납기 등 다른 기준)은 &lt;팜스 공지게시판 → 자료실 → 생보업무팀&gt; "환산" 자료를 참조하여 활용하시기 바랍니다. (상품의 환산율이 변경될 시 테이블 금액 및 수수료 지급액은 달라질 수 있습니다.)</t>
    <phoneticPr fontId="110" type="noConversion"/>
  </si>
  <si>
    <t>환산성적</t>
    <phoneticPr fontId="100" type="noConversion"/>
  </si>
  <si>
    <t>계약수수료</t>
    <phoneticPr fontId="100" type="noConversion"/>
  </si>
  <si>
    <t>유지수수료</t>
    <phoneticPr fontId="100" type="noConversion"/>
  </si>
  <si>
    <t>성과수수료</t>
    <phoneticPr fontId="100" type="noConversion"/>
  </si>
  <si>
    <t>본부장</t>
    <phoneticPr fontId="18" type="noConversion"/>
  </si>
  <si>
    <t>일반지점장</t>
    <phoneticPr fontId="18" type="noConversion"/>
  </si>
  <si>
    <t>팀장</t>
    <phoneticPr fontId="18" type="noConversion"/>
  </si>
  <si>
    <t>1차년환산</t>
    <phoneticPr fontId="17" type="noConversion"/>
  </si>
  <si>
    <t>2차년환산</t>
    <phoneticPr fontId="17" type="noConversion"/>
  </si>
  <si>
    <t>3차년환산</t>
    <phoneticPr fontId="18" type="noConversion"/>
  </si>
  <si>
    <t>2차년</t>
    <phoneticPr fontId="18" type="noConversion"/>
  </si>
  <si>
    <t>익월
(2~6회 선지급)</t>
    <phoneticPr fontId="100" type="noConversion"/>
  </si>
  <si>
    <t>7~12회</t>
    <phoneticPr fontId="100" type="noConversion"/>
  </si>
  <si>
    <t>2차년</t>
  </si>
  <si>
    <t>3차년</t>
    <phoneticPr fontId="100" type="noConversion"/>
  </si>
  <si>
    <t>익월</t>
    <phoneticPr fontId="18" type="noConversion"/>
  </si>
  <si>
    <t>파워밸런스 변액연금보험 VI (300,000원이상)</t>
    <phoneticPr fontId="18" type="noConversion"/>
  </si>
  <si>
    <t>10년납 이상</t>
    <phoneticPr fontId="18" type="noConversion"/>
  </si>
  <si>
    <t>LTC 더블연금보험 (300,000원이상)</t>
    <phoneticPr fontId="18" type="noConversion"/>
  </si>
  <si>
    <t>뉴파워리턴변액유니버셜 II (700,000원이상)</t>
    <phoneticPr fontId="18" type="noConversion"/>
  </si>
  <si>
    <t>-</t>
    <phoneticPr fontId="100" type="noConversion"/>
  </si>
  <si>
    <t>골드플랜연금보험 (300,000원이상)</t>
    <phoneticPr fontId="110" type="noConversion"/>
  </si>
  <si>
    <t>AZ멀티플 VUL통합종신 (1형(기본형)) (150,000원이상)</t>
    <phoneticPr fontId="18" type="noConversion"/>
  </si>
  <si>
    <t>19년납 이상</t>
    <phoneticPr fontId="17" type="noConversion"/>
  </si>
  <si>
    <t>파워업 종신보험 (1형, 2형) (150,000원이상)</t>
    <phoneticPr fontId="18" type="noConversion"/>
  </si>
  <si>
    <r>
      <t>LTC 더블연금보험</t>
    </r>
    <r>
      <rPr>
        <b/>
        <sz val="9"/>
        <color rgb="FF0000FF"/>
        <rFont val="맑은 고딕"/>
        <family val="3"/>
        <charset val="129"/>
      </rPr>
      <t>(일시납)</t>
    </r>
    <phoneticPr fontId="18" type="noConversion"/>
  </si>
  <si>
    <t>일시납</t>
    <phoneticPr fontId="17" type="noConversion"/>
  </si>
  <si>
    <t xml:space="preserve"> </t>
    <phoneticPr fontId="100" type="noConversion"/>
  </si>
  <si>
    <t xml:space="preserve"> &lt; 세부 사항 안내 &gt;</t>
    <phoneticPr fontId="18" type="noConversion"/>
  </si>
  <si>
    <t>1. 작성 기준</t>
    <phoneticPr fontId="18" type="noConversion"/>
  </si>
  <si>
    <t>※ 오버라이딩보너스 :  2014.07월까지의 신계약은 개정 전 오버라이딩보너스 지급 기준 적용</t>
    <phoneticPr fontId="100" type="noConversion"/>
  </si>
  <si>
    <t xml:space="preserve"> ① 최저 보장제 적용 : 성과수수료는 정산P 115백만원 구간 보장지급함</t>
    <phoneticPr fontId="18" type="noConversion"/>
  </si>
  <si>
    <t xml:space="preserve"> ② 보장지급 이외 나머지 수수료 항목의 실 지급은 업적, 유지율 및 기타 제조건에 따라 연동하여 지급함</t>
    <phoneticPr fontId="18" type="noConversion"/>
  </si>
  <si>
    <t xml:space="preserve"> ③ 환산율 기준 : 납기에 따른 주계약의 월납영수보험료를 기준으로 예시하였으며, 실제 설계시 보험료 및 특약별로 적용되는 환산율이 다를 수 있으므로, </t>
    <phoneticPr fontId="18" type="noConversion"/>
  </si>
  <si>
    <t xml:space="preserve">                     정확한 환산율은 팜스에 공지되어 있는 상품별 환산 자료 참조 요망 (환산자료 :  팜스 공지사항 -&gt;업무공지 -&gt; '환산' 검색) </t>
    <phoneticPr fontId="100" type="noConversion"/>
  </si>
  <si>
    <t xml:space="preserve"> ④ 유지수수료 선지급 유무 : 비월납,일시납, 단체보험은 선지급 대상에서 제외한다.</t>
    <phoneticPr fontId="100" type="noConversion"/>
  </si>
  <si>
    <t>▶ 테이블 예시 기준 :  주계약기준, 보험료 100만원 이상 기준</t>
    <phoneticPr fontId="18" type="noConversion"/>
  </si>
  <si>
    <t xml:space="preserve">2. 비고 : 상기 자료는 예시이므로 매월 마감 업적, 유지율 및 개별 상품 설계시의 실제 환산율 등에 따라 추가 또는 감소되어 지급됨 </t>
    <phoneticPr fontId="18" type="noConversion"/>
  </si>
  <si>
    <t>NH농협생명 수수료 지급 기준(15년 1월 기준) - 최저 보장제 미적용</t>
  </si>
  <si>
    <t>AIA생명 수수료 지급 기준(15년 1월 기준) - 최저 보장제 미적용(분급형)</t>
  </si>
  <si>
    <t>KDB생명 수수료 지급 기준(15년 1월 기준) - 최저 보장제 미적용</t>
  </si>
  <si>
    <t>교보생명 수수료 지급 세부 기준 (15년 1월 기준) - 최저 보장제 미적용</t>
  </si>
  <si>
    <t>교보생명 수수료 지급 기준(15년 1월 기준)-  최저 보장제 미적용</t>
  </si>
  <si>
    <t>동부생명 수수료 지급 세부 기준 (15년 1월 기준) - 판매촉진수수료 항목 최저보장</t>
  </si>
  <si>
    <t>동부생명 수수료 지급 기준(15년 1월 기준) - 판매촉진수수료 항목 최저보장</t>
  </si>
  <si>
    <t>라이나 수수료 테이블 안내(15년 1월 기준) - 최저 보장제 미적용</t>
  </si>
  <si>
    <t>라이나생명 수수료 지급 기준(15년 1월 기준) - 최저 보장제 미적용</t>
  </si>
  <si>
    <t>한화생명 수수료 지급 세부 기준 (15년 1월 기준) - 최저보장제 미적용</t>
  </si>
  <si>
    <t>한화생명 수수료 지급 기준(15년 1월 기준) - 최저보장제 미적용</t>
  </si>
  <si>
    <t>메트라이프 수수료 지급 세부 기준(15년 1월 기준) 최저보장제 미적용</t>
  </si>
  <si>
    <t>메트라이프 수수료 지급 기준(15년 1월 기준) - 최저보장제 미적용</t>
  </si>
  <si>
    <t>삼성생명 수수료 지급 세부 기준 (15년 1월 기준) - GA등급 S등급 최저보장</t>
  </si>
  <si>
    <t>신한생명 수수료 지급 세부 기준 (15년 1월 기준) - 성과수수료 항목 최저보장</t>
  </si>
  <si>
    <t>신한생명 수수료 지급 기준(15년 1월 기준) - 성과수수료 항목 최저보장</t>
  </si>
  <si>
    <t>현대라이프생명 수수료 지급 기준(15년 1월 기준) - 프라임선지급 적용 / 효율커미션, 보장성우대커미션 최저보장</t>
  </si>
  <si>
    <t>알리안츠생명 수수료 지급 기준(15년 1월 기준) - 성과수수료 항목 최저보장</t>
  </si>
  <si>
    <t>NH농협생명 수수료 지급 기준(15년 1월 기준) -  최저 보장제 미적용</t>
  </si>
  <si>
    <t>15년 1월 생보사별수수료테이블 변동사항(전월대비)</t>
    <phoneticPr fontId="18" type="noConversion"/>
  </si>
  <si>
    <t>생보사별 수수료 관련 공통 사항 안내 (15년 1월 기준)</t>
    <phoneticPr fontId="35" type="noConversion"/>
  </si>
  <si>
    <t>( 2015년 1월 1일)</t>
    <phoneticPr fontId="35" type="noConversion"/>
  </si>
  <si>
    <r>
      <t xml:space="preserve">삼성생명 수수료 지급 기준(15년 1월 기준) - </t>
    </r>
    <r>
      <rPr>
        <b/>
        <sz val="15"/>
        <color rgb="FFFF0000"/>
        <rFont val="맑은 고딕"/>
        <family val="3"/>
        <charset val="129"/>
      </rPr>
      <t>GA등급 S등급 최저보장</t>
    </r>
    <phoneticPr fontId="100" type="noConversion"/>
  </si>
  <si>
    <r>
      <t xml:space="preserve">동양생명 수수료 지급 기준(15년 1월 기준) - </t>
    </r>
    <r>
      <rPr>
        <b/>
        <sz val="15"/>
        <color rgb="FFFF0000"/>
        <rFont val="맑은 고딕"/>
        <family val="3"/>
        <charset val="129"/>
      </rPr>
      <t>성과수수료(정산P구간지급률) 항목 최저보장</t>
    </r>
    <phoneticPr fontId="100" type="noConversion"/>
  </si>
  <si>
    <r>
      <t xml:space="preserve">동양생명 수수료 지급 세부 기준 (15년 1월 기준) - </t>
    </r>
    <r>
      <rPr>
        <b/>
        <sz val="15"/>
        <color rgb="FFFF0000"/>
        <rFont val="맑은 고딕"/>
        <family val="3"/>
        <charset val="129"/>
      </rPr>
      <t>성과수수료(정산P구간지급률) 항목 최저보장</t>
    </r>
    <phoneticPr fontId="100" type="noConversion"/>
  </si>
  <si>
    <t>15.01실적부터  수수료 규정 변경 / 미래에셋 기초시트 상세 확인 바랍니다.</t>
    <phoneticPr fontId="100" type="noConversion"/>
  </si>
  <si>
    <t>15.01실적부터 수수료 규정 변경 / 신한생명 기초시트 상세 확인 바랍니다.</t>
    <phoneticPr fontId="100" type="noConversion"/>
  </si>
  <si>
    <t>15.01실적부터 수수료 규정 변경 / 알리안츠생명 기초시트 상세 확인 바랍니다.</t>
    <phoneticPr fontId="100" type="noConversion"/>
  </si>
  <si>
    <t>플러스저축보험</t>
    <phoneticPr fontId="17" type="noConversion"/>
  </si>
  <si>
    <t xml:space="preserve"> ① 최저 보장제 미적용 : 성과수수료는 30백만↑구간(270%), Override수수료 제휴근속 5년↑(70%) &amp; 정산월초 25백만↑구간(58%), 유지율 보너스는 86%↑(15%)으로 예시함.</t>
    <phoneticPr fontId="18"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</si>
</sst>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59">
    <numFmt numFmtId="42" formatCode="_-&quot;₩&quot;* #,##0_-;\-&quot;₩&quot;* #,##0_-;_-&quot;₩&quot;* &quot;-&quot;_-;_-@_-"/>
    <numFmt numFmtId="41" formatCode="_-* #,##0_-;\-* #,##0_-;_-* &quot;-&quot;_-;_-@_-"/>
    <numFmt numFmtId="44" formatCode="_-&quot;₩&quot;* #,##0.00_-;\-&quot;₩&quot;* #,##0.00_-;_-&quot;₩&quot;* &quot;-&quot;??_-;_-@_-"/>
    <numFmt numFmtId="43" formatCode="_-* #,##0.00_-;\-* #,##0.00_-;_-* &quot;-&quot;??_-;_-@_-"/>
    <numFmt numFmtId="24" formatCode="\$#,##0_);[Red]\(\$#,##0\)"/>
    <numFmt numFmtId="176" formatCode="#,##0_ "/>
    <numFmt numFmtId="177" formatCode="0.0%"/>
    <numFmt numFmtId="178" formatCode="_ * #,##0_ ;_ * \-#,##0_ ;_ * &quot;-&quot;_ ;_ @_ "/>
    <numFmt numFmtId="179" formatCode="_-[$€-2]* #,##0.00_-;\-[$€-2]* #,##0.00_-;_-[$€-2]* &quot;-&quot;??_-"/>
    <numFmt numFmtId="180" formatCode="General_)"/>
    <numFmt numFmtId="181" formatCode="&quot;$&quot;#,##0.00_);[Red]\(&quot;$&quot;#,##0.00\)"/>
    <numFmt numFmtId="182" formatCode="0.0000"/>
    <numFmt numFmtId="183" formatCode="#,##0_);[Red]\(#,##0\)"/>
    <numFmt numFmtId="184" formatCode="&quot;₩&quot;#,##0.00;[Red]&quot;₩&quot;&quot;₩&quot;&quot;₩&quot;&quot;₩&quot;&quot;₩&quot;&quot;₩&quot;\-#,##0.00"/>
    <numFmt numFmtId="185" formatCode="#,##0;&quot;-&quot;#,##0"/>
    <numFmt numFmtId="186" formatCode="_ * #,##0.000_ ;_ * \-#,##0.000_ ;_ * &quot;-&quot;_ ;_ @_ "/>
    <numFmt numFmtId="187" formatCode="000\-000"/>
    <numFmt numFmtId="188" formatCode="0.000000000000000%"/>
    <numFmt numFmtId="189" formatCode="&quot;₩&quot;#,##0;&quot;₩&quot;\-#,##0"/>
    <numFmt numFmtId="190" formatCode="0.0"/>
    <numFmt numFmtId="191" formatCode="&quot;₩&quot;#,##0;[Red]&quot;₩&quot;&quot;₩&quot;&quot;₩&quot;&quot;₩&quot;&quot;₩&quot;&quot;₩&quot;&quot;₩&quot;&quot;₩&quot;&quot;₩&quot;\-#,##0"/>
    <numFmt numFmtId="192" formatCode="&quot;₩&quot;#,##0.00;[Red]&quot;₩&quot;\-#,##0.00"/>
    <numFmt numFmtId="193" formatCode="#,##0.0_);[Red]\(#,##0.0\)"/>
    <numFmt numFmtId="194" formatCode="&quot;₩&quot;#,##0.00;&quot;₩&quot;\-#,##0.00"/>
    <numFmt numFmtId="195" formatCode="_ &quot;₩&quot;* #,##0_ ;_ &quot;₩&quot;* &quot;₩&quot;&quot;₩&quot;&quot;₩&quot;&quot;₩&quot;&quot;₩&quot;&quot;₩&quot;&quot;₩&quot;\-#,##0_ ;_ &quot;₩&quot;* &quot;-&quot;_ ;_ @_ "/>
    <numFmt numFmtId="196" formatCode="_ * #,##0_ ;_ * &quot;₩&quot;&quot;₩&quot;\-#,##0_ ;_ * &quot;-&quot;_ ;_ @_ "/>
    <numFmt numFmtId="197" formatCode="&quot;Rp&quot;#,##0.00_);\(&quot;Rp&quot;#,##0.00\)"/>
    <numFmt numFmtId="198" formatCode="0.000000"/>
    <numFmt numFmtId="199" formatCode="&quot;₩&quot;#,##0.00;&quot;₩&quot;&quot;₩&quot;&quot;₩&quot;&quot;₩&quot;&quot;₩&quot;&quot;₩&quot;&quot;₩&quot;&quot;₩&quot;&quot;₩&quot;&quot;₩&quot;&quot;₩&quot;&quot;₩&quot;&quot;₩&quot;&quot;₩&quot;\-#,##0.00"/>
    <numFmt numFmtId="200" formatCode="#,##0.0000_ "/>
    <numFmt numFmtId="201" formatCode="_ &quot;₩&quot;* #,##0.00_ ;_ &quot;₩&quot;* \-#,##0.00_ ;_ &quot;₩&quot;* &quot;-&quot;??_ ;_ @_ "/>
    <numFmt numFmtId="202" formatCode="_(&quot;$&quot;* #,##0.00_);_(&quot;$&quot;* \(#,##0.00\);_(&quot;$&quot;* &quot;-&quot;??_);_(@_)"/>
    <numFmt numFmtId="203" formatCode="mmm&quot;-&quot;yy"/>
    <numFmt numFmtId="204" formatCode="#,##0_ ;[Red]\-#,##0\ "/>
    <numFmt numFmtId="205" formatCode="_-* #,##0_-;&quot;₩&quot;\!\-* #,##0_-;_-* &quot;-&quot;_-;_-@_-"/>
    <numFmt numFmtId="206" formatCode="_-* #,##0.00000_-;\-* #,##0.00000_-;_-* &quot;-&quot;_-;_-@_-"/>
    <numFmt numFmtId="207" formatCode="#,##0.00;[Red]&quot;-&quot;#,##0.00"/>
    <numFmt numFmtId="208" formatCode="#,##0\ "/>
    <numFmt numFmtId="209" formatCode="0.00000%"/>
    <numFmt numFmtId="210" formatCode="\9\7\-0\7\-0\4"/>
    <numFmt numFmtId="211" formatCode="mm&quot;월&quot;\ dd&quot;일&quot;"/>
    <numFmt numFmtId="212" formatCode="&quot;₩&quot;#,##0;[Red]&quot;₩&quot;&quot;₩&quot;&quot;₩&quot;\-#,##0"/>
    <numFmt numFmtId="213" formatCode="_-* #,##0.0_-;\-* #,##0.0_-;_-* &quot;-&quot;??_-;_-@_-"/>
    <numFmt numFmtId="214" formatCode="#,##0.0_ ;[Red]\-#,##0.0\ "/>
    <numFmt numFmtId="215" formatCode="&quot;Rp&quot;#,##0_);\(&quot;Rp&quot;#,##0\)"/>
    <numFmt numFmtId="216" formatCode="0.000"/>
    <numFmt numFmtId="217" formatCode="h&quot;시&quot;mm&quot;분&quot;"/>
    <numFmt numFmtId="218" formatCode="_ &quot;₩&quot;* #,##0.00_ ;_ &quot;₩&quot;* &quot;₩&quot;&quot;₩&quot;&quot;₩&quot;&quot;₩&quot;&quot;₩&quot;&quot;₩&quot;&quot;₩&quot;&quot;₩&quot;&quot;₩&quot;&quot;₩&quot;\-#,##0.00_ ;_ &quot;₩&quot;* &quot;-&quot;??_ ;_ @_ "/>
    <numFmt numFmtId="219" formatCode="&quot;₩&quot;#,##0.00;[Red]&quot;₩&quot;&quot;₩&quot;&quot;₩&quot;&quot;₩&quot;&quot;₩&quot;&quot;₩&quot;&quot;₩&quot;&quot;₩&quot;&quot;₩&quot;&quot;₩&quot;&quot;₩&quot;\-#,##0.00"/>
    <numFmt numFmtId="220" formatCode="_ &quot;₩&quot;* #,##0.00_ ;_ &quot;₩&quot;* &quot;₩&quot;&quot;₩&quot;&quot;₩&quot;&quot;₩&quot;&quot;₩&quot;&quot;₩&quot;&quot;₩&quot;&quot;₩&quot;\-#,##0.00_ ;_ &quot;₩&quot;* &quot;-&quot;??_ ;_ @_ "/>
    <numFmt numFmtId="221" formatCode="_ &quot;₩&quot;* #,##0_ ;_ &quot;₩&quot;* &quot;₩&quot;&quot;₩&quot;&quot;₩&quot;&quot;₩&quot;&quot;₩&quot;&quot;₩&quot;&quot;₩&quot;&quot;₩&quot;&quot;₩&quot;&quot;₩&quot;\-#,##0_ ;_ &quot;₩&quot;* &quot;-&quot;_ ;_ @_ "/>
    <numFmt numFmtId="222" formatCode="&quot;Rp&quot;#,##0.00_);[Red]\(&quot;Rp&quot;#,##0.00\)"/>
    <numFmt numFmtId="223" formatCode="_-* #,##0.0_-;\-* #,##0.0_-;_-* &quot;-&quot;_-;_-@_-"/>
    <numFmt numFmtId="224" formatCode="_(* #,##0_);_(* \(#,##0\);_(* &quot;-&quot;_);_(@_)"/>
    <numFmt numFmtId="225" formatCode="0.0\ "/>
    <numFmt numFmtId="226" formatCode="0.0_);[Red]\(0.0\)"/>
    <numFmt numFmtId="227" formatCode="d\.m\.yy"/>
    <numFmt numFmtId="228" formatCode="_ * #,##0.00_ ;_ * \-#,##0.00_ ;_ * &quot;-&quot;??_ ;_ @_ "/>
    <numFmt numFmtId="229" formatCode="0.0000%"/>
  </numFmts>
  <fonts count="144">
    <font>
      <sz val="11"/>
      <color theme="1"/>
      <name val="맑은 고딕"/>
      <family val="3"/>
      <charset val="129"/>
      <scheme val="minor"/>
    </font>
    <font>
      <sz val="11"/>
      <color theme="1"/>
      <name val="맑은 고딕"/>
      <family val="2"/>
      <charset val="129"/>
      <scheme val="minor"/>
    </font>
    <font>
      <sz val="11"/>
      <color theme="1"/>
      <name val="맑은 고딕"/>
      <family val="2"/>
      <charset val="129"/>
      <scheme val="minor"/>
    </font>
    <font>
      <sz val="11"/>
      <color theme="1"/>
      <name val="맑은 고딕"/>
      <family val="2"/>
      <charset val="129"/>
      <scheme val="minor"/>
    </font>
    <font>
      <sz val="11"/>
      <color theme="1"/>
      <name val="맑은 고딕"/>
      <family val="2"/>
      <charset val="129"/>
      <scheme val="minor"/>
    </font>
    <font>
      <sz val="11"/>
      <color theme="1"/>
      <name val="맑은 고딕"/>
      <family val="2"/>
      <charset val="129"/>
      <scheme val="minor"/>
    </font>
    <font>
      <sz val="11"/>
      <color theme="1"/>
      <name val="맑은 고딕"/>
      <family val="2"/>
      <charset val="129"/>
      <scheme val="minor"/>
    </font>
    <font>
      <sz val="11"/>
      <color theme="1"/>
      <name val="맑은 고딕"/>
      <family val="2"/>
      <charset val="129"/>
      <scheme val="minor"/>
    </font>
    <font>
      <sz val="11"/>
      <color theme="1"/>
      <name val="맑은 고딕"/>
      <family val="2"/>
      <charset val="129"/>
      <scheme val="minor"/>
    </font>
    <font>
      <sz val="11"/>
      <color theme="1"/>
      <name val="맑은 고딕"/>
      <family val="2"/>
      <charset val="129"/>
      <scheme val="minor"/>
    </font>
    <font>
      <sz val="11"/>
      <color theme="1"/>
      <name val="맑은 고딕"/>
      <family val="2"/>
      <charset val="129"/>
      <scheme val="minor"/>
    </font>
    <font>
      <sz val="11"/>
      <color theme="1"/>
      <name val="맑은 고딕"/>
      <family val="2"/>
      <charset val="129"/>
      <scheme val="minor"/>
    </font>
    <font>
      <sz val="11"/>
      <color theme="1"/>
      <name val="맑은 고딕"/>
      <family val="2"/>
      <charset val="129"/>
      <scheme val="minor"/>
    </font>
    <font>
      <sz val="11"/>
      <color theme="1"/>
      <name val="맑은 고딕"/>
      <family val="2"/>
      <charset val="129"/>
      <scheme val="minor"/>
    </font>
    <font>
      <sz val="11"/>
      <color theme="1"/>
      <name val="맑은 고딕"/>
      <family val="2"/>
      <charset val="129"/>
      <scheme val="minor"/>
    </font>
    <font>
      <sz val="11"/>
      <color theme="1"/>
      <name val="맑은 고딕"/>
      <family val="2"/>
      <charset val="129"/>
      <scheme val="minor"/>
    </font>
    <font>
      <sz val="11"/>
      <color indexed="8"/>
      <name val="맑은 고딕"/>
      <family val="3"/>
      <charset val="129"/>
    </font>
    <font>
      <sz val="8"/>
      <name val="맑은 고딕"/>
      <family val="3"/>
      <charset val="129"/>
    </font>
    <font>
      <sz val="8"/>
      <name val="돋움"/>
      <family val="3"/>
      <charset val="129"/>
    </font>
    <font>
      <b/>
      <sz val="11"/>
      <color indexed="12"/>
      <name val="맑은 고딕"/>
      <family val="3"/>
      <charset val="129"/>
    </font>
    <font>
      <sz val="11"/>
      <name val="맑은 고딕"/>
      <family val="3"/>
      <charset val="129"/>
    </font>
    <font>
      <b/>
      <sz val="15"/>
      <name val="맑은 고딕"/>
      <family val="3"/>
      <charset val="129"/>
    </font>
    <font>
      <b/>
      <sz val="11"/>
      <color indexed="8"/>
      <name val="맑은 고딕"/>
      <family val="3"/>
      <charset val="129"/>
    </font>
    <font>
      <sz val="11"/>
      <name val="돋움"/>
      <family val="3"/>
      <charset val="129"/>
    </font>
    <font>
      <b/>
      <sz val="9"/>
      <color indexed="81"/>
      <name val="Tahoma"/>
      <family val="2"/>
    </font>
    <font>
      <sz val="9"/>
      <color indexed="81"/>
      <name val="Tahoma"/>
      <family val="2"/>
    </font>
    <font>
      <sz val="9"/>
      <color indexed="81"/>
      <name val="돋움"/>
      <family val="3"/>
      <charset val="129"/>
    </font>
    <font>
      <sz val="9"/>
      <color indexed="8"/>
      <name val="맑은 고딕"/>
      <family val="3"/>
      <charset val="129"/>
    </font>
    <font>
      <b/>
      <sz val="9"/>
      <name val="맑은 고딕"/>
      <family val="3"/>
      <charset val="129"/>
    </font>
    <font>
      <sz val="9"/>
      <name val="맑은 고딕"/>
      <family val="3"/>
      <charset val="129"/>
    </font>
    <font>
      <b/>
      <sz val="9"/>
      <color indexed="10"/>
      <name val="맑은 고딕"/>
      <family val="3"/>
      <charset val="129"/>
    </font>
    <font>
      <sz val="15"/>
      <name val="맑은 고딕"/>
      <family val="3"/>
      <charset val="129"/>
    </font>
    <font>
      <sz val="8"/>
      <name val="굴림체"/>
      <family val="3"/>
      <charset val="129"/>
    </font>
    <font>
      <b/>
      <sz val="9"/>
      <color indexed="12"/>
      <name val="맑은 고딕"/>
      <family val="3"/>
      <charset val="129"/>
    </font>
    <font>
      <sz val="9"/>
      <name val="돋움"/>
      <family val="3"/>
      <charset val="129"/>
    </font>
    <font>
      <sz val="8"/>
      <name val="맑은 고딕"/>
      <family val="3"/>
      <charset val="129"/>
    </font>
    <font>
      <sz val="15"/>
      <color indexed="8"/>
      <name val="굴림체"/>
      <family val="3"/>
      <charset val="129"/>
    </font>
    <font>
      <b/>
      <sz val="9"/>
      <color indexed="8"/>
      <name val="맑은 고딕"/>
      <family val="3"/>
      <charset val="129"/>
    </font>
    <font>
      <sz val="12"/>
      <name val="바탕체"/>
      <family val="1"/>
      <charset val="129"/>
    </font>
    <font>
      <sz val="10"/>
      <name val="굴림체"/>
      <family val="3"/>
      <charset val="129"/>
    </font>
    <font>
      <sz val="10"/>
      <name val="MS Sans Serif"/>
      <family val="2"/>
    </font>
    <font>
      <sz val="10"/>
      <name val="Arial"/>
      <family val="2"/>
    </font>
    <font>
      <sz val="12"/>
      <name val="돋움체"/>
      <family val="3"/>
      <charset val="129"/>
    </font>
    <font>
      <sz val="10"/>
      <name val="Helv"/>
      <family val="2"/>
    </font>
    <font>
      <sz val="12"/>
      <name val="Times New Roman"/>
      <family val="1"/>
    </font>
    <font>
      <sz val="12"/>
      <name val="굴림체"/>
      <family val="3"/>
      <charset val="129"/>
    </font>
    <font>
      <sz val="11"/>
      <name val="￥i￠￢￠?o"/>
      <family val="3"/>
      <charset val="129"/>
    </font>
    <font>
      <sz val="12"/>
      <name val="¹UAAA¼"/>
      <family val="3"/>
      <charset val="129"/>
    </font>
    <font>
      <sz val="12"/>
      <name val="¹ÙÅÁÃ¼"/>
      <family val="3"/>
      <charset val="129"/>
    </font>
    <font>
      <sz val="11"/>
      <name val="µ¸¿ò"/>
      <family val="3"/>
      <charset val="129"/>
    </font>
    <font>
      <sz val="10"/>
      <name val="¹UAAA¼"/>
      <family val="3"/>
      <charset val="129"/>
    </font>
    <font>
      <sz val="11"/>
      <name val="μ¸¿o"/>
      <family val="3"/>
      <charset val="129"/>
    </font>
    <font>
      <sz val="12"/>
      <name val="ⓒoUAAA¨u"/>
      <family val="1"/>
      <charset val="129"/>
    </font>
    <font>
      <sz val="10"/>
      <name val="μ¸¿oA¼"/>
      <family val="3"/>
      <charset val="129"/>
    </font>
    <font>
      <sz val="10"/>
      <name val="µ¸¿òÃ¼"/>
      <family val="3"/>
      <charset val="129"/>
    </font>
    <font>
      <sz val="12"/>
      <name val="μ¸¿oA¼"/>
      <family val="3"/>
      <charset val="129"/>
    </font>
    <font>
      <sz val="12"/>
      <name val="System"/>
      <family val="2"/>
      <charset val="129"/>
    </font>
    <font>
      <sz val="12"/>
      <name val="±¼¸²A¼"/>
      <family val="3"/>
      <charset val="129"/>
    </font>
    <font>
      <sz val="12"/>
      <name val="±¼¸²Ã¼"/>
      <family val="3"/>
      <charset val="129"/>
    </font>
    <font>
      <sz val="10"/>
      <name val="±¼¸²A¼"/>
      <family val="3"/>
      <charset val="129"/>
    </font>
    <font>
      <sz val="10"/>
      <name val="±¼¸²Ã¼"/>
      <family val="3"/>
      <charset val="129"/>
    </font>
    <font>
      <b/>
      <sz val="10"/>
      <name val="Helv"/>
      <family val="2"/>
    </font>
    <font>
      <sz val="10"/>
      <name val="돋움"/>
      <family val="3"/>
      <charset val="129"/>
    </font>
    <font>
      <sz val="8"/>
      <name val="Arial"/>
      <family val="2"/>
    </font>
    <font>
      <b/>
      <sz val="12"/>
      <name val="Helv"/>
      <family val="2"/>
    </font>
    <font>
      <b/>
      <sz val="12"/>
      <name val="Arial"/>
      <family val="2"/>
    </font>
    <font>
      <b/>
      <sz val="11"/>
      <name val="Helv"/>
      <family val="2"/>
    </font>
    <font>
      <sz val="12"/>
      <name val="Courier"/>
      <family val="3"/>
    </font>
    <font>
      <sz val="11"/>
      <name val="신그래픽체"/>
      <family val="1"/>
      <charset val="129"/>
    </font>
    <font>
      <u/>
      <sz val="10"/>
      <color indexed="36"/>
      <name val="가는각진제목체"/>
      <family val="1"/>
      <charset val="129"/>
    </font>
    <font>
      <sz val="14"/>
      <name val="뼻뮝"/>
      <family val="3"/>
      <charset val="129"/>
    </font>
    <font>
      <sz val="12"/>
      <name val="뼻뮝"/>
      <family val="3"/>
      <charset val="129"/>
    </font>
    <font>
      <sz val="10"/>
      <name val="궁서(English)"/>
      <family val="3"/>
      <charset val="129"/>
    </font>
    <font>
      <sz val="11"/>
      <name val="굴림"/>
      <family val="3"/>
      <charset val="129"/>
    </font>
    <font>
      <sz val="11"/>
      <name val="가는둥근제목체"/>
      <family val="1"/>
      <charset val="129"/>
    </font>
    <font>
      <sz val="11"/>
      <name val="굴림체"/>
      <family val="3"/>
      <charset val="129"/>
    </font>
    <font>
      <sz val="11"/>
      <name val="가는각진제목체"/>
      <family val="1"/>
      <charset val="129"/>
    </font>
    <font>
      <sz val="11"/>
      <name val="가을체"/>
      <family val="1"/>
      <charset val="129"/>
    </font>
    <font>
      <sz val="16"/>
      <color indexed="8"/>
      <name val="맑은 고딕"/>
      <family val="3"/>
      <charset val="129"/>
    </font>
    <font>
      <b/>
      <sz val="20"/>
      <name val="맑은 고딕"/>
      <family val="3"/>
      <charset val="129"/>
    </font>
    <font>
      <sz val="20"/>
      <color indexed="8"/>
      <name val="맑은 고딕"/>
      <family val="3"/>
      <charset val="129"/>
    </font>
    <font>
      <u/>
      <sz val="16"/>
      <color indexed="8"/>
      <name val="맑은 고딕"/>
      <family val="3"/>
      <charset val="129"/>
    </font>
    <font>
      <b/>
      <u/>
      <sz val="11"/>
      <color indexed="8"/>
      <name val="맑은 고딕"/>
      <family val="3"/>
      <charset val="129"/>
    </font>
    <font>
      <b/>
      <sz val="16"/>
      <color indexed="8"/>
      <name val="맑은 고딕"/>
      <family val="3"/>
      <charset val="129"/>
    </font>
    <font>
      <b/>
      <sz val="20"/>
      <color indexed="8"/>
      <name val="맑은 고딕"/>
      <family val="3"/>
      <charset val="129"/>
    </font>
    <font>
      <b/>
      <sz val="11"/>
      <color indexed="10"/>
      <name val="맑은 고딕"/>
      <family val="3"/>
      <charset val="129"/>
    </font>
    <font>
      <b/>
      <sz val="12"/>
      <name val="맑은 고딕"/>
      <family val="3"/>
      <charset val="129"/>
    </font>
    <font>
      <sz val="10"/>
      <name val="맑은 고딕"/>
      <family val="3"/>
      <charset val="129"/>
    </font>
    <font>
      <sz val="14"/>
      <name val="맑은 고딕"/>
      <family val="3"/>
      <charset val="129"/>
    </font>
    <font>
      <b/>
      <sz val="10"/>
      <name val="맑은 고딕"/>
      <family val="3"/>
      <charset val="129"/>
    </font>
    <font>
      <b/>
      <sz val="9"/>
      <color indexed="62"/>
      <name val="맑은 고딕"/>
      <family val="3"/>
      <charset val="129"/>
    </font>
    <font>
      <sz val="10"/>
      <color indexed="8"/>
      <name val="맑은 고딕"/>
      <family val="3"/>
      <charset val="129"/>
    </font>
    <font>
      <sz val="9"/>
      <color indexed="12"/>
      <name val="맑은 고딕"/>
      <family val="3"/>
      <charset val="129"/>
    </font>
    <font>
      <sz val="11"/>
      <color indexed="8"/>
      <name val="맑은 고딕"/>
      <family val="3"/>
      <charset val="129"/>
    </font>
    <font>
      <sz val="9"/>
      <color indexed="8"/>
      <name val="굴림체"/>
      <family val="3"/>
      <charset val="129"/>
    </font>
    <font>
      <sz val="9"/>
      <color indexed="8"/>
      <name val="맑은 고딕"/>
      <family val="3"/>
      <charset val="129"/>
    </font>
    <font>
      <sz val="15"/>
      <color indexed="8"/>
      <name val="맑은 고딕"/>
      <family val="3"/>
      <charset val="129"/>
    </font>
    <font>
      <sz val="12"/>
      <color indexed="8"/>
      <name val="맑은 고딕"/>
      <family val="3"/>
      <charset val="129"/>
    </font>
    <font>
      <sz val="11"/>
      <color theme="1"/>
      <name val="맑은 고딕"/>
      <family val="3"/>
      <charset val="129"/>
      <scheme val="minor"/>
    </font>
    <font>
      <sz val="9"/>
      <color theme="1"/>
      <name val="굴림체"/>
      <family val="3"/>
      <charset val="129"/>
    </font>
    <font>
      <sz val="8"/>
      <name val="맑은 고딕"/>
      <family val="3"/>
      <charset val="129"/>
      <scheme val="minor"/>
    </font>
    <font>
      <sz val="9"/>
      <color rgb="FF0000FF"/>
      <name val="맑은 고딕"/>
      <family val="3"/>
      <charset val="129"/>
    </font>
    <font>
      <sz val="9"/>
      <color theme="1"/>
      <name val="맑은 고딕"/>
      <family val="3"/>
      <charset val="129"/>
      <scheme val="minor"/>
    </font>
    <font>
      <b/>
      <sz val="9"/>
      <color rgb="FFFF0000"/>
      <name val="맑은 고딕"/>
      <family val="3"/>
      <charset val="129"/>
    </font>
    <font>
      <b/>
      <sz val="9"/>
      <color indexed="81"/>
      <name val="돋움"/>
      <family val="3"/>
      <charset val="129"/>
    </font>
    <font>
      <sz val="9"/>
      <color rgb="FFFF0000"/>
      <name val="맑은 고딕"/>
      <family val="3"/>
      <charset val="129"/>
    </font>
    <font>
      <sz val="9"/>
      <color theme="1"/>
      <name val="맑은 고딕"/>
      <family val="3"/>
      <charset val="129"/>
    </font>
    <font>
      <b/>
      <sz val="9"/>
      <color rgb="FF0000FF"/>
      <name val="맑은 고딕"/>
      <family val="3"/>
      <charset val="129"/>
    </font>
    <font>
      <sz val="15"/>
      <color theme="1"/>
      <name val="맑은 고딕"/>
      <family val="3"/>
      <charset val="129"/>
      <scheme val="minor"/>
    </font>
    <font>
      <b/>
      <sz val="15"/>
      <color rgb="FFFF0000"/>
      <name val="맑은 고딕"/>
      <family val="3"/>
      <charset val="129"/>
    </font>
    <font>
      <sz val="8"/>
      <name val="맑은 고딕"/>
      <family val="2"/>
      <charset val="129"/>
      <scheme val="minor"/>
    </font>
    <font>
      <b/>
      <sz val="12"/>
      <color indexed="12"/>
      <name val="맑은 고딕"/>
      <family val="3"/>
      <charset val="129"/>
    </font>
    <font>
      <sz val="12"/>
      <name val="맑은 고딕"/>
      <family val="3"/>
      <charset val="129"/>
    </font>
    <font>
      <b/>
      <sz val="10"/>
      <color indexed="10"/>
      <name val="맑은 고딕"/>
      <family val="3"/>
      <charset val="129"/>
    </font>
    <font>
      <b/>
      <sz val="9"/>
      <color rgb="FF0000FF"/>
      <name val="맑은 고딕"/>
      <family val="3"/>
      <charset val="129"/>
      <scheme val="minor"/>
    </font>
    <font>
      <b/>
      <sz val="10"/>
      <color indexed="12"/>
      <name val="맑은 고딕"/>
      <family val="3"/>
      <charset val="129"/>
    </font>
    <font>
      <sz val="15"/>
      <name val="맑은 고딕"/>
      <family val="3"/>
      <charset val="129"/>
      <scheme val="major"/>
    </font>
    <font>
      <b/>
      <sz val="15"/>
      <color indexed="8"/>
      <name val="맑은 고딕"/>
      <family val="3"/>
      <charset val="129"/>
      <scheme val="major"/>
    </font>
    <font>
      <sz val="9"/>
      <name val="맑은 고딕"/>
      <family val="3"/>
      <charset val="129"/>
      <scheme val="major"/>
    </font>
    <font>
      <b/>
      <sz val="9"/>
      <color indexed="12"/>
      <name val="맑은 고딕"/>
      <family val="3"/>
      <charset val="129"/>
      <scheme val="major"/>
    </font>
    <font>
      <b/>
      <sz val="9"/>
      <name val="맑은 고딕"/>
      <family val="3"/>
      <charset val="129"/>
      <scheme val="major"/>
    </font>
    <font>
      <b/>
      <sz val="9"/>
      <color theme="1"/>
      <name val="맑은 고딕"/>
      <family val="3"/>
      <charset val="129"/>
      <scheme val="major"/>
    </font>
    <font>
      <sz val="9"/>
      <color theme="1"/>
      <name val="맑은 고딕"/>
      <family val="3"/>
      <charset val="129"/>
      <scheme val="major"/>
    </font>
    <font>
      <b/>
      <sz val="9"/>
      <color rgb="FF0000FF"/>
      <name val="맑은 고딕"/>
      <family val="3"/>
      <charset val="129"/>
      <scheme val="major"/>
    </font>
    <font>
      <sz val="11"/>
      <color theme="1"/>
      <name val="맑은 고딕"/>
      <family val="3"/>
      <charset val="129"/>
      <scheme val="major"/>
    </font>
    <font>
      <sz val="9"/>
      <color rgb="FF0000FF"/>
      <name val="맑은 고딕"/>
      <family val="3"/>
      <charset val="129"/>
      <scheme val="major"/>
    </font>
    <font>
      <sz val="9"/>
      <color theme="1"/>
      <name val="맑은 고딕"/>
      <family val="2"/>
      <charset val="129"/>
      <scheme val="minor"/>
    </font>
    <font>
      <sz val="9"/>
      <color rgb="FF0000FF"/>
      <name val="맑은 고딕"/>
      <family val="3"/>
      <charset val="129"/>
      <scheme val="minor"/>
    </font>
    <font>
      <sz val="8"/>
      <name val="굴림체"/>
      <family val="2"/>
      <charset val="129"/>
    </font>
    <font>
      <sz val="9"/>
      <color rgb="FF0000FF"/>
      <name val="굴림체"/>
      <family val="3"/>
      <charset val="129"/>
    </font>
    <font>
      <b/>
      <u/>
      <sz val="11"/>
      <color rgb="FFFF0000"/>
      <name val="맑은 고딕"/>
      <family val="3"/>
      <charset val="129"/>
    </font>
    <font>
      <b/>
      <u/>
      <sz val="11"/>
      <color rgb="FF0000FF"/>
      <name val="맑은 고딕"/>
      <family val="3"/>
      <charset val="129"/>
    </font>
    <font>
      <sz val="9"/>
      <name val="굴림체"/>
      <family val="3"/>
      <charset val="129"/>
    </font>
    <font>
      <b/>
      <sz val="12"/>
      <color rgb="FFFF0000"/>
      <name val="맑은 고딕"/>
      <family val="3"/>
      <charset val="129"/>
    </font>
    <font>
      <b/>
      <sz val="9"/>
      <color rgb="FFFF0000"/>
      <name val="맑은 고딕"/>
      <family val="3"/>
      <charset val="129"/>
      <scheme val="major"/>
    </font>
    <font>
      <b/>
      <sz val="9"/>
      <color rgb="FF0000FF"/>
      <name val="돋움"/>
      <family val="3"/>
      <charset val="129"/>
    </font>
    <font>
      <sz val="9"/>
      <color rgb="FFFF0000"/>
      <name val="맑은 고딕"/>
      <family val="3"/>
      <charset val="129"/>
      <scheme val="major"/>
    </font>
    <font>
      <b/>
      <sz val="9"/>
      <color theme="1"/>
      <name val="맑은 고딕"/>
      <family val="3"/>
      <charset val="129"/>
      <scheme val="minor"/>
    </font>
    <font>
      <b/>
      <sz val="8"/>
      <color indexed="8"/>
      <name val="맑은 고딕"/>
      <family val="3"/>
      <charset val="129"/>
    </font>
    <font>
      <b/>
      <sz val="14"/>
      <color indexed="12"/>
      <name val="맑은 고딕"/>
      <family val="3"/>
      <charset val="129"/>
    </font>
    <font>
      <b/>
      <sz val="9"/>
      <name val="맑은 고딕"/>
      <family val="3"/>
      <charset val="129"/>
      <scheme val="minor"/>
    </font>
    <font>
      <sz val="9"/>
      <name val="맑은 고딕"/>
      <family val="3"/>
      <charset val="129"/>
      <scheme val="minor"/>
    </font>
    <font>
      <sz val="9"/>
      <color rgb="FFFF0000"/>
      <name val="맑은 고딕"/>
      <family val="3"/>
      <charset val="129"/>
      <scheme val="minor"/>
    </font>
    <font>
      <b/>
      <sz val="9"/>
      <color rgb="FF0033CC"/>
      <name val="맑은 고딕"/>
      <family val="3"/>
      <charset val="129"/>
    </font>
  </fonts>
  <fills count="9">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indexed="22"/>
        <bgColor indexed="64"/>
      </patternFill>
    </fill>
    <fill>
      <patternFill patternType="solid">
        <fgColor rgb="FFFFFF99"/>
        <bgColor indexed="64"/>
      </patternFill>
    </fill>
    <fill>
      <patternFill patternType="solid">
        <fgColor theme="0"/>
        <bgColor indexed="64"/>
      </patternFill>
    </fill>
    <fill>
      <patternFill patternType="solid">
        <fgColor theme="0" tint="-0.249977111117893"/>
        <bgColor indexed="64"/>
      </patternFill>
    </fill>
    <fill>
      <patternFill patternType="solid">
        <fgColor theme="9" tint="0.79998168889431442"/>
        <bgColor indexed="64"/>
      </patternFill>
    </fill>
  </fills>
  <borders count="160">
    <border>
      <left/>
      <right/>
      <top/>
      <bottom/>
      <diagonal/>
    </border>
    <border>
      <left/>
      <right style="dotted">
        <color indexed="64"/>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thin">
        <color indexed="64"/>
      </right>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bottom/>
      <diagonal/>
    </border>
    <border>
      <left/>
      <right style="medium">
        <color indexed="64"/>
      </right>
      <top/>
      <bottom style="medium">
        <color indexed="64"/>
      </bottom>
      <diagonal/>
    </border>
    <border>
      <left/>
      <right style="thin">
        <color indexed="64"/>
      </right>
      <top/>
      <bottom/>
      <diagonal/>
    </border>
    <border>
      <left style="thin">
        <color indexed="64"/>
      </left>
      <right/>
      <top/>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right style="thin">
        <color indexed="64"/>
      </right>
      <top/>
      <bottom style="medium">
        <color indexed="64"/>
      </bottom>
      <diagonal/>
    </border>
    <border>
      <left/>
      <right/>
      <top/>
      <bottom style="thin">
        <color indexed="64"/>
      </bottom>
      <diagonal/>
    </border>
    <border>
      <left/>
      <right style="medium">
        <color indexed="64"/>
      </right>
      <top style="medium">
        <color indexed="64"/>
      </top>
      <bottom style="thin">
        <color indexed="64"/>
      </bottom>
      <diagonal/>
    </border>
    <border>
      <left style="medium">
        <color indexed="12"/>
      </left>
      <right style="medium">
        <color indexed="12"/>
      </right>
      <top style="medium">
        <color indexed="12"/>
      </top>
      <bottom style="thin">
        <color indexed="64"/>
      </bottom>
      <diagonal/>
    </border>
    <border>
      <left style="medium">
        <color indexed="12"/>
      </left>
      <right style="medium">
        <color indexed="12"/>
      </right>
      <top style="thin">
        <color indexed="64"/>
      </top>
      <bottom style="medium">
        <color indexed="12"/>
      </bottom>
      <diagonal/>
    </border>
    <border>
      <left style="thin">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right style="medium">
        <color indexed="64"/>
      </right>
      <top/>
      <bottom style="thin">
        <color indexed="64"/>
      </bottom>
      <diagonal/>
    </border>
    <border>
      <left style="hair">
        <color indexed="64"/>
      </left>
      <right style="hair">
        <color indexed="64"/>
      </right>
      <top/>
      <bottom style="medium">
        <color indexed="64"/>
      </bottom>
      <diagonal/>
    </border>
    <border>
      <left style="medium">
        <color indexed="64"/>
      </left>
      <right style="thin">
        <color indexed="64"/>
      </right>
      <top style="thin">
        <color indexed="64"/>
      </top>
      <bottom/>
      <diagonal/>
    </border>
    <border>
      <left/>
      <right/>
      <top style="medium">
        <color indexed="64"/>
      </top>
      <bottom style="double">
        <color indexed="64"/>
      </bottom>
      <diagonal/>
    </border>
    <border>
      <left/>
      <right/>
      <top/>
      <bottom style="double">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medium">
        <color indexed="64"/>
      </right>
      <top/>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style="hair">
        <color indexed="64"/>
      </left>
      <right style="hair">
        <color indexed="64"/>
      </right>
      <top/>
      <bottom/>
      <diagonal/>
    </border>
    <border>
      <left/>
      <right style="hair">
        <color indexed="64"/>
      </right>
      <top/>
      <bottom/>
      <diagonal/>
    </border>
    <border>
      <left/>
      <right style="hair">
        <color indexed="64"/>
      </right>
      <top/>
      <bottom style="medium">
        <color indexed="64"/>
      </bottom>
      <diagonal/>
    </border>
    <border>
      <left/>
      <right style="hair">
        <color indexed="64"/>
      </right>
      <top style="thin">
        <color indexed="64"/>
      </top>
      <bottom style="medium">
        <color indexed="64"/>
      </bottom>
      <diagonal/>
    </border>
    <border>
      <left style="medium">
        <color indexed="64"/>
      </left>
      <right/>
      <top/>
      <bottom style="thin">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FF0000"/>
      </left>
      <right style="medium">
        <color rgb="FFFF0000"/>
      </right>
      <top style="medium">
        <color rgb="FFFF0000"/>
      </top>
      <bottom style="thin">
        <color indexed="64"/>
      </bottom>
      <diagonal/>
    </border>
    <border>
      <left style="medium">
        <color rgb="FFFF0000"/>
      </left>
      <right style="medium">
        <color rgb="FFFF0000"/>
      </right>
      <top style="thin">
        <color indexed="64"/>
      </top>
      <bottom style="medium">
        <color rgb="FFFF0000"/>
      </bottom>
      <diagonal/>
    </border>
    <border>
      <left style="medium">
        <color rgb="FF0000FF"/>
      </left>
      <right style="medium">
        <color rgb="FF0000FF"/>
      </right>
      <top style="medium">
        <color rgb="FF0000FF"/>
      </top>
      <bottom style="thin">
        <color indexed="64"/>
      </bottom>
      <diagonal/>
    </border>
    <border>
      <left style="medium">
        <color rgb="FF0000FF"/>
      </left>
      <right style="medium">
        <color rgb="FF0000FF"/>
      </right>
      <top style="thin">
        <color indexed="64"/>
      </top>
      <bottom style="thin">
        <color indexed="64"/>
      </bottom>
      <diagonal/>
    </border>
    <border>
      <left style="medium">
        <color rgb="FF0000FF"/>
      </left>
      <right style="medium">
        <color rgb="FF0000FF"/>
      </right>
      <top style="thin">
        <color indexed="64"/>
      </top>
      <bottom style="medium">
        <color rgb="FF0000FF"/>
      </bottom>
      <diagonal/>
    </border>
    <border>
      <left/>
      <right/>
      <top style="thin">
        <color indexed="64"/>
      </top>
      <bottom style="double">
        <color indexed="64"/>
      </bottom>
      <diagonal/>
    </border>
    <border>
      <left style="hair">
        <color indexed="64"/>
      </left>
      <right style="hair">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medium">
        <color indexed="64"/>
      </top>
      <bottom style="thin">
        <color indexed="64"/>
      </bottom>
      <diagonal/>
    </border>
    <border>
      <left style="medium">
        <color rgb="FF0000FF"/>
      </left>
      <right style="medium">
        <color rgb="FF0000FF"/>
      </right>
      <top style="thin">
        <color indexed="64"/>
      </top>
      <bottom/>
      <diagonal/>
    </border>
    <border>
      <left style="thin">
        <color indexed="64"/>
      </left>
      <right style="hair">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style="thin">
        <color indexed="64"/>
      </bottom>
      <diagonal/>
    </border>
    <border>
      <left style="hair">
        <color indexed="64"/>
      </left>
      <right style="medium">
        <color indexed="64"/>
      </right>
      <top/>
      <bottom style="thin">
        <color indexed="64"/>
      </bottom>
      <diagonal/>
    </border>
    <border>
      <left style="medium">
        <color indexed="64"/>
      </left>
      <right style="hair">
        <color indexed="64"/>
      </right>
      <top style="medium">
        <color indexed="64"/>
      </top>
      <bottom/>
      <diagonal/>
    </border>
    <border>
      <left style="hair">
        <color indexed="64"/>
      </left>
      <right style="medium">
        <color indexed="64"/>
      </right>
      <top style="medium">
        <color indexed="64"/>
      </top>
      <bottom/>
      <diagonal/>
    </border>
    <border>
      <left style="medium">
        <color indexed="64"/>
      </left>
      <right style="hair">
        <color indexed="64"/>
      </right>
      <top/>
      <bottom style="medium">
        <color indexed="64"/>
      </bottom>
      <diagonal/>
    </border>
    <border>
      <left style="hair">
        <color indexed="64"/>
      </left>
      <right style="medium">
        <color indexed="64"/>
      </right>
      <top/>
      <bottom style="medium">
        <color indexed="64"/>
      </bottom>
      <diagonal/>
    </border>
    <border>
      <left style="medium">
        <color indexed="64"/>
      </left>
      <right style="hair">
        <color indexed="64"/>
      </right>
      <top style="medium">
        <color indexed="64"/>
      </top>
      <bottom style="thin">
        <color indexed="64"/>
      </bottom>
      <diagonal/>
    </border>
    <border>
      <left style="medium">
        <color indexed="64"/>
      </left>
      <right style="hair">
        <color indexed="64"/>
      </right>
      <top style="thin">
        <color indexed="64"/>
      </top>
      <bottom style="thin">
        <color indexed="64"/>
      </bottom>
      <diagonal/>
    </border>
    <border>
      <left style="medium">
        <color indexed="64"/>
      </left>
      <right style="hair">
        <color indexed="64"/>
      </right>
      <top style="thin">
        <color indexed="64"/>
      </top>
      <bottom style="medium">
        <color indexed="64"/>
      </bottom>
      <diagonal/>
    </border>
    <border>
      <left style="medium">
        <color indexed="64"/>
      </left>
      <right style="hair">
        <color indexed="64"/>
      </right>
      <top/>
      <bottom style="thin">
        <color indexed="64"/>
      </bottom>
      <diagonal/>
    </border>
    <border>
      <left style="hair">
        <color indexed="64"/>
      </left>
      <right style="medium">
        <color indexed="64"/>
      </right>
      <top/>
      <bottom/>
      <diagonal/>
    </border>
    <border>
      <left style="thin">
        <color indexed="64"/>
      </left>
      <right style="hair">
        <color indexed="64"/>
      </right>
      <top/>
      <bottom style="medium">
        <color indexed="64"/>
      </bottom>
      <diagonal/>
    </border>
    <border>
      <left style="thin">
        <color indexed="64"/>
      </left>
      <right style="hair">
        <color indexed="64"/>
      </right>
      <top/>
      <bottom/>
      <diagonal/>
    </border>
    <border>
      <left style="medium">
        <color indexed="64"/>
      </left>
      <right/>
      <top style="medium">
        <color indexed="64"/>
      </top>
      <bottom style="medium">
        <color indexed="64"/>
      </bottom>
      <diagonal/>
    </border>
    <border>
      <left style="medium">
        <color indexed="64"/>
      </left>
      <right style="medium">
        <color indexed="64"/>
      </right>
      <top style="thin">
        <color indexed="64"/>
      </top>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hair">
        <color indexed="64"/>
      </right>
      <top/>
      <bottom style="hair">
        <color indexed="64"/>
      </bottom>
      <diagonal/>
    </border>
    <border>
      <left/>
      <right style="medium">
        <color indexed="64"/>
      </right>
      <top/>
      <bottom style="hair">
        <color indexed="64"/>
      </bottom>
      <diagonal/>
    </border>
    <border>
      <left style="medium">
        <color indexed="64"/>
      </left>
      <right style="hair">
        <color indexed="64"/>
      </right>
      <top style="hair">
        <color indexed="64"/>
      </top>
      <bottom style="thin">
        <color indexed="64"/>
      </bottom>
      <diagonal/>
    </border>
    <border>
      <left/>
      <right style="hair">
        <color indexed="64"/>
      </right>
      <top style="medium">
        <color indexed="64"/>
      </top>
      <bottom/>
      <diagonal/>
    </border>
    <border>
      <left style="medium">
        <color rgb="FFFF0000"/>
      </left>
      <right style="thin">
        <color indexed="64"/>
      </right>
      <top style="medium">
        <color rgb="FFFF0000"/>
      </top>
      <bottom style="thin">
        <color indexed="64"/>
      </bottom>
      <diagonal/>
    </border>
    <border>
      <left style="thin">
        <color indexed="64"/>
      </left>
      <right style="medium">
        <color rgb="FFFF0000"/>
      </right>
      <top style="medium">
        <color rgb="FFFF0000"/>
      </top>
      <bottom style="thin">
        <color indexed="64"/>
      </bottom>
      <diagonal/>
    </border>
    <border>
      <left style="medium">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left style="medium">
        <color rgb="FFFF0000"/>
      </left>
      <right style="medium">
        <color rgb="FFFF0000"/>
      </right>
      <top/>
      <bottom style="medium">
        <color rgb="FFFF0000"/>
      </bottom>
      <diagonal/>
    </border>
    <border>
      <left style="medium">
        <color rgb="FF0000FF"/>
      </left>
      <right style="medium">
        <color rgb="FF0000FF"/>
      </right>
      <top style="thin">
        <color indexed="64"/>
      </top>
      <bottom style="medium">
        <color indexed="64"/>
      </bottom>
      <diagonal/>
    </border>
    <border>
      <left style="medium">
        <color rgb="FFFF0000"/>
      </left>
      <right style="medium">
        <color auto="1"/>
      </right>
      <top style="medium">
        <color auto="1"/>
      </top>
      <bottom style="thin">
        <color indexed="64"/>
      </bottom>
      <diagonal/>
    </border>
    <border>
      <left style="medium">
        <color rgb="FFFF0000"/>
      </left>
      <right style="medium">
        <color auto="1"/>
      </right>
      <top style="thin">
        <color indexed="64"/>
      </top>
      <bottom style="medium">
        <color auto="1"/>
      </bottom>
      <diagonal/>
    </border>
    <border>
      <left style="medium">
        <color rgb="FFFF0000"/>
      </left>
      <right style="medium">
        <color rgb="FFFF0000"/>
      </right>
      <top style="thin">
        <color indexed="64"/>
      </top>
      <bottom style="thin">
        <color indexed="64"/>
      </bottom>
      <diagonal/>
    </border>
    <border>
      <left style="thin">
        <color theme="1"/>
      </left>
      <right style="medium">
        <color indexed="12"/>
      </right>
      <top style="thin">
        <color theme="1"/>
      </top>
      <bottom style="thin">
        <color indexed="64"/>
      </bottom>
      <diagonal/>
    </border>
    <border>
      <left style="thin">
        <color theme="1"/>
      </left>
      <right style="medium">
        <color indexed="12"/>
      </right>
      <top style="thin">
        <color indexed="64"/>
      </top>
      <bottom style="thin">
        <color theme="1"/>
      </bottom>
      <diagonal/>
    </border>
    <border>
      <left style="medium">
        <color indexed="12"/>
      </left>
      <right/>
      <top style="thin">
        <color auto="1"/>
      </top>
      <bottom style="thin">
        <color auto="1"/>
      </bottom>
      <diagonal/>
    </border>
    <border>
      <left style="medium">
        <color rgb="FF0000FF"/>
      </left>
      <right/>
      <top style="medium">
        <color rgb="FF0000FF"/>
      </top>
      <bottom style="thin">
        <color indexed="64"/>
      </bottom>
      <diagonal/>
    </border>
    <border>
      <left/>
      <right style="medium">
        <color rgb="FF0000FF"/>
      </right>
      <top style="medium">
        <color rgb="FF0000FF"/>
      </top>
      <bottom style="thin">
        <color indexed="64"/>
      </bottom>
      <diagonal/>
    </border>
    <border>
      <left style="medium">
        <color rgb="FF0000FF"/>
      </left>
      <right/>
      <top style="thin">
        <color indexed="64"/>
      </top>
      <bottom style="medium">
        <color rgb="FF0000FF"/>
      </bottom>
      <diagonal/>
    </border>
    <border>
      <left/>
      <right style="medium">
        <color rgb="FF0000FF"/>
      </right>
      <top style="thin">
        <color indexed="64"/>
      </top>
      <bottom style="medium">
        <color rgb="FF0000FF"/>
      </bottom>
      <diagonal/>
    </border>
    <border>
      <left style="thin">
        <color indexed="64"/>
      </left>
      <right style="medium">
        <color rgb="FF0000FF"/>
      </right>
      <top style="medium">
        <color indexed="64"/>
      </top>
      <bottom style="thin">
        <color indexed="64"/>
      </bottom>
      <diagonal/>
    </border>
    <border>
      <left style="medium">
        <color rgb="FF0000FF"/>
      </left>
      <right style="medium">
        <color indexed="64"/>
      </right>
      <top style="medium">
        <color indexed="64"/>
      </top>
      <bottom style="thin">
        <color indexed="64"/>
      </bottom>
      <diagonal/>
    </border>
    <border>
      <left style="thin">
        <color indexed="64"/>
      </left>
      <right style="medium">
        <color rgb="FF0000FF"/>
      </right>
      <top style="thin">
        <color indexed="64"/>
      </top>
      <bottom style="medium">
        <color indexed="64"/>
      </bottom>
      <diagonal/>
    </border>
    <border>
      <left style="medium">
        <color rgb="FF0000FF"/>
      </left>
      <right style="medium">
        <color indexed="64"/>
      </right>
      <top style="thin">
        <color indexed="64"/>
      </top>
      <bottom style="medium">
        <color indexed="64"/>
      </bottom>
      <diagonal/>
    </border>
    <border>
      <left style="medium">
        <color rgb="FF0000FF"/>
      </left>
      <right style="medium">
        <color rgb="FF0000FF"/>
      </right>
      <top/>
      <bottom style="medium">
        <color indexed="64"/>
      </bottom>
      <diagonal/>
    </border>
    <border>
      <left style="thin">
        <color indexed="64"/>
      </left>
      <right style="medium">
        <color rgb="FFFF0000"/>
      </right>
      <top style="thin">
        <color indexed="64"/>
      </top>
      <bottom/>
      <diagonal/>
    </border>
    <border>
      <left style="medium">
        <color rgb="FFFF0000"/>
      </left>
      <right style="thin">
        <color indexed="64"/>
      </right>
      <top style="thin">
        <color indexed="64"/>
      </top>
      <bottom style="thin">
        <color indexed="64"/>
      </bottom>
      <diagonal/>
    </border>
    <border>
      <left style="medium">
        <color rgb="FFFF0000"/>
      </left>
      <right style="thin">
        <color indexed="64"/>
      </right>
      <top style="thin">
        <color indexed="64"/>
      </top>
      <bottom/>
      <diagonal/>
    </border>
    <border>
      <left style="thin">
        <color indexed="64"/>
      </left>
      <right style="thin">
        <color indexed="64"/>
      </right>
      <top style="medium">
        <color rgb="FFFF0000"/>
      </top>
      <bottom style="thin">
        <color indexed="64"/>
      </bottom>
      <diagonal/>
    </border>
    <border>
      <left style="medium">
        <color rgb="FF0000FF"/>
      </left>
      <right style="thin">
        <color indexed="64"/>
      </right>
      <top style="thin">
        <color indexed="64"/>
      </top>
      <bottom style="thin">
        <color indexed="64"/>
      </bottom>
      <diagonal/>
    </border>
    <border>
      <left style="medium">
        <color rgb="FF0000FF"/>
      </left>
      <right style="thin">
        <color indexed="64"/>
      </right>
      <top style="thin">
        <color indexed="64"/>
      </top>
      <bottom style="medium">
        <color indexed="64"/>
      </bottom>
      <diagonal/>
    </border>
    <border>
      <left style="thin">
        <color indexed="64"/>
      </left>
      <right style="hair">
        <color indexed="64"/>
      </right>
      <top style="medium">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style="medium">
        <color indexed="64"/>
      </bottom>
      <diagonal/>
    </border>
    <border>
      <left style="medium">
        <color rgb="FFFF0000"/>
      </left>
      <right style="medium">
        <color indexed="64"/>
      </right>
      <top style="medium">
        <color rgb="FFFF0000"/>
      </top>
      <bottom style="thin">
        <color indexed="64"/>
      </bottom>
      <diagonal/>
    </border>
    <border>
      <left style="medium">
        <color rgb="FFFF0000"/>
      </left>
      <right style="medium">
        <color indexed="64"/>
      </right>
      <top/>
      <bottom/>
      <diagonal/>
    </border>
    <border>
      <left style="medium">
        <color rgb="FFFF0000"/>
      </left>
      <right style="medium">
        <color indexed="64"/>
      </right>
      <top style="thin">
        <color indexed="64"/>
      </top>
      <bottom style="medium">
        <color rgb="FFFF0000"/>
      </bottom>
      <diagonal/>
    </border>
  </borders>
  <cellStyleXfs count="2497">
    <xf numFmtId="0" fontId="0" fillId="0" borderId="0">
      <alignment vertical="center"/>
    </xf>
    <xf numFmtId="0" fontId="38" fillId="0" borderId="0"/>
    <xf numFmtId="49" fontId="39" fillId="0" borderId="1">
      <alignment horizontal="center"/>
    </xf>
    <xf numFmtId="49" fontId="39" fillId="0" borderId="1">
      <alignment horizontal="center"/>
    </xf>
    <xf numFmtId="49" fontId="39" fillId="0" borderId="1">
      <alignment horizontal="center"/>
    </xf>
    <xf numFmtId="49" fontId="39" fillId="0" borderId="1">
      <alignment horizontal="center"/>
    </xf>
    <xf numFmtId="24" fontId="40" fillId="0" borderId="0" applyFont="0" applyFill="0" applyBorder="0" applyAlignment="0" applyProtection="0"/>
    <xf numFmtId="0" fontId="40" fillId="0" borderId="0" applyNumberFormat="0" applyFont="0" applyFill="0" applyBorder="0" applyAlignment="0" applyProtection="0"/>
    <xf numFmtId="0" fontId="40" fillId="0" borderId="0" applyNumberFormat="0" applyFont="0" applyFill="0" applyBorder="0" applyAlignment="0" applyProtection="0"/>
    <xf numFmtId="0" fontId="40" fillId="0" borderId="0" applyNumberFormat="0" applyFont="0" applyFill="0" applyBorder="0" applyAlignment="0" applyProtection="0"/>
    <xf numFmtId="0" fontId="38" fillId="0" borderId="0"/>
    <xf numFmtId="0" fontId="38" fillId="0" borderId="0"/>
    <xf numFmtId="0" fontId="41" fillId="0" borderId="0"/>
    <xf numFmtId="0" fontId="41" fillId="0" borderId="0"/>
    <xf numFmtId="0" fontId="42" fillId="0" borderId="0"/>
    <xf numFmtId="0" fontId="41" fillId="0" borderId="0"/>
    <xf numFmtId="0" fontId="39" fillId="0" borderId="0" applyFont="0" applyFill="0" applyBorder="0" applyAlignment="0" applyProtection="0"/>
    <xf numFmtId="0" fontId="39" fillId="0" borderId="0" applyFont="0" applyFill="0" applyBorder="0" applyAlignment="0" applyProtection="0"/>
    <xf numFmtId="0" fontId="39" fillId="0" borderId="0" applyFont="0" applyFill="0" applyBorder="0" applyAlignment="0" applyProtection="0"/>
    <xf numFmtId="0" fontId="41" fillId="0" borderId="0"/>
    <xf numFmtId="0" fontId="42" fillId="0" borderId="0"/>
    <xf numFmtId="0" fontId="41" fillId="0" borderId="0"/>
    <xf numFmtId="0" fontId="39" fillId="0" borderId="0" applyFont="0" applyFill="0" applyBorder="0" applyAlignment="0" applyProtection="0"/>
    <xf numFmtId="0" fontId="39" fillId="0" borderId="0" applyFont="0" applyFill="0" applyBorder="0" applyAlignment="0" applyProtection="0"/>
    <xf numFmtId="0" fontId="41" fillId="0" borderId="0"/>
    <xf numFmtId="0" fontId="41" fillId="0" borderId="0"/>
    <xf numFmtId="0" fontId="41" fillId="0" borderId="0"/>
    <xf numFmtId="0" fontId="43" fillId="0" borderId="0"/>
    <xf numFmtId="0" fontId="39" fillId="0" borderId="0" applyFont="0" applyFill="0" applyBorder="0" applyAlignment="0" applyProtection="0"/>
    <xf numFmtId="0" fontId="41" fillId="0" borderId="0"/>
    <xf numFmtId="0" fontId="39" fillId="0" borderId="0" applyFont="0" applyFill="0" applyBorder="0" applyAlignment="0" applyProtection="0"/>
    <xf numFmtId="0" fontId="44" fillId="0" borderId="0"/>
    <xf numFmtId="178" fontId="38" fillId="0" borderId="0" applyNumberFormat="0" applyFont="0" applyFill="0" applyBorder="0" applyAlignment="0" applyProtection="0"/>
    <xf numFmtId="0" fontId="45" fillId="0" borderId="0" applyFont="0" applyFill="0" applyBorder="0" applyAlignment="0" applyProtection="0"/>
    <xf numFmtId="0" fontId="46" fillId="0" borderId="0" applyFont="0" applyFill="0" applyBorder="0" applyAlignment="0" applyProtection="0"/>
    <xf numFmtId="0" fontId="47" fillId="0" borderId="0" applyFont="0" applyFill="0" applyBorder="0" applyAlignment="0" applyProtection="0"/>
    <xf numFmtId="0" fontId="48" fillId="0" borderId="0" applyFont="0" applyFill="0" applyBorder="0" applyAlignment="0" applyProtection="0"/>
    <xf numFmtId="0" fontId="47" fillId="0" borderId="0" applyFont="0" applyFill="0" applyBorder="0" applyAlignment="0" applyProtection="0"/>
    <xf numFmtId="0" fontId="48" fillId="0" borderId="0" applyFont="0" applyFill="0" applyBorder="0" applyAlignment="0" applyProtection="0"/>
    <xf numFmtId="0" fontId="23" fillId="0" borderId="0" applyFont="0" applyFill="0" applyBorder="0" applyAlignment="0" applyProtection="0"/>
    <xf numFmtId="0" fontId="49" fillId="0" borderId="0" applyFont="0" applyFill="0" applyBorder="0" applyAlignment="0" applyProtection="0"/>
    <xf numFmtId="0" fontId="50" fillId="0" borderId="0" applyFont="0" applyFill="0" applyBorder="0" applyAlignment="0" applyProtection="0"/>
    <xf numFmtId="0" fontId="48" fillId="0" borderId="0" applyFont="0" applyFill="0" applyBorder="0" applyAlignment="0" applyProtection="0"/>
    <xf numFmtId="0" fontId="47" fillId="0" borderId="0" applyFont="0" applyFill="0" applyBorder="0" applyAlignment="0" applyProtection="0"/>
    <xf numFmtId="0" fontId="48" fillId="0" borderId="0" applyFont="0" applyFill="0" applyBorder="0" applyAlignment="0" applyProtection="0"/>
    <xf numFmtId="0" fontId="47" fillId="0" borderId="0" applyFont="0" applyFill="0" applyBorder="0" applyAlignment="0" applyProtection="0"/>
    <xf numFmtId="0" fontId="48" fillId="0" borderId="0" applyFont="0" applyFill="0" applyBorder="0" applyAlignment="0" applyProtection="0"/>
    <xf numFmtId="42" fontId="51" fillId="0" borderId="0" applyFont="0" applyFill="0" applyBorder="0" applyAlignment="0" applyProtection="0"/>
    <xf numFmtId="42" fontId="49" fillId="0" borderId="0" applyFont="0" applyFill="0" applyBorder="0" applyAlignment="0" applyProtection="0"/>
    <xf numFmtId="0" fontId="51" fillId="0" borderId="0" applyFont="0" applyFill="0" applyBorder="0" applyAlignment="0" applyProtection="0"/>
    <xf numFmtId="0" fontId="48" fillId="0" borderId="0" applyFont="0" applyFill="0" applyBorder="0" applyAlignment="0" applyProtection="0"/>
    <xf numFmtId="42" fontId="51" fillId="0" borderId="0" applyFont="0" applyFill="0" applyBorder="0" applyAlignment="0" applyProtection="0"/>
    <xf numFmtId="42" fontId="49" fillId="0" borderId="0" applyFont="0" applyFill="0" applyBorder="0" applyAlignment="0" applyProtection="0"/>
    <xf numFmtId="0" fontId="47" fillId="0" borderId="0" applyFont="0" applyFill="0" applyBorder="0" applyAlignment="0" applyProtection="0"/>
    <xf numFmtId="0" fontId="48" fillId="0" borderId="0" applyFont="0" applyFill="0" applyBorder="0" applyAlignment="0" applyProtection="0"/>
    <xf numFmtId="0" fontId="47" fillId="0" borderId="0" applyFont="0" applyFill="0" applyBorder="0" applyAlignment="0" applyProtection="0"/>
    <xf numFmtId="0" fontId="48" fillId="0" borderId="0" applyFont="0" applyFill="0" applyBorder="0" applyAlignment="0" applyProtection="0"/>
    <xf numFmtId="0" fontId="47" fillId="0" borderId="0" applyFont="0" applyFill="0" applyBorder="0" applyAlignment="0" applyProtection="0"/>
    <xf numFmtId="0" fontId="48" fillId="0" borderId="0" applyFont="0" applyFill="0" applyBorder="0" applyAlignment="0" applyProtection="0"/>
    <xf numFmtId="0" fontId="47" fillId="0" borderId="0" applyFont="0" applyFill="0" applyBorder="0" applyAlignment="0" applyProtection="0"/>
    <xf numFmtId="0" fontId="48" fillId="0" borderId="0" applyFont="0" applyFill="0" applyBorder="0" applyAlignment="0" applyProtection="0"/>
    <xf numFmtId="0" fontId="47" fillId="0" borderId="0" applyFont="0" applyFill="0" applyBorder="0" applyAlignment="0" applyProtection="0"/>
    <xf numFmtId="0" fontId="48" fillId="0" borderId="0" applyFont="0" applyFill="0" applyBorder="0" applyAlignment="0" applyProtection="0"/>
    <xf numFmtId="0" fontId="47" fillId="0" borderId="0" applyFont="0" applyFill="0" applyBorder="0" applyAlignment="0" applyProtection="0"/>
    <xf numFmtId="0" fontId="48" fillId="0" borderId="0" applyFont="0" applyFill="0" applyBorder="0" applyAlignment="0" applyProtection="0"/>
    <xf numFmtId="0" fontId="23" fillId="0" borderId="0" applyFont="0" applyFill="0" applyBorder="0" applyAlignment="0" applyProtection="0"/>
    <xf numFmtId="0" fontId="49" fillId="0" borderId="0" applyFont="0" applyFill="0" applyBorder="0" applyAlignment="0" applyProtection="0"/>
    <xf numFmtId="0" fontId="50" fillId="0" borderId="0" applyFont="0" applyFill="0" applyBorder="0" applyAlignment="0" applyProtection="0"/>
    <xf numFmtId="0" fontId="48" fillId="0" borderId="0" applyFont="0" applyFill="0" applyBorder="0" applyAlignment="0" applyProtection="0"/>
    <xf numFmtId="0" fontId="47" fillId="0" borderId="0" applyFont="0" applyFill="0" applyBorder="0" applyAlignment="0" applyProtection="0"/>
    <xf numFmtId="0" fontId="48" fillId="0" borderId="0" applyFont="0" applyFill="0" applyBorder="0" applyAlignment="0" applyProtection="0"/>
    <xf numFmtId="0" fontId="47" fillId="0" borderId="0" applyFont="0" applyFill="0" applyBorder="0" applyAlignment="0" applyProtection="0"/>
    <xf numFmtId="0" fontId="48" fillId="0" borderId="0" applyFont="0" applyFill="0" applyBorder="0" applyAlignment="0" applyProtection="0"/>
    <xf numFmtId="44" fontId="51" fillId="0" borderId="0" applyFont="0" applyFill="0" applyBorder="0" applyAlignment="0" applyProtection="0"/>
    <xf numFmtId="44" fontId="49" fillId="0" borderId="0" applyFont="0" applyFill="0" applyBorder="0" applyAlignment="0" applyProtection="0"/>
    <xf numFmtId="0" fontId="51" fillId="0" borderId="0" applyFont="0" applyFill="0" applyBorder="0" applyAlignment="0" applyProtection="0"/>
    <xf numFmtId="0" fontId="48" fillId="0" borderId="0" applyFont="0" applyFill="0" applyBorder="0" applyAlignment="0" applyProtection="0"/>
    <xf numFmtId="44" fontId="51" fillId="0" borderId="0" applyFont="0" applyFill="0" applyBorder="0" applyAlignment="0" applyProtection="0"/>
    <xf numFmtId="44" fontId="49" fillId="0" borderId="0" applyFont="0" applyFill="0" applyBorder="0" applyAlignment="0" applyProtection="0"/>
    <xf numFmtId="0" fontId="47" fillId="0" borderId="0" applyFont="0" applyFill="0" applyBorder="0" applyAlignment="0" applyProtection="0"/>
    <xf numFmtId="0" fontId="48" fillId="0" borderId="0" applyFont="0" applyFill="0" applyBorder="0" applyAlignment="0" applyProtection="0"/>
    <xf numFmtId="0" fontId="47" fillId="0" borderId="0" applyFont="0" applyFill="0" applyBorder="0" applyAlignment="0" applyProtection="0"/>
    <xf numFmtId="0" fontId="48" fillId="0" borderId="0" applyFont="0" applyFill="0" applyBorder="0" applyAlignment="0" applyProtection="0"/>
    <xf numFmtId="0" fontId="47" fillId="0" borderId="0" applyFont="0" applyFill="0" applyBorder="0" applyAlignment="0" applyProtection="0"/>
    <xf numFmtId="0" fontId="48" fillId="0" borderId="0" applyFont="0" applyFill="0" applyBorder="0" applyAlignment="0" applyProtection="0"/>
    <xf numFmtId="0" fontId="47" fillId="0" borderId="0" applyFont="0" applyFill="0" applyBorder="0" applyAlignment="0" applyProtection="0"/>
    <xf numFmtId="0" fontId="48" fillId="0" borderId="0" applyFont="0" applyFill="0" applyBorder="0" applyAlignment="0" applyProtection="0"/>
    <xf numFmtId="0" fontId="52" fillId="0" borderId="0" applyFont="0" applyFill="0" applyBorder="0" applyAlignment="0" applyProtection="0"/>
    <xf numFmtId="0" fontId="52" fillId="0" borderId="0" applyFont="0" applyFill="0" applyBorder="0" applyAlignment="0" applyProtection="0"/>
    <xf numFmtId="0" fontId="53" fillId="0" borderId="0" applyFont="0" applyFill="0" applyBorder="0" applyAlignment="0" applyProtection="0"/>
    <xf numFmtId="0" fontId="54" fillId="0" borderId="0" applyFont="0" applyFill="0" applyBorder="0" applyAlignment="0" applyProtection="0"/>
    <xf numFmtId="0" fontId="53" fillId="0" borderId="0" applyFont="0" applyFill="0" applyBorder="0" applyAlignment="0" applyProtection="0"/>
    <xf numFmtId="0" fontId="54" fillId="0" borderId="0" applyFont="0" applyFill="0" applyBorder="0" applyAlignment="0" applyProtection="0"/>
    <xf numFmtId="41" fontId="51" fillId="0" borderId="0" applyFont="0" applyFill="0" applyBorder="0" applyAlignment="0" applyProtection="0"/>
    <xf numFmtId="41" fontId="49" fillId="0" borderId="0" applyFont="0" applyFill="0" applyBorder="0" applyAlignment="0" applyProtection="0"/>
    <xf numFmtId="0" fontId="50" fillId="0" borderId="0" applyFont="0" applyFill="0" applyBorder="0" applyAlignment="0" applyProtection="0"/>
    <xf numFmtId="0" fontId="48" fillId="0" borderId="0" applyFont="0" applyFill="0" applyBorder="0" applyAlignment="0" applyProtection="0"/>
    <xf numFmtId="0" fontId="53" fillId="0" borderId="0" applyFont="0" applyFill="0" applyBorder="0" applyAlignment="0" applyProtection="0"/>
    <xf numFmtId="0" fontId="54" fillId="0" borderId="0" applyFont="0" applyFill="0" applyBorder="0" applyAlignment="0" applyProtection="0"/>
    <xf numFmtId="0" fontId="47" fillId="0" borderId="0" applyFont="0" applyFill="0" applyBorder="0" applyAlignment="0" applyProtection="0"/>
    <xf numFmtId="0" fontId="48" fillId="0" borderId="0" applyFont="0" applyFill="0" applyBorder="0" applyAlignment="0" applyProtection="0"/>
    <xf numFmtId="41" fontId="51" fillId="0" borderId="0" applyFont="0" applyFill="0" applyBorder="0" applyAlignment="0" applyProtection="0"/>
    <xf numFmtId="41" fontId="49" fillId="0" borderId="0" applyFont="0" applyFill="0" applyBorder="0" applyAlignment="0" applyProtection="0"/>
    <xf numFmtId="41" fontId="51" fillId="0" borderId="0" applyFont="0" applyFill="0" applyBorder="0" applyAlignment="0" applyProtection="0"/>
    <xf numFmtId="41" fontId="49" fillId="0" borderId="0" applyFont="0" applyFill="0" applyBorder="0" applyAlignment="0" applyProtection="0"/>
    <xf numFmtId="0" fontId="53" fillId="0" borderId="0" applyFont="0" applyFill="0" applyBorder="0" applyAlignment="0" applyProtection="0"/>
    <xf numFmtId="0" fontId="54" fillId="0" borderId="0" applyFont="0" applyFill="0" applyBorder="0" applyAlignment="0" applyProtection="0"/>
    <xf numFmtId="0" fontId="53" fillId="0" borderId="0" applyFont="0" applyFill="0" applyBorder="0" applyAlignment="0" applyProtection="0"/>
    <xf numFmtId="0" fontId="54" fillId="0" borderId="0" applyFont="0" applyFill="0" applyBorder="0" applyAlignment="0" applyProtection="0"/>
    <xf numFmtId="0" fontId="38" fillId="0" borderId="0" applyFont="0" applyFill="0" applyBorder="0" applyAlignment="0" applyProtection="0"/>
    <xf numFmtId="0" fontId="48" fillId="0" borderId="0" applyFont="0" applyFill="0" applyBorder="0" applyAlignment="0" applyProtection="0"/>
    <xf numFmtId="0" fontId="47" fillId="0" borderId="0" applyFont="0" applyFill="0" applyBorder="0" applyAlignment="0" applyProtection="0"/>
    <xf numFmtId="0" fontId="48" fillId="0" borderId="0" applyFont="0" applyFill="0" applyBorder="0" applyAlignment="0" applyProtection="0"/>
    <xf numFmtId="0" fontId="47" fillId="0" borderId="0" applyFont="0" applyFill="0" applyBorder="0" applyAlignment="0" applyProtection="0"/>
    <xf numFmtId="0" fontId="48" fillId="0" borderId="0" applyFont="0" applyFill="0" applyBorder="0" applyAlignment="0" applyProtection="0"/>
    <xf numFmtId="43" fontId="51" fillId="0" borderId="0" applyFont="0" applyFill="0" applyBorder="0" applyAlignment="0" applyProtection="0"/>
    <xf numFmtId="43" fontId="49" fillId="0" borderId="0" applyFont="0" applyFill="0" applyBorder="0" applyAlignment="0" applyProtection="0"/>
    <xf numFmtId="0" fontId="50" fillId="0" borderId="0" applyFont="0" applyFill="0" applyBorder="0" applyAlignment="0" applyProtection="0"/>
    <xf numFmtId="0" fontId="48" fillId="0" borderId="0" applyFont="0" applyFill="0" applyBorder="0" applyAlignment="0" applyProtection="0"/>
    <xf numFmtId="0" fontId="47" fillId="0" borderId="0" applyFont="0" applyFill="0" applyBorder="0" applyAlignment="0" applyProtection="0"/>
    <xf numFmtId="0" fontId="48" fillId="0" borderId="0" applyFont="0" applyFill="0" applyBorder="0" applyAlignment="0" applyProtection="0"/>
    <xf numFmtId="0" fontId="47" fillId="0" borderId="0" applyFont="0" applyFill="0" applyBorder="0" applyAlignment="0" applyProtection="0"/>
    <xf numFmtId="0" fontId="48" fillId="0" borderId="0" applyFont="0" applyFill="0" applyBorder="0" applyAlignment="0" applyProtection="0"/>
    <xf numFmtId="43" fontId="51" fillId="0" borderId="0" applyFont="0" applyFill="0" applyBorder="0" applyAlignment="0" applyProtection="0"/>
    <xf numFmtId="43" fontId="49" fillId="0" borderId="0" applyFont="0" applyFill="0" applyBorder="0" applyAlignment="0" applyProtection="0"/>
    <xf numFmtId="43" fontId="51" fillId="0" borderId="0" applyFont="0" applyFill="0" applyBorder="0" applyAlignment="0" applyProtection="0"/>
    <xf numFmtId="43" fontId="49" fillId="0" borderId="0" applyFont="0" applyFill="0" applyBorder="0" applyAlignment="0" applyProtection="0"/>
    <xf numFmtId="0" fontId="47" fillId="0" borderId="0" applyFont="0" applyFill="0" applyBorder="0" applyAlignment="0" applyProtection="0"/>
    <xf numFmtId="0" fontId="48" fillId="0" borderId="0" applyFont="0" applyFill="0" applyBorder="0" applyAlignment="0" applyProtection="0"/>
    <xf numFmtId="0" fontId="47" fillId="0" borderId="0" applyFont="0" applyFill="0" applyBorder="0" applyAlignment="0" applyProtection="0"/>
    <xf numFmtId="0" fontId="48" fillId="0" borderId="0" applyFont="0" applyFill="0" applyBorder="0" applyAlignment="0" applyProtection="0"/>
    <xf numFmtId="0" fontId="55" fillId="0" borderId="0" applyFont="0" applyFill="0" applyBorder="0" applyAlignment="0" applyProtection="0"/>
    <xf numFmtId="0" fontId="48" fillId="0" borderId="0" applyFont="0" applyFill="0" applyBorder="0" applyAlignment="0" applyProtection="0"/>
    <xf numFmtId="0" fontId="56" fillId="0" borderId="0"/>
    <xf numFmtId="0" fontId="47" fillId="0" borderId="0"/>
    <xf numFmtId="0" fontId="48" fillId="0" borderId="0"/>
    <xf numFmtId="0" fontId="47" fillId="0" borderId="0"/>
    <xf numFmtId="0" fontId="48" fillId="0" borderId="0"/>
    <xf numFmtId="0" fontId="51" fillId="0" borderId="0"/>
    <xf numFmtId="0" fontId="49" fillId="0" borderId="0"/>
    <xf numFmtId="0" fontId="50" fillId="0" borderId="0"/>
    <xf numFmtId="0" fontId="48" fillId="0" borderId="0"/>
    <xf numFmtId="0" fontId="47" fillId="0" borderId="0"/>
    <xf numFmtId="0" fontId="56" fillId="0" borderId="0"/>
    <xf numFmtId="0" fontId="56" fillId="0" borderId="0"/>
    <xf numFmtId="0" fontId="48" fillId="0" borderId="0"/>
    <xf numFmtId="0" fontId="47" fillId="0" borderId="0"/>
    <xf numFmtId="0" fontId="48" fillId="0" borderId="0"/>
    <xf numFmtId="0" fontId="51" fillId="0" borderId="0"/>
    <xf numFmtId="0" fontId="49" fillId="0" borderId="0"/>
    <xf numFmtId="0" fontId="56" fillId="0" borderId="0" applyNumberFormat="0"/>
    <xf numFmtId="0" fontId="56" fillId="0" borderId="0" applyNumberFormat="0"/>
    <xf numFmtId="0" fontId="51" fillId="0" borderId="0"/>
    <xf numFmtId="0" fontId="49" fillId="0" borderId="0"/>
    <xf numFmtId="0" fontId="47" fillId="0" borderId="0"/>
    <xf numFmtId="0" fontId="48" fillId="0" borderId="0"/>
    <xf numFmtId="0" fontId="47" fillId="0" borderId="0"/>
    <xf numFmtId="0" fontId="48" fillId="0" borderId="0"/>
    <xf numFmtId="0" fontId="51" fillId="0" borderId="0"/>
    <xf numFmtId="0" fontId="49" fillId="0" borderId="0"/>
    <xf numFmtId="0" fontId="47" fillId="0" borderId="0"/>
    <xf numFmtId="0" fontId="48" fillId="0" borderId="0"/>
    <xf numFmtId="0" fontId="47" fillId="0" borderId="0"/>
    <xf numFmtId="0" fontId="48" fillId="0" borderId="0"/>
    <xf numFmtId="0" fontId="57" fillId="0" borderId="0"/>
    <xf numFmtId="0" fontId="58" fillId="0" borderId="0"/>
    <xf numFmtId="0" fontId="57" fillId="0" borderId="0"/>
    <xf numFmtId="0" fontId="58" fillId="0" borderId="0"/>
    <xf numFmtId="0" fontId="59" fillId="0" borderId="0"/>
    <xf numFmtId="0" fontId="60" fillId="0" borderId="0"/>
    <xf numFmtId="0" fontId="47" fillId="0" borderId="0"/>
    <xf numFmtId="0" fontId="48" fillId="0" borderId="0"/>
    <xf numFmtId="0" fontId="47" fillId="0" borderId="0"/>
    <xf numFmtId="0" fontId="48" fillId="0" borderId="0"/>
    <xf numFmtId="0" fontId="47" fillId="0" borderId="0"/>
    <xf numFmtId="0" fontId="48" fillId="0" borderId="0"/>
    <xf numFmtId="0" fontId="47" fillId="0" borderId="0"/>
    <xf numFmtId="0" fontId="48" fillId="0" borderId="0"/>
    <xf numFmtId="0" fontId="61" fillId="0" borderId="0"/>
    <xf numFmtId="0" fontId="41" fillId="0" borderId="0" applyFont="0" applyFill="0" applyBorder="0" applyAlignment="0" applyProtection="0"/>
    <xf numFmtId="0" fontId="23" fillId="0" borderId="0"/>
    <xf numFmtId="0" fontId="41" fillId="0" borderId="0" applyFont="0" applyFill="0" applyBorder="0" applyAlignment="0" applyProtection="0"/>
    <xf numFmtId="0" fontId="39" fillId="0" borderId="0" applyFont="0" applyFill="0" applyBorder="0" applyAlignment="0" applyProtection="0"/>
    <xf numFmtId="0" fontId="41" fillId="0" borderId="0" applyFont="0" applyFill="0" applyBorder="0" applyAlignment="0" applyProtection="0"/>
    <xf numFmtId="0" fontId="41" fillId="0" borderId="0" applyFont="0" applyFill="0" applyBorder="0" applyAlignment="0" applyProtection="0"/>
    <xf numFmtId="0" fontId="23" fillId="0" borderId="0"/>
    <xf numFmtId="0" fontId="23" fillId="0" borderId="0"/>
    <xf numFmtId="179" fontId="62" fillId="0" borderId="0" applyFont="0" applyFill="0" applyBorder="0" applyAlignment="0" applyProtection="0"/>
    <xf numFmtId="38" fontId="63" fillId="2" borderId="0" applyNumberFormat="0" applyBorder="0" applyAlignment="0" applyProtection="0"/>
    <xf numFmtId="0" fontId="64" fillId="0" borderId="0">
      <alignment horizontal="left"/>
    </xf>
    <xf numFmtId="0" fontId="65" fillId="0" borderId="2" applyNumberFormat="0" applyAlignment="0" applyProtection="0">
      <alignment horizontal="left" vertical="center"/>
    </xf>
    <xf numFmtId="0" fontId="65" fillId="0" borderId="3">
      <alignment horizontal="left" vertical="center"/>
    </xf>
    <xf numFmtId="10" fontId="63" fillId="2" borderId="4" applyNumberFormat="0" applyBorder="0" applyAlignment="0" applyProtection="0"/>
    <xf numFmtId="0" fontId="66" fillId="0" borderId="5"/>
    <xf numFmtId="0" fontId="23" fillId="0" borderId="0"/>
    <xf numFmtId="0" fontId="41" fillId="0" borderId="0"/>
    <xf numFmtId="10" fontId="41" fillId="0" borderId="0" applyFont="0" applyFill="0" applyBorder="0" applyAlignment="0" applyProtection="0"/>
    <xf numFmtId="0" fontId="38" fillId="0" borderId="0"/>
    <xf numFmtId="0" fontId="66" fillId="0" borderId="0"/>
    <xf numFmtId="180" fontId="67" fillId="0" borderId="0"/>
    <xf numFmtId="180" fontId="67" fillId="0" borderId="0"/>
    <xf numFmtId="180" fontId="67" fillId="0" borderId="0"/>
    <xf numFmtId="180" fontId="67" fillId="0" borderId="0"/>
    <xf numFmtId="180" fontId="67" fillId="0" borderId="0"/>
    <xf numFmtId="180" fontId="67" fillId="0" borderId="0"/>
    <xf numFmtId="180" fontId="67" fillId="0" borderId="0"/>
    <xf numFmtId="180" fontId="67" fillId="0" borderId="0"/>
    <xf numFmtId="180" fontId="67" fillId="0" borderId="0"/>
    <xf numFmtId="180" fontId="67" fillId="0" borderId="0"/>
    <xf numFmtId="180" fontId="67" fillId="0" borderId="0"/>
    <xf numFmtId="176" fontId="68" fillId="0" borderId="0">
      <alignment vertical="center"/>
    </xf>
    <xf numFmtId="0" fontId="69" fillId="0" borderId="0" applyNumberFormat="0" applyFill="0" applyBorder="0" applyAlignment="0" applyProtection="0">
      <alignment vertical="top"/>
      <protection locked="0"/>
    </xf>
    <xf numFmtId="40" fontId="70" fillId="0" borderId="0" applyFont="0" applyFill="0" applyBorder="0" applyAlignment="0" applyProtection="0"/>
    <xf numFmtId="38" fontId="70" fillId="0" borderId="0" applyFont="0" applyFill="0" applyBorder="0" applyAlignment="0" applyProtection="0"/>
    <xf numFmtId="0" fontId="70" fillId="0" borderId="0" applyFont="0" applyFill="0" applyBorder="0" applyAlignment="0" applyProtection="0"/>
    <xf numFmtId="0" fontId="70" fillId="0" borderId="0" applyFont="0" applyFill="0" applyBorder="0" applyAlignment="0" applyProtection="0"/>
    <xf numFmtId="9" fontId="94" fillId="0" borderId="0" applyFont="0" applyFill="0" applyBorder="0" applyAlignment="0" applyProtection="0">
      <alignment vertical="center"/>
    </xf>
    <xf numFmtId="9" fontId="93" fillId="0" borderId="0" applyFont="0" applyFill="0" applyBorder="0" applyAlignment="0" applyProtection="0">
      <alignment vertical="center"/>
    </xf>
    <xf numFmtId="0" fontId="71" fillId="0" borderId="0"/>
    <xf numFmtId="41" fontId="94" fillId="0" borderId="0" applyFont="0" applyFill="0" applyBorder="0" applyAlignment="0" applyProtection="0">
      <alignment vertical="center"/>
    </xf>
    <xf numFmtId="41" fontId="93" fillId="0" borderId="0" applyFont="0" applyFill="0" applyBorder="0" applyAlignment="0" applyProtection="0">
      <alignment vertical="center"/>
    </xf>
    <xf numFmtId="0" fontId="41"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42"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42"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42"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42"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72" fillId="0" borderId="0" applyFont="0" applyFill="0" applyBorder="0" applyAlignment="0" applyProtection="0"/>
    <xf numFmtId="181" fontId="23" fillId="0" borderId="0" applyFont="0" applyFill="0" applyBorder="0" applyAlignment="0" applyProtection="0"/>
    <xf numFmtId="182" fontId="73" fillId="0" borderId="0" applyFont="0" applyFill="0" applyBorder="0" applyAlignment="0" applyProtection="0"/>
    <xf numFmtId="181" fontId="23" fillId="0" borderId="0" applyFont="0" applyFill="0" applyBorder="0" applyAlignment="0" applyProtection="0"/>
    <xf numFmtId="181" fontId="23" fillId="0" borderId="0" applyFont="0" applyFill="0" applyBorder="0" applyAlignment="0" applyProtection="0"/>
    <xf numFmtId="181" fontId="23" fillId="0" borderId="0" applyFont="0" applyFill="0" applyBorder="0" applyAlignment="0" applyProtection="0"/>
    <xf numFmtId="0" fontId="23" fillId="0" borderId="0" applyFont="0" applyFill="0" applyBorder="0" applyAlignment="0" applyProtection="0"/>
    <xf numFmtId="181" fontId="23" fillId="0" borderId="0" applyFont="0" applyFill="0" applyBorder="0" applyAlignment="0" applyProtection="0"/>
    <xf numFmtId="0" fontId="23" fillId="0" borderId="0" applyFont="0" applyFill="0" applyBorder="0" applyAlignment="0" applyProtection="0"/>
    <xf numFmtId="181" fontId="23" fillId="0" borderId="0" applyFont="0" applyFill="0" applyBorder="0" applyAlignment="0" applyProtection="0"/>
    <xf numFmtId="181" fontId="23" fillId="0" borderId="0" applyFont="0" applyFill="0" applyBorder="0" applyAlignment="0" applyProtection="0"/>
    <xf numFmtId="0" fontId="23" fillId="0" borderId="0" applyFont="0" applyFill="0" applyBorder="0" applyAlignment="0" applyProtection="0"/>
    <xf numFmtId="0" fontId="23" fillId="0" borderId="0" applyFont="0" applyFill="0" applyBorder="0" applyAlignment="0" applyProtection="0"/>
    <xf numFmtId="0" fontId="23" fillId="0" borderId="0" applyFont="0" applyFill="0" applyBorder="0" applyAlignment="0" applyProtection="0"/>
    <xf numFmtId="181" fontId="23" fillId="0" borderId="0" applyFont="0" applyFill="0" applyBorder="0" applyAlignment="0" applyProtection="0"/>
    <xf numFmtId="0" fontId="23" fillId="0" borderId="0" applyFont="0" applyFill="0" applyBorder="0" applyAlignment="0" applyProtection="0"/>
    <xf numFmtId="181" fontId="23" fillId="0" borderId="0" applyFont="0" applyFill="0" applyBorder="0" applyAlignment="0" applyProtection="0"/>
    <xf numFmtId="183" fontId="23" fillId="0" borderId="0" applyFont="0" applyFill="0" applyBorder="0" applyAlignment="0" applyProtection="0"/>
    <xf numFmtId="181" fontId="23" fillId="0" borderId="0" applyFont="0" applyFill="0" applyBorder="0" applyAlignment="0" applyProtection="0"/>
    <xf numFmtId="181" fontId="23" fillId="0" borderId="0" applyFont="0" applyFill="0" applyBorder="0" applyAlignment="0" applyProtection="0"/>
    <xf numFmtId="181" fontId="23" fillId="0" borderId="0" applyFont="0" applyFill="0" applyBorder="0" applyAlignment="0" applyProtection="0"/>
    <xf numFmtId="184" fontId="23" fillId="0" borderId="0" applyFont="0" applyFill="0" applyBorder="0" applyAlignment="0" applyProtection="0"/>
    <xf numFmtId="181" fontId="23" fillId="0" borderId="0" applyFont="0" applyFill="0" applyBorder="0" applyAlignment="0" applyProtection="0"/>
    <xf numFmtId="0" fontId="23" fillId="0" borderId="0" applyFont="0" applyFill="0" applyBorder="0" applyAlignment="0" applyProtection="0"/>
    <xf numFmtId="181" fontId="23" fillId="0" borderId="0" applyFont="0" applyFill="0" applyBorder="0" applyAlignment="0" applyProtection="0"/>
    <xf numFmtId="181" fontId="23" fillId="0" borderId="0" applyFont="0" applyFill="0" applyBorder="0" applyAlignment="0" applyProtection="0"/>
    <xf numFmtId="181" fontId="23" fillId="0" borderId="0" applyFont="0" applyFill="0" applyBorder="0" applyAlignment="0" applyProtection="0"/>
    <xf numFmtId="0" fontId="23" fillId="0" borderId="0" applyFont="0" applyFill="0" applyBorder="0" applyAlignment="0" applyProtection="0"/>
    <xf numFmtId="181" fontId="23" fillId="0" borderId="0" applyFont="0" applyFill="0" applyBorder="0" applyAlignment="0" applyProtection="0"/>
    <xf numFmtId="181" fontId="23" fillId="0" borderId="0" applyFont="0" applyFill="0" applyBorder="0" applyAlignment="0" applyProtection="0"/>
    <xf numFmtId="0" fontId="23" fillId="0" borderId="0" applyFont="0" applyFill="0" applyBorder="0" applyAlignment="0" applyProtection="0"/>
    <xf numFmtId="181" fontId="23" fillId="0" borderId="0" applyFont="0" applyFill="0" applyBorder="0" applyAlignment="0" applyProtection="0"/>
    <xf numFmtId="0" fontId="23" fillId="0" borderId="0" applyFont="0" applyFill="0" applyBorder="0" applyAlignment="0" applyProtection="0"/>
    <xf numFmtId="0" fontId="23" fillId="0" borderId="0" applyFont="0" applyFill="0" applyBorder="0" applyAlignment="0" applyProtection="0"/>
    <xf numFmtId="181" fontId="23" fillId="0" borderId="0" applyFont="0" applyFill="0" applyBorder="0" applyAlignment="0" applyProtection="0"/>
    <xf numFmtId="185" fontId="72" fillId="0" borderId="0" applyFont="0" applyFill="0" applyBorder="0" applyAlignment="0" applyProtection="0"/>
    <xf numFmtId="186" fontId="45" fillId="0" borderId="0" applyFont="0" applyFill="0" applyBorder="0" applyAlignment="0" applyProtection="0"/>
    <xf numFmtId="186" fontId="45" fillId="0" borderId="0" applyFont="0" applyFill="0" applyBorder="0" applyAlignment="0" applyProtection="0"/>
    <xf numFmtId="186" fontId="45" fillId="0" borderId="0" applyFont="0" applyFill="0" applyBorder="0" applyAlignment="0" applyProtection="0"/>
    <xf numFmtId="186" fontId="45" fillId="0" borderId="0" applyFont="0" applyFill="0" applyBorder="0" applyAlignment="0" applyProtection="0"/>
    <xf numFmtId="186" fontId="45" fillId="0" borderId="0" applyFont="0" applyFill="0" applyBorder="0" applyAlignment="0" applyProtection="0"/>
    <xf numFmtId="187" fontId="23" fillId="0" borderId="0" applyFont="0" applyFill="0" applyBorder="0" applyAlignment="0" applyProtection="0"/>
    <xf numFmtId="188" fontId="23" fillId="0" borderId="0" applyFont="0" applyFill="0" applyBorder="0" applyAlignment="0" applyProtection="0"/>
    <xf numFmtId="0" fontId="45" fillId="0" borderId="0" applyFont="0" applyFill="0" applyBorder="0" applyAlignment="0" applyProtection="0"/>
    <xf numFmtId="186" fontId="45" fillId="0" borderId="0" applyFont="0" applyFill="0" applyBorder="0" applyAlignment="0" applyProtection="0"/>
    <xf numFmtId="0" fontId="45" fillId="0" borderId="0" applyFont="0" applyFill="0" applyBorder="0" applyAlignment="0" applyProtection="0"/>
    <xf numFmtId="186" fontId="45" fillId="0" borderId="0" applyFont="0" applyFill="0" applyBorder="0" applyAlignment="0" applyProtection="0"/>
    <xf numFmtId="186" fontId="45" fillId="0" borderId="0" applyFont="0" applyFill="0" applyBorder="0" applyAlignment="0" applyProtection="0"/>
    <xf numFmtId="0" fontId="45" fillId="0" borderId="0" applyFont="0" applyFill="0" applyBorder="0" applyAlignment="0" applyProtection="0"/>
    <xf numFmtId="0" fontId="45" fillId="0" borderId="0" applyFont="0" applyFill="0" applyBorder="0" applyAlignment="0" applyProtection="0"/>
    <xf numFmtId="0" fontId="45" fillId="0" borderId="0" applyFont="0" applyFill="0" applyBorder="0" applyAlignment="0" applyProtection="0"/>
    <xf numFmtId="189" fontId="23" fillId="0" borderId="0" applyFont="0" applyFill="0" applyBorder="0" applyAlignment="0" applyProtection="0"/>
    <xf numFmtId="186" fontId="45" fillId="0" borderId="0" applyFont="0" applyFill="0" applyBorder="0" applyAlignment="0" applyProtection="0"/>
    <xf numFmtId="0" fontId="45" fillId="0" borderId="0" applyFont="0" applyFill="0" applyBorder="0" applyAlignment="0" applyProtection="0"/>
    <xf numFmtId="186" fontId="45" fillId="0" borderId="0" applyFont="0" applyFill="0" applyBorder="0" applyAlignment="0" applyProtection="0"/>
    <xf numFmtId="190" fontId="23" fillId="0" borderId="0" applyFont="0" applyFill="0" applyBorder="0" applyAlignment="0" applyProtection="0"/>
    <xf numFmtId="0" fontId="45" fillId="0" borderId="0" applyFont="0" applyFill="0" applyBorder="0" applyAlignment="0" applyProtection="0"/>
    <xf numFmtId="186" fontId="45" fillId="0" borderId="0" applyFont="0" applyFill="0" applyBorder="0" applyAlignment="0" applyProtection="0"/>
    <xf numFmtId="186" fontId="45" fillId="0" borderId="0" applyFont="0" applyFill="0" applyBorder="0" applyAlignment="0" applyProtection="0"/>
    <xf numFmtId="191" fontId="23" fillId="0" borderId="0" applyFont="0" applyFill="0" applyBorder="0" applyAlignment="0" applyProtection="0"/>
    <xf numFmtId="190" fontId="23" fillId="0" borderId="0" applyFont="0" applyFill="0" applyBorder="0" applyAlignment="0" applyProtection="0"/>
    <xf numFmtId="0" fontId="45" fillId="0" borderId="0" applyFont="0" applyFill="0" applyBorder="0" applyAlignment="0" applyProtection="0"/>
    <xf numFmtId="186" fontId="45" fillId="0" borderId="0" applyFont="0" applyFill="0" applyBorder="0" applyAlignment="0" applyProtection="0"/>
    <xf numFmtId="0" fontId="45" fillId="0" borderId="0" applyFont="0" applyFill="0" applyBorder="0" applyAlignment="0" applyProtection="0"/>
    <xf numFmtId="186" fontId="45" fillId="0" borderId="0" applyFont="0" applyFill="0" applyBorder="0" applyAlignment="0" applyProtection="0"/>
    <xf numFmtId="186" fontId="45" fillId="0" borderId="0" applyFont="0" applyFill="0" applyBorder="0" applyAlignment="0" applyProtection="0"/>
    <xf numFmtId="186" fontId="45" fillId="0" borderId="0" applyFont="0" applyFill="0" applyBorder="0" applyAlignment="0" applyProtection="0"/>
    <xf numFmtId="0" fontId="45" fillId="0" borderId="0" applyFont="0" applyFill="0" applyBorder="0" applyAlignment="0" applyProtection="0"/>
    <xf numFmtId="186" fontId="45" fillId="0" borderId="0" applyFont="0" applyFill="0" applyBorder="0" applyAlignment="0" applyProtection="0"/>
    <xf numFmtId="186" fontId="45" fillId="0" borderId="0" applyFont="0" applyFill="0" applyBorder="0" applyAlignment="0" applyProtection="0"/>
    <xf numFmtId="0" fontId="45" fillId="0" borderId="0" applyFont="0" applyFill="0" applyBorder="0" applyAlignment="0" applyProtection="0"/>
    <xf numFmtId="186" fontId="45" fillId="0" borderId="0" applyFont="0" applyFill="0" applyBorder="0" applyAlignment="0" applyProtection="0"/>
    <xf numFmtId="186" fontId="45" fillId="0" borderId="0" applyFont="0" applyFill="0" applyBorder="0" applyAlignment="0" applyProtection="0"/>
    <xf numFmtId="187" fontId="23" fillId="0" borderId="0" applyFont="0" applyFill="0" applyBorder="0" applyAlignment="0" applyProtection="0"/>
    <xf numFmtId="186" fontId="45" fillId="0" borderId="0" applyFont="0" applyFill="0" applyBorder="0" applyAlignment="0" applyProtection="0"/>
    <xf numFmtId="0" fontId="45" fillId="0" borderId="0" applyFont="0" applyFill="0" applyBorder="0" applyAlignment="0" applyProtection="0"/>
    <xf numFmtId="0" fontId="45" fillId="0" borderId="0" applyFont="0" applyFill="0" applyBorder="0" applyAlignment="0" applyProtection="0"/>
    <xf numFmtId="0" fontId="23" fillId="0" borderId="0" applyFont="0" applyFill="0" applyBorder="0" applyAlignment="0" applyProtection="0"/>
    <xf numFmtId="192" fontId="23" fillId="0" borderId="0" applyFont="0" applyFill="0" applyBorder="0" applyAlignment="0" applyProtection="0"/>
    <xf numFmtId="0" fontId="23" fillId="0" borderId="0" applyFont="0" applyFill="0" applyBorder="0" applyAlignment="0" applyProtection="0"/>
    <xf numFmtId="192" fontId="23" fillId="0" borderId="0" applyFont="0" applyFill="0" applyBorder="0" applyAlignment="0" applyProtection="0"/>
    <xf numFmtId="192" fontId="23" fillId="0" borderId="0" applyFont="0" applyFill="0" applyBorder="0" applyAlignment="0" applyProtection="0"/>
    <xf numFmtId="0" fontId="23" fillId="0" borderId="0" applyFont="0" applyFill="0" applyBorder="0" applyAlignment="0" applyProtection="0"/>
    <xf numFmtId="192" fontId="23" fillId="0" borderId="0" applyFont="0" applyFill="0" applyBorder="0" applyAlignment="0" applyProtection="0"/>
    <xf numFmtId="192" fontId="23" fillId="0" borderId="0" applyFont="0" applyFill="0" applyBorder="0" applyAlignment="0" applyProtection="0"/>
    <xf numFmtId="0" fontId="23" fillId="0" borderId="0" applyFont="0" applyFill="0" applyBorder="0" applyAlignment="0" applyProtection="0"/>
    <xf numFmtId="0" fontId="23" fillId="0" borderId="0" applyFont="0" applyFill="0" applyBorder="0" applyAlignment="0" applyProtection="0"/>
    <xf numFmtId="192" fontId="23" fillId="0" borderId="0" applyFont="0" applyFill="0" applyBorder="0" applyAlignment="0" applyProtection="0"/>
    <xf numFmtId="192" fontId="23" fillId="0" borderId="0" applyFont="0" applyFill="0" applyBorder="0" applyAlignment="0" applyProtection="0"/>
    <xf numFmtId="0" fontId="23" fillId="0" borderId="0" applyFont="0" applyFill="0" applyBorder="0" applyAlignment="0" applyProtection="0"/>
    <xf numFmtId="192" fontId="23" fillId="0" borderId="0" applyFont="0" applyFill="0" applyBorder="0" applyAlignment="0" applyProtection="0"/>
    <xf numFmtId="0" fontId="23" fillId="0" borderId="0" applyFont="0" applyFill="0" applyBorder="0" applyAlignment="0" applyProtection="0"/>
    <xf numFmtId="192" fontId="23" fillId="0" borderId="0" applyFont="0" applyFill="0" applyBorder="0" applyAlignment="0" applyProtection="0"/>
    <xf numFmtId="192" fontId="23" fillId="0" borderId="0" applyFont="0" applyFill="0" applyBorder="0" applyAlignment="0" applyProtection="0"/>
    <xf numFmtId="192" fontId="23" fillId="0" borderId="0" applyFont="0" applyFill="0" applyBorder="0" applyAlignment="0" applyProtection="0"/>
    <xf numFmtId="0" fontId="23" fillId="0" borderId="0" applyFont="0" applyFill="0" applyBorder="0" applyAlignment="0" applyProtection="0"/>
    <xf numFmtId="0" fontId="23" fillId="0" borderId="0" applyFont="0" applyFill="0" applyBorder="0" applyAlignment="0" applyProtection="0"/>
    <xf numFmtId="192" fontId="23" fillId="0" borderId="0" applyFont="0" applyFill="0" applyBorder="0" applyAlignment="0" applyProtection="0"/>
    <xf numFmtId="0" fontId="23" fillId="0" borderId="0" applyFont="0" applyFill="0" applyBorder="0" applyAlignment="0" applyProtection="0"/>
    <xf numFmtId="0" fontId="23" fillId="0" borderId="0" applyFont="0" applyFill="0" applyBorder="0" applyAlignment="0" applyProtection="0"/>
    <xf numFmtId="192" fontId="23" fillId="0" borderId="0" applyFont="0" applyFill="0" applyBorder="0" applyAlignment="0" applyProtection="0"/>
    <xf numFmtId="192" fontId="23" fillId="0" borderId="0" applyFont="0" applyFill="0" applyBorder="0" applyAlignment="0" applyProtection="0"/>
    <xf numFmtId="186" fontId="45" fillId="0" borderId="0" applyFont="0" applyFill="0" applyBorder="0" applyAlignment="0" applyProtection="0"/>
    <xf numFmtId="186" fontId="45" fillId="0" borderId="0" applyFont="0" applyFill="0" applyBorder="0" applyAlignment="0" applyProtection="0"/>
    <xf numFmtId="186" fontId="45" fillId="0" borderId="0" applyFont="0" applyFill="0" applyBorder="0" applyAlignment="0" applyProtection="0"/>
    <xf numFmtId="186" fontId="45" fillId="0" borderId="0" applyFont="0" applyFill="0" applyBorder="0" applyAlignment="0" applyProtection="0"/>
    <xf numFmtId="186" fontId="45" fillId="0" borderId="0" applyFont="0" applyFill="0" applyBorder="0" applyAlignment="0" applyProtection="0"/>
    <xf numFmtId="186" fontId="45" fillId="0" borderId="0" applyFont="0" applyFill="0" applyBorder="0" applyAlignment="0" applyProtection="0"/>
    <xf numFmtId="187" fontId="23" fillId="0" borderId="0" applyFont="0" applyFill="0" applyBorder="0" applyAlignment="0" applyProtection="0"/>
    <xf numFmtId="188" fontId="23" fillId="0" borderId="0" applyFont="0" applyFill="0" applyBorder="0" applyAlignment="0" applyProtection="0"/>
    <xf numFmtId="0" fontId="45" fillId="0" borderId="0" applyFont="0" applyFill="0" applyBorder="0" applyAlignment="0" applyProtection="0"/>
    <xf numFmtId="186" fontId="45" fillId="0" borderId="0" applyFont="0" applyFill="0" applyBorder="0" applyAlignment="0" applyProtection="0"/>
    <xf numFmtId="0" fontId="45" fillId="0" borderId="0" applyFont="0" applyFill="0" applyBorder="0" applyAlignment="0" applyProtection="0"/>
    <xf numFmtId="186" fontId="45" fillId="0" borderId="0" applyFont="0" applyFill="0" applyBorder="0" applyAlignment="0" applyProtection="0"/>
    <xf numFmtId="186" fontId="45" fillId="0" borderId="0" applyFont="0" applyFill="0" applyBorder="0" applyAlignment="0" applyProtection="0"/>
    <xf numFmtId="0" fontId="45" fillId="0" borderId="0" applyFont="0" applyFill="0" applyBorder="0" applyAlignment="0" applyProtection="0"/>
    <xf numFmtId="0" fontId="45" fillId="0" borderId="0" applyFont="0" applyFill="0" applyBorder="0" applyAlignment="0" applyProtection="0"/>
    <xf numFmtId="0" fontId="45" fillId="0" borderId="0" applyFont="0" applyFill="0" applyBorder="0" applyAlignment="0" applyProtection="0"/>
    <xf numFmtId="189" fontId="23" fillId="0" borderId="0" applyFont="0" applyFill="0" applyBorder="0" applyAlignment="0" applyProtection="0"/>
    <xf numFmtId="186" fontId="45" fillId="0" borderId="0" applyFont="0" applyFill="0" applyBorder="0" applyAlignment="0" applyProtection="0"/>
    <xf numFmtId="0" fontId="45" fillId="0" borderId="0" applyFont="0" applyFill="0" applyBorder="0" applyAlignment="0" applyProtection="0"/>
    <xf numFmtId="186" fontId="45" fillId="0" borderId="0" applyFont="0" applyFill="0" applyBorder="0" applyAlignment="0" applyProtection="0"/>
    <xf numFmtId="190" fontId="23" fillId="0" borderId="0" applyFont="0" applyFill="0" applyBorder="0" applyAlignment="0" applyProtection="0"/>
    <xf numFmtId="0" fontId="45" fillId="0" borderId="0" applyFont="0" applyFill="0" applyBorder="0" applyAlignment="0" applyProtection="0"/>
    <xf numFmtId="186" fontId="45" fillId="0" borderId="0" applyFont="0" applyFill="0" applyBorder="0" applyAlignment="0" applyProtection="0"/>
    <xf numFmtId="186" fontId="45" fillId="0" borderId="0" applyFont="0" applyFill="0" applyBorder="0" applyAlignment="0" applyProtection="0"/>
    <xf numFmtId="191" fontId="23" fillId="0" borderId="0" applyFont="0" applyFill="0" applyBorder="0" applyAlignment="0" applyProtection="0"/>
    <xf numFmtId="190" fontId="23" fillId="0" borderId="0" applyFont="0" applyFill="0" applyBorder="0" applyAlignment="0" applyProtection="0"/>
    <xf numFmtId="0" fontId="45" fillId="0" borderId="0" applyFont="0" applyFill="0" applyBorder="0" applyAlignment="0" applyProtection="0"/>
    <xf numFmtId="186" fontId="45" fillId="0" borderId="0" applyFont="0" applyFill="0" applyBorder="0" applyAlignment="0" applyProtection="0"/>
    <xf numFmtId="0" fontId="45" fillId="0" borderId="0" applyFont="0" applyFill="0" applyBorder="0" applyAlignment="0" applyProtection="0"/>
    <xf numFmtId="186" fontId="45" fillId="0" borderId="0" applyFont="0" applyFill="0" applyBorder="0" applyAlignment="0" applyProtection="0"/>
    <xf numFmtId="186" fontId="45" fillId="0" borderId="0" applyFont="0" applyFill="0" applyBorder="0" applyAlignment="0" applyProtection="0"/>
    <xf numFmtId="186" fontId="45" fillId="0" borderId="0" applyFont="0" applyFill="0" applyBorder="0" applyAlignment="0" applyProtection="0"/>
    <xf numFmtId="0" fontId="45" fillId="0" borderId="0" applyFont="0" applyFill="0" applyBorder="0" applyAlignment="0" applyProtection="0"/>
    <xf numFmtId="186" fontId="45" fillId="0" borderId="0" applyFont="0" applyFill="0" applyBorder="0" applyAlignment="0" applyProtection="0"/>
    <xf numFmtId="186" fontId="45" fillId="0" borderId="0" applyFont="0" applyFill="0" applyBorder="0" applyAlignment="0" applyProtection="0"/>
    <xf numFmtId="0" fontId="45" fillId="0" borderId="0" applyFont="0" applyFill="0" applyBorder="0" applyAlignment="0" applyProtection="0"/>
    <xf numFmtId="186" fontId="45" fillId="0" borderId="0" applyFont="0" applyFill="0" applyBorder="0" applyAlignment="0" applyProtection="0"/>
    <xf numFmtId="186" fontId="45" fillId="0" borderId="0" applyFont="0" applyFill="0" applyBorder="0" applyAlignment="0" applyProtection="0"/>
    <xf numFmtId="187" fontId="23" fillId="0" borderId="0" applyFont="0" applyFill="0" applyBorder="0" applyAlignment="0" applyProtection="0"/>
    <xf numFmtId="186" fontId="45" fillId="0" borderId="0" applyFont="0" applyFill="0" applyBorder="0" applyAlignment="0" applyProtection="0"/>
    <xf numFmtId="0" fontId="45" fillId="0" borderId="0" applyFont="0" applyFill="0" applyBorder="0" applyAlignment="0" applyProtection="0"/>
    <xf numFmtId="0" fontId="45" fillId="0" borderId="0" applyFont="0" applyFill="0" applyBorder="0" applyAlignment="0" applyProtection="0"/>
    <xf numFmtId="0" fontId="23" fillId="0" borderId="0" applyFont="0" applyFill="0" applyBorder="0" applyAlignment="0" applyProtection="0"/>
    <xf numFmtId="192" fontId="23" fillId="0" borderId="0" applyFont="0" applyFill="0" applyBorder="0" applyAlignment="0" applyProtection="0"/>
    <xf numFmtId="0" fontId="23" fillId="0" borderId="0" applyFont="0" applyFill="0" applyBorder="0" applyAlignment="0" applyProtection="0"/>
    <xf numFmtId="192" fontId="23" fillId="0" borderId="0" applyFont="0" applyFill="0" applyBorder="0" applyAlignment="0" applyProtection="0"/>
    <xf numFmtId="192" fontId="23" fillId="0" borderId="0" applyFont="0" applyFill="0" applyBorder="0" applyAlignment="0" applyProtection="0"/>
    <xf numFmtId="0" fontId="23" fillId="0" borderId="0" applyFont="0" applyFill="0" applyBorder="0" applyAlignment="0" applyProtection="0"/>
    <xf numFmtId="192" fontId="23" fillId="0" borderId="0" applyFont="0" applyFill="0" applyBorder="0" applyAlignment="0" applyProtection="0"/>
    <xf numFmtId="192" fontId="23" fillId="0" borderId="0" applyFont="0" applyFill="0" applyBorder="0" applyAlignment="0" applyProtection="0"/>
    <xf numFmtId="0" fontId="23" fillId="0" borderId="0" applyFont="0" applyFill="0" applyBorder="0" applyAlignment="0" applyProtection="0"/>
    <xf numFmtId="0" fontId="23" fillId="0" borderId="0" applyFont="0" applyFill="0" applyBorder="0" applyAlignment="0" applyProtection="0"/>
    <xf numFmtId="192" fontId="23" fillId="0" borderId="0" applyFont="0" applyFill="0" applyBorder="0" applyAlignment="0" applyProtection="0"/>
    <xf numFmtId="192" fontId="23" fillId="0" borderId="0" applyFont="0" applyFill="0" applyBorder="0" applyAlignment="0" applyProtection="0"/>
    <xf numFmtId="0" fontId="23" fillId="0" borderId="0" applyFont="0" applyFill="0" applyBorder="0" applyAlignment="0" applyProtection="0"/>
    <xf numFmtId="192" fontId="23" fillId="0" borderId="0" applyFont="0" applyFill="0" applyBorder="0" applyAlignment="0" applyProtection="0"/>
    <xf numFmtId="0" fontId="23" fillId="0" borderId="0" applyFont="0" applyFill="0" applyBorder="0" applyAlignment="0" applyProtection="0"/>
    <xf numFmtId="192" fontId="23" fillId="0" borderId="0" applyFont="0" applyFill="0" applyBorder="0" applyAlignment="0" applyProtection="0"/>
    <xf numFmtId="192" fontId="23" fillId="0" borderId="0" applyFont="0" applyFill="0" applyBorder="0" applyAlignment="0" applyProtection="0"/>
    <xf numFmtId="192" fontId="23" fillId="0" borderId="0" applyFont="0" applyFill="0" applyBorder="0" applyAlignment="0" applyProtection="0"/>
    <xf numFmtId="0" fontId="23" fillId="0" borderId="0" applyFont="0" applyFill="0" applyBorder="0" applyAlignment="0" applyProtection="0"/>
    <xf numFmtId="0" fontId="23" fillId="0" borderId="0" applyFont="0" applyFill="0" applyBorder="0" applyAlignment="0" applyProtection="0"/>
    <xf numFmtId="192" fontId="23" fillId="0" borderId="0" applyFont="0" applyFill="0" applyBorder="0" applyAlignment="0" applyProtection="0"/>
    <xf numFmtId="0" fontId="23" fillId="0" borderId="0" applyFont="0" applyFill="0" applyBorder="0" applyAlignment="0" applyProtection="0"/>
    <xf numFmtId="0" fontId="23" fillId="0" borderId="0" applyFont="0" applyFill="0" applyBorder="0" applyAlignment="0" applyProtection="0"/>
    <xf numFmtId="192" fontId="23" fillId="0" borderId="0" applyFont="0" applyFill="0" applyBorder="0" applyAlignment="0" applyProtection="0"/>
    <xf numFmtId="192" fontId="23" fillId="0" borderId="0" applyFont="0" applyFill="0" applyBorder="0" applyAlignment="0" applyProtection="0"/>
    <xf numFmtId="186" fontId="45" fillId="0" borderId="0" applyFont="0" applyFill="0" applyBorder="0" applyAlignment="0" applyProtection="0"/>
    <xf numFmtId="185" fontId="72" fillId="0" borderId="0" applyFont="0" applyFill="0" applyBorder="0" applyAlignment="0" applyProtection="0"/>
    <xf numFmtId="185" fontId="72" fillId="0" borderId="0" applyFont="0" applyFill="0" applyBorder="0" applyAlignment="0" applyProtection="0"/>
    <xf numFmtId="193" fontId="23" fillId="0" borderId="0" applyFont="0" applyFill="0" applyBorder="0" applyAlignment="0" applyProtection="0"/>
    <xf numFmtId="185" fontId="72" fillId="0" borderId="0" applyFont="0" applyFill="0" applyBorder="0" applyAlignment="0" applyProtection="0"/>
    <xf numFmtId="185" fontId="72" fillId="0" borderId="0" applyFont="0" applyFill="0" applyBorder="0" applyAlignment="0" applyProtection="0"/>
    <xf numFmtId="0" fontId="72" fillId="0" borderId="0" applyFont="0" applyFill="0" applyBorder="0" applyAlignment="0" applyProtection="0"/>
    <xf numFmtId="185" fontId="72" fillId="0" borderId="0" applyFont="0" applyFill="0" applyBorder="0" applyAlignment="0" applyProtection="0"/>
    <xf numFmtId="0" fontId="72" fillId="0" borderId="0" applyFont="0" applyFill="0" applyBorder="0" applyAlignment="0" applyProtection="0"/>
    <xf numFmtId="185" fontId="72" fillId="0" borderId="0" applyFont="0" applyFill="0" applyBorder="0" applyAlignment="0" applyProtection="0"/>
    <xf numFmtId="185" fontId="72" fillId="0" borderId="0" applyFont="0" applyFill="0" applyBorder="0" applyAlignment="0" applyProtection="0"/>
    <xf numFmtId="0" fontId="72" fillId="0" borderId="0" applyFont="0" applyFill="0" applyBorder="0" applyAlignment="0" applyProtection="0"/>
    <xf numFmtId="0" fontId="72" fillId="0" borderId="0" applyFont="0" applyFill="0" applyBorder="0" applyAlignment="0" applyProtection="0"/>
    <xf numFmtId="0" fontId="72" fillId="0" borderId="0" applyFont="0" applyFill="0" applyBorder="0" applyAlignment="0" applyProtection="0"/>
    <xf numFmtId="185" fontId="72" fillId="0" borderId="0" applyFont="0" applyFill="0" applyBorder="0" applyAlignment="0" applyProtection="0"/>
    <xf numFmtId="0" fontId="72" fillId="0" borderId="0" applyFont="0" applyFill="0" applyBorder="0" applyAlignment="0" applyProtection="0"/>
    <xf numFmtId="185" fontId="72" fillId="0" borderId="0" applyFont="0" applyFill="0" applyBorder="0" applyAlignment="0" applyProtection="0"/>
    <xf numFmtId="185" fontId="72" fillId="0" borderId="0" applyFont="0" applyFill="0" applyBorder="0" applyAlignment="0" applyProtection="0"/>
    <xf numFmtId="0" fontId="72" fillId="0" borderId="0" applyFont="0" applyFill="0" applyBorder="0" applyAlignment="0" applyProtection="0"/>
    <xf numFmtId="185" fontId="72" fillId="0" borderId="0" applyFont="0" applyFill="0" applyBorder="0" applyAlignment="0" applyProtection="0"/>
    <xf numFmtId="185" fontId="72" fillId="0" borderId="0" applyFont="0" applyFill="0" applyBorder="0" applyAlignment="0" applyProtection="0"/>
    <xf numFmtId="185" fontId="72" fillId="0" borderId="0" applyFont="0" applyFill="0" applyBorder="0" applyAlignment="0" applyProtection="0"/>
    <xf numFmtId="0" fontId="72" fillId="0" borderId="0" applyFont="0" applyFill="0" applyBorder="0" applyAlignment="0" applyProtection="0"/>
    <xf numFmtId="185" fontId="72" fillId="0" borderId="0" applyFont="0" applyFill="0" applyBorder="0" applyAlignment="0" applyProtection="0"/>
    <xf numFmtId="185" fontId="72" fillId="0" borderId="0" applyFont="0" applyFill="0" applyBorder="0" applyAlignment="0" applyProtection="0"/>
    <xf numFmtId="0" fontId="72" fillId="0" borderId="0" applyFont="0" applyFill="0" applyBorder="0" applyAlignment="0" applyProtection="0"/>
    <xf numFmtId="185" fontId="72" fillId="0" borderId="0" applyFont="0" applyFill="0" applyBorder="0" applyAlignment="0" applyProtection="0"/>
    <xf numFmtId="0" fontId="72" fillId="0" borderId="0" applyFont="0" applyFill="0" applyBorder="0" applyAlignment="0" applyProtection="0"/>
    <xf numFmtId="0" fontId="72" fillId="0" borderId="0" applyFont="0" applyFill="0" applyBorder="0" applyAlignment="0" applyProtection="0"/>
    <xf numFmtId="0" fontId="23" fillId="0" borderId="0" applyFont="0" applyFill="0" applyBorder="0" applyAlignment="0" applyProtection="0"/>
    <xf numFmtId="194" fontId="23" fillId="0" borderId="0" applyFont="0" applyFill="0" applyBorder="0" applyAlignment="0" applyProtection="0"/>
    <xf numFmtId="0" fontId="23" fillId="0" borderId="0" applyFont="0" applyFill="0" applyBorder="0" applyAlignment="0" applyProtection="0"/>
    <xf numFmtId="194" fontId="23" fillId="0" borderId="0" applyFont="0" applyFill="0" applyBorder="0" applyAlignment="0" applyProtection="0"/>
    <xf numFmtId="194" fontId="23" fillId="0" borderId="0" applyFont="0" applyFill="0" applyBorder="0" applyAlignment="0" applyProtection="0"/>
    <xf numFmtId="0" fontId="23" fillId="0" borderId="0" applyFont="0" applyFill="0" applyBorder="0" applyAlignment="0" applyProtection="0"/>
    <xf numFmtId="194" fontId="23" fillId="0" borderId="0" applyFont="0" applyFill="0" applyBorder="0" applyAlignment="0" applyProtection="0"/>
    <xf numFmtId="194" fontId="23" fillId="0" borderId="0" applyFont="0" applyFill="0" applyBorder="0" applyAlignment="0" applyProtection="0"/>
    <xf numFmtId="0" fontId="23" fillId="0" borderId="0" applyFont="0" applyFill="0" applyBorder="0" applyAlignment="0" applyProtection="0"/>
    <xf numFmtId="0" fontId="23" fillId="0" borderId="0" applyFont="0" applyFill="0" applyBorder="0" applyAlignment="0" applyProtection="0"/>
    <xf numFmtId="194" fontId="23" fillId="0" borderId="0" applyFont="0" applyFill="0" applyBorder="0" applyAlignment="0" applyProtection="0"/>
    <xf numFmtId="194" fontId="23" fillId="0" borderId="0" applyFont="0" applyFill="0" applyBorder="0" applyAlignment="0" applyProtection="0"/>
    <xf numFmtId="0" fontId="23" fillId="0" borderId="0" applyFont="0" applyFill="0" applyBorder="0" applyAlignment="0" applyProtection="0"/>
    <xf numFmtId="194" fontId="23" fillId="0" borderId="0" applyFont="0" applyFill="0" applyBorder="0" applyAlignment="0" applyProtection="0"/>
    <xf numFmtId="0" fontId="23" fillId="0" borderId="0" applyFont="0" applyFill="0" applyBorder="0" applyAlignment="0" applyProtection="0"/>
    <xf numFmtId="194" fontId="23" fillId="0" borderId="0" applyFont="0" applyFill="0" applyBorder="0" applyAlignment="0" applyProtection="0"/>
    <xf numFmtId="194" fontId="23" fillId="0" borderId="0" applyFont="0" applyFill="0" applyBorder="0" applyAlignment="0" applyProtection="0"/>
    <xf numFmtId="194" fontId="23" fillId="0" borderId="0" applyFont="0" applyFill="0" applyBorder="0" applyAlignment="0" applyProtection="0"/>
    <xf numFmtId="0" fontId="23" fillId="0" borderId="0" applyFont="0" applyFill="0" applyBorder="0" applyAlignment="0" applyProtection="0"/>
    <xf numFmtId="0" fontId="23" fillId="0" borderId="0" applyFont="0" applyFill="0" applyBorder="0" applyAlignment="0" applyProtection="0"/>
    <xf numFmtId="194" fontId="23" fillId="0" borderId="0" applyFont="0" applyFill="0" applyBorder="0" applyAlignment="0" applyProtection="0"/>
    <xf numFmtId="0" fontId="23" fillId="0" borderId="0" applyFont="0" applyFill="0" applyBorder="0" applyAlignment="0" applyProtection="0"/>
    <xf numFmtId="0" fontId="23" fillId="0" borderId="0" applyFont="0" applyFill="0" applyBorder="0" applyAlignment="0" applyProtection="0"/>
    <xf numFmtId="194" fontId="23" fillId="0" borderId="0" applyFont="0" applyFill="0" applyBorder="0" applyAlignment="0" applyProtection="0"/>
    <xf numFmtId="194" fontId="23" fillId="0" borderId="0" applyFont="0" applyFill="0" applyBorder="0" applyAlignment="0" applyProtection="0"/>
    <xf numFmtId="185" fontId="72" fillId="0" borderId="0" applyFont="0" applyFill="0" applyBorder="0" applyAlignment="0" applyProtection="0"/>
    <xf numFmtId="185" fontId="72" fillId="0" borderId="0" applyFont="0" applyFill="0" applyBorder="0" applyAlignment="0" applyProtection="0"/>
    <xf numFmtId="185" fontId="72" fillId="0" borderId="0" applyFont="0" applyFill="0" applyBorder="0" applyAlignment="0" applyProtection="0"/>
    <xf numFmtId="185" fontId="72" fillId="0" borderId="0" applyFont="0" applyFill="0" applyBorder="0" applyAlignment="0" applyProtection="0"/>
    <xf numFmtId="185" fontId="72" fillId="0" borderId="0" applyFont="0" applyFill="0" applyBorder="0" applyAlignment="0" applyProtection="0"/>
    <xf numFmtId="193" fontId="23" fillId="0" borderId="0" applyFont="0" applyFill="0" applyBorder="0" applyAlignment="0" applyProtection="0"/>
    <xf numFmtId="0" fontId="72" fillId="0" borderId="0" applyFont="0" applyFill="0" applyBorder="0" applyAlignment="0" applyProtection="0"/>
    <xf numFmtId="185" fontId="72" fillId="0" borderId="0" applyFont="0" applyFill="0" applyBorder="0" applyAlignment="0" applyProtection="0"/>
    <xf numFmtId="185" fontId="72" fillId="0" borderId="0" applyFont="0" applyFill="0" applyBorder="0" applyAlignment="0" applyProtection="0"/>
    <xf numFmtId="195" fontId="23" fillId="0" borderId="0" applyFont="0" applyFill="0" applyBorder="0" applyAlignment="0" applyProtection="0"/>
    <xf numFmtId="0" fontId="72" fillId="0" borderId="0" applyFont="0" applyFill="0" applyBorder="0" applyAlignment="0" applyProtection="0"/>
    <xf numFmtId="196" fontId="23" fillId="0" borderId="0" applyFont="0" applyFill="0" applyBorder="0" applyAlignment="0" applyProtection="0"/>
    <xf numFmtId="196" fontId="23" fillId="0" borderId="0" applyFont="0" applyFill="0" applyBorder="0" applyAlignment="0" applyProtection="0"/>
    <xf numFmtId="0" fontId="23" fillId="0" borderId="0" applyFont="0" applyFill="0" applyBorder="0" applyAlignment="0" applyProtection="0"/>
    <xf numFmtId="0" fontId="23" fillId="0" borderId="0" applyFont="0" applyFill="0" applyBorder="0" applyAlignment="0" applyProtection="0"/>
    <xf numFmtId="181" fontId="23" fillId="0" borderId="0" applyFont="0" applyFill="0" applyBorder="0" applyAlignment="0" applyProtection="0"/>
    <xf numFmtId="181" fontId="23" fillId="0" borderId="0" applyFont="0" applyFill="0" applyBorder="0" applyAlignment="0" applyProtection="0"/>
    <xf numFmtId="183" fontId="23" fillId="0" borderId="0" applyFont="0" applyFill="0" applyBorder="0" applyAlignment="0" applyProtection="0"/>
    <xf numFmtId="181" fontId="23" fillId="0" borderId="0" applyFont="0" applyFill="0" applyBorder="0" applyAlignment="0" applyProtection="0"/>
    <xf numFmtId="197" fontId="38" fillId="0" borderId="0" applyFont="0" applyFill="0" applyBorder="0" applyAlignment="0" applyProtection="0"/>
    <xf numFmtId="197" fontId="38" fillId="0" borderId="0" applyFont="0" applyFill="0" applyBorder="0" applyAlignment="0" applyProtection="0"/>
    <xf numFmtId="185" fontId="72" fillId="0" borderId="0" applyFont="0" applyFill="0" applyBorder="0" applyAlignment="0" applyProtection="0"/>
    <xf numFmtId="181" fontId="23" fillId="0" borderId="0" applyFont="0" applyFill="0" applyBorder="0" applyAlignment="0" applyProtection="0"/>
    <xf numFmtId="181" fontId="23" fillId="0" borderId="0" applyFont="0" applyFill="0" applyBorder="0" applyAlignment="0" applyProtection="0"/>
    <xf numFmtId="185" fontId="72" fillId="0" borderId="0" applyFont="0" applyFill="0" applyBorder="0" applyAlignment="0" applyProtection="0"/>
    <xf numFmtId="185" fontId="72" fillId="0" borderId="0" applyFont="0" applyFill="0" applyBorder="0" applyAlignment="0" applyProtection="0"/>
    <xf numFmtId="185" fontId="72" fillId="0" borderId="0" applyFont="0" applyFill="0" applyBorder="0" applyAlignment="0" applyProtection="0"/>
    <xf numFmtId="181" fontId="23" fillId="0" borderId="0" applyFont="0" applyFill="0" applyBorder="0" applyAlignment="0" applyProtection="0"/>
    <xf numFmtId="181" fontId="23" fillId="0" borderId="0" applyFont="0" applyFill="0" applyBorder="0" applyAlignment="0" applyProtection="0"/>
    <xf numFmtId="185" fontId="72" fillId="0" borderId="0" applyFont="0" applyFill="0" applyBorder="0" applyAlignment="0" applyProtection="0"/>
    <xf numFmtId="185" fontId="72" fillId="0" borderId="0" applyFont="0" applyFill="0" applyBorder="0" applyAlignment="0" applyProtection="0"/>
    <xf numFmtId="185" fontId="72" fillId="0" borderId="0" applyFont="0" applyFill="0" applyBorder="0" applyAlignment="0" applyProtection="0"/>
    <xf numFmtId="185" fontId="72" fillId="0" borderId="0" applyFont="0" applyFill="0" applyBorder="0" applyAlignment="0" applyProtection="0"/>
    <xf numFmtId="181" fontId="23" fillId="0" borderId="0" applyFont="0" applyFill="0" applyBorder="0" applyAlignment="0" applyProtection="0"/>
    <xf numFmtId="181" fontId="23" fillId="0" borderId="0" applyFont="0" applyFill="0" applyBorder="0" applyAlignment="0" applyProtection="0"/>
    <xf numFmtId="181" fontId="23" fillId="0" borderId="0" applyFont="0" applyFill="0" applyBorder="0" applyAlignment="0" applyProtection="0"/>
    <xf numFmtId="181" fontId="23" fillId="0" borderId="0" applyFont="0" applyFill="0" applyBorder="0" applyAlignment="0" applyProtection="0"/>
    <xf numFmtId="181" fontId="23" fillId="0" borderId="0" applyFont="0" applyFill="0" applyBorder="0" applyAlignment="0" applyProtection="0"/>
    <xf numFmtId="183" fontId="23" fillId="0" borderId="0" applyFont="0" applyFill="0" applyBorder="0" applyAlignment="0" applyProtection="0"/>
    <xf numFmtId="185" fontId="72" fillId="0" borderId="0" applyFont="0" applyFill="0" applyBorder="0" applyAlignment="0" applyProtection="0"/>
    <xf numFmtId="198" fontId="74" fillId="0" borderId="0" applyFont="0" applyFill="0" applyBorder="0" applyAlignment="0" applyProtection="0"/>
    <xf numFmtId="0" fontId="74" fillId="0" borderId="0" applyFont="0" applyFill="0" applyBorder="0" applyAlignment="0" applyProtection="0"/>
    <xf numFmtId="0" fontId="74" fillId="0" borderId="0" applyFont="0" applyFill="0" applyBorder="0" applyAlignment="0" applyProtection="0"/>
    <xf numFmtId="0" fontId="74" fillId="0" borderId="0" applyFont="0" applyFill="0" applyBorder="0" applyAlignment="0" applyProtection="0"/>
    <xf numFmtId="0" fontId="74" fillId="0" borderId="0" applyFont="0" applyFill="0" applyBorder="0" applyAlignment="0" applyProtection="0"/>
    <xf numFmtId="0" fontId="74" fillId="0" borderId="0" applyFont="0" applyFill="0" applyBorder="0" applyAlignment="0" applyProtection="0"/>
    <xf numFmtId="0" fontId="74" fillId="0" borderId="0" applyFont="0" applyFill="0" applyBorder="0" applyAlignment="0" applyProtection="0"/>
    <xf numFmtId="0" fontId="74" fillId="0" borderId="0" applyFont="0" applyFill="0" applyBorder="0" applyAlignment="0" applyProtection="0"/>
    <xf numFmtId="0" fontId="74" fillId="0" borderId="0" applyFont="0" applyFill="0" applyBorder="0" applyAlignment="0" applyProtection="0"/>
    <xf numFmtId="0" fontId="74" fillId="0" borderId="0" applyFont="0" applyFill="0" applyBorder="0" applyAlignment="0" applyProtection="0"/>
    <xf numFmtId="0" fontId="74" fillId="0" borderId="0" applyFont="0" applyFill="0" applyBorder="0" applyAlignment="0" applyProtection="0"/>
    <xf numFmtId="0" fontId="74" fillId="0" borderId="0" applyFont="0" applyFill="0" applyBorder="0" applyAlignment="0" applyProtection="0"/>
    <xf numFmtId="198" fontId="74" fillId="0" borderId="0" applyFont="0" applyFill="0" applyBorder="0" applyAlignment="0" applyProtection="0"/>
    <xf numFmtId="198" fontId="74" fillId="0" borderId="0" applyFont="0" applyFill="0" applyBorder="0" applyAlignment="0" applyProtection="0"/>
    <xf numFmtId="0" fontId="74" fillId="0" borderId="0" applyFont="0" applyFill="0" applyBorder="0" applyAlignment="0" applyProtection="0"/>
    <xf numFmtId="0" fontId="74" fillId="0" borderId="0" applyFont="0" applyFill="0" applyBorder="0" applyAlignment="0" applyProtection="0"/>
    <xf numFmtId="0" fontId="74" fillId="0" borderId="0" applyFont="0" applyFill="0" applyBorder="0" applyAlignment="0" applyProtection="0"/>
    <xf numFmtId="0" fontId="74" fillId="0" borderId="0" applyFont="0" applyFill="0" applyBorder="0" applyAlignment="0" applyProtection="0"/>
    <xf numFmtId="0" fontId="74" fillId="0" borderId="0" applyFont="0" applyFill="0" applyBorder="0" applyAlignment="0" applyProtection="0"/>
    <xf numFmtId="198" fontId="74" fillId="0" borderId="0" applyFont="0" applyFill="0" applyBorder="0" applyAlignment="0" applyProtection="0"/>
    <xf numFmtId="0" fontId="74" fillId="0" borderId="0" applyFont="0" applyFill="0" applyBorder="0" applyAlignment="0" applyProtection="0"/>
    <xf numFmtId="198" fontId="74" fillId="0" borderId="0" applyFont="0" applyFill="0" applyBorder="0" applyAlignment="0" applyProtection="0"/>
    <xf numFmtId="198" fontId="74" fillId="0" borderId="0" applyFont="0" applyFill="0" applyBorder="0" applyAlignment="0" applyProtection="0"/>
    <xf numFmtId="198" fontId="74" fillId="0" borderId="0" applyFont="0" applyFill="0" applyBorder="0" applyAlignment="0" applyProtection="0"/>
    <xf numFmtId="0" fontId="74" fillId="0" borderId="0" applyFont="0" applyFill="0" applyBorder="0" applyAlignment="0" applyProtection="0"/>
    <xf numFmtId="0" fontId="74" fillId="0" borderId="0" applyFont="0" applyFill="0" applyBorder="0" applyAlignment="0" applyProtection="0"/>
    <xf numFmtId="0" fontId="74" fillId="0" borderId="0" applyFont="0" applyFill="0" applyBorder="0" applyAlignment="0" applyProtection="0"/>
    <xf numFmtId="0" fontId="74" fillId="0" borderId="0" applyFont="0" applyFill="0" applyBorder="0" applyAlignment="0" applyProtection="0"/>
    <xf numFmtId="181" fontId="23" fillId="0" borderId="0" applyFont="0" applyFill="0" applyBorder="0" applyAlignment="0" applyProtection="0"/>
    <xf numFmtId="185" fontId="72" fillId="0" borderId="0" applyFont="0" applyFill="0" applyBorder="0" applyAlignment="0" applyProtection="0"/>
    <xf numFmtId="185" fontId="72" fillId="0" borderId="0" applyFont="0" applyFill="0" applyBorder="0" applyAlignment="0" applyProtection="0"/>
    <xf numFmtId="181" fontId="23" fillId="0" borderId="0" applyFont="0" applyFill="0" applyBorder="0" applyAlignment="0" applyProtection="0"/>
    <xf numFmtId="181" fontId="23" fillId="0" borderId="0" applyFont="0" applyFill="0" applyBorder="0" applyAlignment="0" applyProtection="0"/>
    <xf numFmtId="0" fontId="75" fillId="0" borderId="0" applyFont="0" applyFill="0" applyBorder="0" applyAlignment="0" applyProtection="0"/>
    <xf numFmtId="182" fontId="76" fillId="0" borderId="0" applyFont="0" applyFill="0" applyBorder="0" applyAlignment="0" applyProtection="0"/>
    <xf numFmtId="181" fontId="23" fillId="0" borderId="0" applyFont="0" applyFill="0" applyBorder="0" applyAlignment="0" applyProtection="0"/>
    <xf numFmtId="181" fontId="23" fillId="0" borderId="0" applyFont="0" applyFill="0" applyBorder="0" applyAlignment="0" applyProtection="0"/>
    <xf numFmtId="199" fontId="23" fillId="0" borderId="0" applyFont="0" applyFill="0" applyBorder="0" applyAlignment="0" applyProtection="0"/>
    <xf numFmtId="199" fontId="23" fillId="0" borderId="0" applyFont="0" applyFill="0" applyBorder="0" applyAlignment="0" applyProtection="0"/>
    <xf numFmtId="197" fontId="38" fillId="0" borderId="0" applyFont="0" applyFill="0" applyBorder="0" applyAlignment="0" applyProtection="0"/>
    <xf numFmtId="185" fontId="72" fillId="0" borderId="0" applyFont="0" applyFill="0" applyBorder="0" applyAlignment="0" applyProtection="0"/>
    <xf numFmtId="0" fontId="75" fillId="0" borderId="0" applyFont="0" applyFill="0" applyBorder="0" applyAlignment="0" applyProtection="0"/>
    <xf numFmtId="185" fontId="72" fillId="0" borderId="0" applyFont="0" applyFill="0" applyBorder="0" applyAlignment="0" applyProtection="0"/>
    <xf numFmtId="185" fontId="72" fillId="0" borderId="0" applyFont="0" applyFill="0" applyBorder="0" applyAlignment="0" applyProtection="0"/>
    <xf numFmtId="185" fontId="72" fillId="0" borderId="0" applyFont="0" applyFill="0" applyBorder="0" applyAlignment="0" applyProtection="0"/>
    <xf numFmtId="185" fontId="72" fillId="0" borderId="0" applyFont="0" applyFill="0" applyBorder="0" applyAlignment="0" applyProtection="0"/>
    <xf numFmtId="199" fontId="23" fillId="0" borderId="0" applyFont="0" applyFill="0" applyBorder="0" applyAlignment="0" applyProtection="0"/>
    <xf numFmtId="199" fontId="23" fillId="0" borderId="0" applyFont="0" applyFill="0" applyBorder="0" applyAlignment="0" applyProtection="0"/>
    <xf numFmtId="199" fontId="23" fillId="0" borderId="0" applyFont="0" applyFill="0" applyBorder="0" applyAlignment="0" applyProtection="0"/>
    <xf numFmtId="0" fontId="75" fillId="0" borderId="0" applyFont="0" applyFill="0" applyBorder="0" applyAlignment="0" applyProtection="0"/>
    <xf numFmtId="199" fontId="23" fillId="0" borderId="0" applyFont="0" applyFill="0" applyBorder="0" applyAlignment="0" applyProtection="0"/>
    <xf numFmtId="199" fontId="23" fillId="0" borderId="0" applyFont="0" applyFill="0" applyBorder="0" applyAlignment="0" applyProtection="0"/>
    <xf numFmtId="199" fontId="23" fillId="0" borderId="0" applyFont="0" applyFill="0" applyBorder="0" applyAlignment="0" applyProtection="0"/>
    <xf numFmtId="181" fontId="23" fillId="0" borderId="0" applyFont="0" applyFill="0" applyBorder="0" applyAlignment="0" applyProtection="0"/>
    <xf numFmtId="185" fontId="72" fillId="0" borderId="0" applyFont="0" applyFill="0" applyBorder="0" applyAlignment="0" applyProtection="0"/>
    <xf numFmtId="185" fontId="72" fillId="0" borderId="0" applyFont="0" applyFill="0" applyBorder="0" applyAlignment="0" applyProtection="0"/>
    <xf numFmtId="185" fontId="72" fillId="0" borderId="0" applyFont="0" applyFill="0" applyBorder="0" applyAlignment="0" applyProtection="0"/>
    <xf numFmtId="185" fontId="72" fillId="0" borderId="0" applyFont="0" applyFill="0" applyBorder="0" applyAlignment="0" applyProtection="0"/>
    <xf numFmtId="185" fontId="72" fillId="0" borderId="0" applyFont="0" applyFill="0" applyBorder="0" applyAlignment="0" applyProtection="0"/>
    <xf numFmtId="0" fontId="72" fillId="0" borderId="0" applyFont="0" applyFill="0" applyBorder="0" applyAlignment="0" applyProtection="0"/>
    <xf numFmtId="0" fontId="72" fillId="0" borderId="0" applyFont="0" applyFill="0" applyBorder="0" applyAlignment="0" applyProtection="0"/>
    <xf numFmtId="0" fontId="72" fillId="0" borderId="0" applyFont="0" applyFill="0" applyBorder="0" applyAlignment="0" applyProtection="0"/>
    <xf numFmtId="0" fontId="72" fillId="0" borderId="0" applyFont="0" applyFill="0" applyBorder="0" applyAlignment="0" applyProtection="0"/>
    <xf numFmtId="0" fontId="72" fillId="0" borderId="0" applyFont="0" applyFill="0" applyBorder="0" applyAlignment="0" applyProtection="0"/>
    <xf numFmtId="0" fontId="72" fillId="0" borderId="0" applyFont="0" applyFill="0" applyBorder="0" applyAlignment="0" applyProtection="0"/>
    <xf numFmtId="0" fontId="72" fillId="0" borderId="0" applyFont="0" applyFill="0" applyBorder="0" applyAlignment="0" applyProtection="0"/>
    <xf numFmtId="0" fontId="72" fillId="0" borderId="0" applyFont="0" applyFill="0" applyBorder="0" applyAlignment="0" applyProtection="0"/>
    <xf numFmtId="0" fontId="72" fillId="0" borderId="0" applyFont="0" applyFill="0" applyBorder="0" applyAlignment="0" applyProtection="0"/>
    <xf numFmtId="0" fontId="72" fillId="0" borderId="0" applyFont="0" applyFill="0" applyBorder="0" applyAlignment="0" applyProtection="0"/>
    <xf numFmtId="0" fontId="72" fillId="0" borderId="0" applyFont="0" applyFill="0" applyBorder="0" applyAlignment="0" applyProtection="0"/>
    <xf numFmtId="185" fontId="72" fillId="0" borderId="0" applyFont="0" applyFill="0" applyBorder="0" applyAlignment="0" applyProtection="0"/>
    <xf numFmtId="185" fontId="72" fillId="0" borderId="0" applyFont="0" applyFill="0" applyBorder="0" applyAlignment="0" applyProtection="0"/>
    <xf numFmtId="0" fontId="72" fillId="0" borderId="0" applyFont="0" applyFill="0" applyBorder="0" applyAlignment="0" applyProtection="0"/>
    <xf numFmtId="0" fontId="72" fillId="0" borderId="0" applyFont="0" applyFill="0" applyBorder="0" applyAlignment="0" applyProtection="0"/>
    <xf numFmtId="0" fontId="72" fillId="0" borderId="0" applyFont="0" applyFill="0" applyBorder="0" applyAlignment="0" applyProtection="0"/>
    <xf numFmtId="0" fontId="72" fillId="0" borderId="0" applyFont="0" applyFill="0" applyBorder="0" applyAlignment="0" applyProtection="0"/>
    <xf numFmtId="0" fontId="72" fillId="0" borderId="0" applyFont="0" applyFill="0" applyBorder="0" applyAlignment="0" applyProtection="0"/>
    <xf numFmtId="0" fontId="72" fillId="0" borderId="0" applyFont="0" applyFill="0" applyBorder="0" applyAlignment="0" applyProtection="0"/>
    <xf numFmtId="0" fontId="72" fillId="0" borderId="0" applyFont="0" applyFill="0" applyBorder="0" applyAlignment="0" applyProtection="0"/>
    <xf numFmtId="0" fontId="72" fillId="0" borderId="0" applyFont="0" applyFill="0" applyBorder="0" applyAlignment="0" applyProtection="0"/>
    <xf numFmtId="0" fontId="72" fillId="0" borderId="0" applyFont="0" applyFill="0" applyBorder="0" applyAlignment="0" applyProtection="0"/>
    <xf numFmtId="185" fontId="72" fillId="0" borderId="0" applyFont="0" applyFill="0" applyBorder="0" applyAlignment="0" applyProtection="0"/>
    <xf numFmtId="185" fontId="72" fillId="0" borderId="0" applyFont="0" applyFill="0" applyBorder="0" applyAlignment="0" applyProtection="0"/>
    <xf numFmtId="193" fontId="23" fillId="0" borderId="0" applyFont="0" applyFill="0" applyBorder="0" applyAlignment="0" applyProtection="0"/>
    <xf numFmtId="197" fontId="38" fillId="0" borderId="0" applyFont="0" applyFill="0" applyBorder="0" applyAlignment="0" applyProtection="0"/>
    <xf numFmtId="197" fontId="38" fillId="0" borderId="0" applyFont="0" applyFill="0" applyBorder="0" applyAlignment="0" applyProtection="0"/>
    <xf numFmtId="185" fontId="72" fillId="0" borderId="0" applyFont="0" applyFill="0" applyBorder="0" applyAlignment="0" applyProtection="0"/>
    <xf numFmtId="181" fontId="23" fillId="0" borderId="0" applyFont="0" applyFill="0" applyBorder="0" applyAlignment="0" applyProtection="0"/>
    <xf numFmtId="197" fontId="38" fillId="0" borderId="0" applyFont="0" applyFill="0" applyBorder="0" applyAlignment="0" applyProtection="0"/>
    <xf numFmtId="0" fontId="75" fillId="0" borderId="0" applyFont="0" applyFill="0" applyBorder="0" applyAlignment="0" applyProtection="0"/>
    <xf numFmtId="185" fontId="72" fillId="0" borderId="0" applyFont="0" applyFill="0" applyBorder="0" applyAlignment="0" applyProtection="0"/>
    <xf numFmtId="185" fontId="72" fillId="0" borderId="0" applyFont="0" applyFill="0" applyBorder="0" applyAlignment="0" applyProtection="0"/>
    <xf numFmtId="181" fontId="23" fillId="0" borderId="0" applyFont="0" applyFill="0" applyBorder="0" applyAlignment="0" applyProtection="0"/>
    <xf numFmtId="197" fontId="38" fillId="0" borderId="0" applyFont="0" applyFill="0" applyBorder="0" applyAlignment="0" applyProtection="0"/>
    <xf numFmtId="0" fontId="38" fillId="0" borderId="0" applyFont="0" applyFill="0" applyBorder="0" applyAlignment="0" applyProtection="0"/>
    <xf numFmtId="0" fontId="38" fillId="0" borderId="0" applyFont="0" applyFill="0" applyBorder="0" applyAlignment="0" applyProtection="0"/>
    <xf numFmtId="0" fontId="38" fillId="0" borderId="0" applyFont="0" applyFill="0" applyBorder="0" applyAlignment="0" applyProtection="0"/>
    <xf numFmtId="0" fontId="38" fillId="0" borderId="0" applyFont="0" applyFill="0" applyBorder="0" applyAlignment="0" applyProtection="0"/>
    <xf numFmtId="0" fontId="38" fillId="0" borderId="0" applyFont="0" applyFill="0" applyBorder="0" applyAlignment="0" applyProtection="0"/>
    <xf numFmtId="0" fontId="38" fillId="0" borderId="0" applyFont="0" applyFill="0" applyBorder="0" applyAlignment="0" applyProtection="0"/>
    <xf numFmtId="197" fontId="38" fillId="0" borderId="0" applyFont="0" applyFill="0" applyBorder="0" applyAlignment="0" applyProtection="0"/>
    <xf numFmtId="0" fontId="38" fillId="0" borderId="0" applyFont="0" applyFill="0" applyBorder="0" applyAlignment="0" applyProtection="0"/>
    <xf numFmtId="0" fontId="38" fillId="0" borderId="0" applyFont="0" applyFill="0" applyBorder="0" applyAlignment="0" applyProtection="0"/>
    <xf numFmtId="0" fontId="38" fillId="0" borderId="0" applyFont="0" applyFill="0" applyBorder="0" applyAlignment="0" applyProtection="0"/>
    <xf numFmtId="0" fontId="38" fillId="0" borderId="0" applyFont="0" applyFill="0" applyBorder="0" applyAlignment="0" applyProtection="0"/>
    <xf numFmtId="0" fontId="38" fillId="0" borderId="0" applyFont="0" applyFill="0" applyBorder="0" applyAlignment="0" applyProtection="0"/>
    <xf numFmtId="197" fontId="38" fillId="0" borderId="0" applyFont="0" applyFill="0" applyBorder="0" applyAlignment="0" applyProtection="0"/>
    <xf numFmtId="197" fontId="38" fillId="0" borderId="0" applyFont="0" applyFill="0" applyBorder="0" applyAlignment="0" applyProtection="0"/>
    <xf numFmtId="0" fontId="38" fillId="0" borderId="0" applyFont="0" applyFill="0" applyBorder="0" applyAlignment="0" applyProtection="0"/>
    <xf numFmtId="0" fontId="38" fillId="0" borderId="0" applyFont="0" applyFill="0" applyBorder="0" applyAlignment="0" applyProtection="0"/>
    <xf numFmtId="0" fontId="38" fillId="0" borderId="0" applyFont="0" applyFill="0" applyBorder="0" applyAlignment="0" applyProtection="0"/>
    <xf numFmtId="197" fontId="38" fillId="0" borderId="0" applyFont="0" applyFill="0" applyBorder="0" applyAlignment="0" applyProtection="0"/>
    <xf numFmtId="0" fontId="38" fillId="0" borderId="0" applyFont="0" applyFill="0" applyBorder="0" applyAlignment="0" applyProtection="0"/>
    <xf numFmtId="0" fontId="38" fillId="0" borderId="0" applyFont="0" applyFill="0" applyBorder="0" applyAlignment="0" applyProtection="0"/>
    <xf numFmtId="0" fontId="38" fillId="0" borderId="0" applyFont="0" applyFill="0" applyBorder="0" applyAlignment="0" applyProtection="0"/>
    <xf numFmtId="197" fontId="38" fillId="0" borderId="0" applyFont="0" applyFill="0" applyBorder="0" applyAlignment="0" applyProtection="0"/>
    <xf numFmtId="197" fontId="38" fillId="0" borderId="0" applyFont="0" applyFill="0" applyBorder="0" applyAlignment="0" applyProtection="0"/>
    <xf numFmtId="0" fontId="38" fillId="0" borderId="0" applyFont="0" applyFill="0" applyBorder="0" applyAlignment="0" applyProtection="0"/>
    <xf numFmtId="0" fontId="38" fillId="0" borderId="0" applyFont="0" applyFill="0" applyBorder="0" applyAlignment="0" applyProtection="0"/>
    <xf numFmtId="185" fontId="72" fillId="0" borderId="0" applyFont="0" applyFill="0" applyBorder="0" applyAlignment="0" applyProtection="0"/>
    <xf numFmtId="0" fontId="23" fillId="0" borderId="0" applyFont="0" applyFill="0" applyBorder="0" applyAlignment="0" applyProtection="0"/>
    <xf numFmtId="181" fontId="23" fillId="0" borderId="0" applyFont="0" applyFill="0" applyBorder="0" applyAlignment="0" applyProtection="0"/>
    <xf numFmtId="0" fontId="23" fillId="0" borderId="0" applyFont="0" applyFill="0" applyBorder="0" applyAlignment="0" applyProtection="0"/>
    <xf numFmtId="181" fontId="23" fillId="0" borderId="0" applyFont="0" applyFill="0" applyBorder="0" applyAlignment="0" applyProtection="0"/>
    <xf numFmtId="181" fontId="23" fillId="0" borderId="0" applyFont="0" applyFill="0" applyBorder="0" applyAlignment="0" applyProtection="0"/>
    <xf numFmtId="0" fontId="23" fillId="0" borderId="0" applyFont="0" applyFill="0" applyBorder="0" applyAlignment="0" applyProtection="0"/>
    <xf numFmtId="181" fontId="23" fillId="0" borderId="0" applyFont="0" applyFill="0" applyBorder="0" applyAlignment="0" applyProtection="0"/>
    <xf numFmtId="181" fontId="23" fillId="0" borderId="0" applyFont="0" applyFill="0" applyBorder="0" applyAlignment="0" applyProtection="0"/>
    <xf numFmtId="0" fontId="23" fillId="0" borderId="0" applyFont="0" applyFill="0" applyBorder="0" applyAlignment="0" applyProtection="0"/>
    <xf numFmtId="0" fontId="23" fillId="0" borderId="0" applyFont="0" applyFill="0" applyBorder="0" applyAlignment="0" applyProtection="0"/>
    <xf numFmtId="181" fontId="23" fillId="0" borderId="0" applyFont="0" applyFill="0" applyBorder="0" applyAlignment="0" applyProtection="0"/>
    <xf numFmtId="181" fontId="23" fillId="0" borderId="0" applyFont="0" applyFill="0" applyBorder="0" applyAlignment="0" applyProtection="0"/>
    <xf numFmtId="0" fontId="23" fillId="0" borderId="0" applyFont="0" applyFill="0" applyBorder="0" applyAlignment="0" applyProtection="0"/>
    <xf numFmtId="181" fontId="23" fillId="0" borderId="0" applyFont="0" applyFill="0" applyBorder="0" applyAlignment="0" applyProtection="0"/>
    <xf numFmtId="0" fontId="23" fillId="0" borderId="0" applyFont="0" applyFill="0" applyBorder="0" applyAlignment="0" applyProtection="0"/>
    <xf numFmtId="0" fontId="23" fillId="0" borderId="0" applyFont="0" applyFill="0" applyBorder="0" applyAlignment="0" applyProtection="0"/>
    <xf numFmtId="0" fontId="23" fillId="0" borderId="0" applyFont="0" applyFill="0" applyBorder="0" applyAlignment="0" applyProtection="0"/>
    <xf numFmtId="0" fontId="23" fillId="0" borderId="0" applyFont="0" applyFill="0" applyBorder="0" applyAlignment="0" applyProtection="0"/>
    <xf numFmtId="181" fontId="23" fillId="0" borderId="0" applyFont="0" applyFill="0" applyBorder="0" applyAlignment="0" applyProtection="0"/>
    <xf numFmtId="181" fontId="23" fillId="0" borderId="0" applyFont="0" applyFill="0" applyBorder="0" applyAlignment="0" applyProtection="0"/>
    <xf numFmtId="181" fontId="23" fillId="0" borderId="0" applyFont="0" applyFill="0" applyBorder="0" applyAlignment="0" applyProtection="0"/>
    <xf numFmtId="0" fontId="38" fillId="0" borderId="0" applyFont="0" applyFill="0" applyBorder="0" applyAlignment="0" applyProtection="0"/>
    <xf numFmtId="197" fontId="38" fillId="0" borderId="0" applyFont="0" applyFill="0" applyBorder="0" applyAlignment="0" applyProtection="0"/>
    <xf numFmtId="0" fontId="38" fillId="0" borderId="0" applyFont="0" applyFill="0" applyBorder="0" applyAlignment="0" applyProtection="0"/>
    <xf numFmtId="197" fontId="38" fillId="0" borderId="0" applyFont="0" applyFill="0" applyBorder="0" applyAlignment="0" applyProtection="0"/>
    <xf numFmtId="197" fontId="38" fillId="0" borderId="0" applyFont="0" applyFill="0" applyBorder="0" applyAlignment="0" applyProtection="0"/>
    <xf numFmtId="197" fontId="38" fillId="0" borderId="0" applyFont="0" applyFill="0" applyBorder="0" applyAlignment="0" applyProtection="0"/>
    <xf numFmtId="0" fontId="75" fillId="0" borderId="0" applyFont="0" applyFill="0" applyBorder="0" applyAlignment="0" applyProtection="0"/>
    <xf numFmtId="0" fontId="75" fillId="0" borderId="0" applyFont="0" applyFill="0" applyBorder="0" applyAlignment="0" applyProtection="0"/>
    <xf numFmtId="185" fontId="72" fillId="0" borderId="0" applyFont="0" applyFill="0" applyBorder="0" applyAlignment="0" applyProtection="0"/>
    <xf numFmtId="0" fontId="75" fillId="0" borderId="0" applyFont="0" applyFill="0" applyBorder="0" applyAlignment="0" applyProtection="0"/>
    <xf numFmtId="181" fontId="23" fillId="0" borderId="0" applyFont="0" applyFill="0" applyBorder="0" applyAlignment="0" applyProtection="0"/>
    <xf numFmtId="0" fontId="23" fillId="0" borderId="0" applyFont="0" applyFill="0" applyBorder="0" applyAlignment="0" applyProtection="0"/>
    <xf numFmtId="181" fontId="23" fillId="0" borderId="0" applyFont="0" applyFill="0" applyBorder="0" applyAlignment="0" applyProtection="0"/>
    <xf numFmtId="0" fontId="23" fillId="0" borderId="0" applyFont="0" applyFill="0" applyBorder="0" applyAlignment="0" applyProtection="0"/>
    <xf numFmtId="181" fontId="23" fillId="0" borderId="0" applyFont="0" applyFill="0" applyBorder="0" applyAlignment="0" applyProtection="0"/>
    <xf numFmtId="181" fontId="23" fillId="0" borderId="0" applyFont="0" applyFill="0" applyBorder="0" applyAlignment="0" applyProtection="0"/>
    <xf numFmtId="0" fontId="23" fillId="0" borderId="0" applyFont="0" applyFill="0" applyBorder="0" applyAlignment="0" applyProtection="0"/>
    <xf numFmtId="0" fontId="23" fillId="0" borderId="0" applyFont="0" applyFill="0" applyBorder="0" applyAlignment="0" applyProtection="0"/>
    <xf numFmtId="0" fontId="23" fillId="0" borderId="0" applyFont="0" applyFill="0" applyBorder="0" applyAlignment="0" applyProtection="0"/>
    <xf numFmtId="181" fontId="23" fillId="0" borderId="0" applyFont="0" applyFill="0" applyBorder="0" applyAlignment="0" applyProtection="0"/>
    <xf numFmtId="0" fontId="23" fillId="0" borderId="0" applyFont="0" applyFill="0" applyBorder="0" applyAlignment="0" applyProtection="0"/>
    <xf numFmtId="181" fontId="23" fillId="0" borderId="0" applyFont="0" applyFill="0" applyBorder="0" applyAlignment="0" applyProtection="0"/>
    <xf numFmtId="0" fontId="23" fillId="0" borderId="0" applyFont="0" applyFill="0" applyBorder="0" applyAlignment="0" applyProtection="0"/>
    <xf numFmtId="0" fontId="23" fillId="0" borderId="0" applyFont="0" applyFill="0" applyBorder="0" applyAlignment="0" applyProtection="0"/>
    <xf numFmtId="181" fontId="23" fillId="0" borderId="0" applyFont="0" applyFill="0" applyBorder="0" applyAlignment="0" applyProtection="0"/>
    <xf numFmtId="181" fontId="23" fillId="0" borderId="0" applyFont="0" applyFill="0" applyBorder="0" applyAlignment="0" applyProtection="0"/>
    <xf numFmtId="0" fontId="23" fillId="0" borderId="0" applyFont="0" applyFill="0" applyBorder="0" applyAlignment="0" applyProtection="0"/>
    <xf numFmtId="0" fontId="23" fillId="0" borderId="0" applyFont="0" applyFill="0" applyBorder="0" applyAlignment="0" applyProtection="0"/>
    <xf numFmtId="181" fontId="23" fillId="0" borderId="0" applyFont="0" applyFill="0" applyBorder="0" applyAlignment="0" applyProtection="0"/>
    <xf numFmtId="185" fontId="72" fillId="0" borderId="0" applyFont="0" applyFill="0" applyBorder="0" applyAlignment="0" applyProtection="0"/>
    <xf numFmtId="200" fontId="23" fillId="0" borderId="0" applyFont="0" applyFill="0" applyBorder="0" applyAlignment="0" applyProtection="0"/>
    <xf numFmtId="181" fontId="23" fillId="0" borderId="0" applyFont="0" applyFill="0" applyBorder="0" applyAlignment="0" applyProtection="0"/>
    <xf numFmtId="181" fontId="23" fillId="0" borderId="0" applyFont="0" applyFill="0" applyBorder="0" applyAlignment="0" applyProtection="0"/>
    <xf numFmtId="181" fontId="23" fillId="0" borderId="0" applyFont="0" applyFill="0" applyBorder="0" applyAlignment="0" applyProtection="0"/>
    <xf numFmtId="181" fontId="23" fillId="0" borderId="0" applyFont="0" applyFill="0" applyBorder="0" applyAlignment="0" applyProtection="0"/>
    <xf numFmtId="185" fontId="72" fillId="0" borderId="0" applyFont="0" applyFill="0" applyBorder="0" applyAlignment="0" applyProtection="0"/>
    <xf numFmtId="185" fontId="72" fillId="0" borderId="0" applyFont="0" applyFill="0" applyBorder="0" applyAlignment="0" applyProtection="0"/>
    <xf numFmtId="185" fontId="72" fillId="0" borderId="0" applyFont="0" applyFill="0" applyBorder="0" applyAlignment="0" applyProtection="0"/>
    <xf numFmtId="185" fontId="72" fillId="0" borderId="0" applyFont="0" applyFill="0" applyBorder="0" applyAlignment="0" applyProtection="0"/>
    <xf numFmtId="185" fontId="72" fillId="0" borderId="0" applyFont="0" applyFill="0" applyBorder="0" applyAlignment="0" applyProtection="0"/>
    <xf numFmtId="185" fontId="72" fillId="0" borderId="0" applyFont="0" applyFill="0" applyBorder="0" applyAlignment="0" applyProtection="0"/>
    <xf numFmtId="201" fontId="38" fillId="0" borderId="0" applyFont="0" applyFill="0" applyBorder="0" applyAlignment="0" applyProtection="0"/>
    <xf numFmtId="181" fontId="23" fillId="0" borderId="0" applyFont="0" applyFill="0" applyBorder="0" applyAlignment="0" applyProtection="0"/>
    <xf numFmtId="201" fontId="38" fillId="0" borderId="0" applyFont="0" applyFill="0" applyBorder="0" applyAlignment="0" applyProtection="0"/>
    <xf numFmtId="181" fontId="23" fillId="0" borderId="0" applyFont="0" applyFill="0" applyBorder="0" applyAlignment="0" applyProtection="0"/>
    <xf numFmtId="0" fontId="75" fillId="0" borderId="0" applyFont="0" applyFill="0" applyBorder="0" applyAlignment="0" applyProtection="0"/>
    <xf numFmtId="0" fontId="23" fillId="0" borderId="0" applyFont="0" applyFill="0" applyBorder="0" applyAlignment="0" applyProtection="0"/>
    <xf numFmtId="181" fontId="23" fillId="0" borderId="0" applyFont="0" applyFill="0" applyBorder="0" applyAlignment="0" applyProtection="0"/>
    <xf numFmtId="0" fontId="23" fillId="0" borderId="0" applyFont="0" applyFill="0" applyBorder="0" applyAlignment="0" applyProtection="0"/>
    <xf numFmtId="181" fontId="23" fillId="0" borderId="0" applyFont="0" applyFill="0" applyBorder="0" applyAlignment="0" applyProtection="0"/>
    <xf numFmtId="181" fontId="23" fillId="0" borderId="0" applyFont="0" applyFill="0" applyBorder="0" applyAlignment="0" applyProtection="0"/>
    <xf numFmtId="0" fontId="23" fillId="0" borderId="0" applyFont="0" applyFill="0" applyBorder="0" applyAlignment="0" applyProtection="0"/>
    <xf numFmtId="181" fontId="23" fillId="0" borderId="0" applyFont="0" applyFill="0" applyBorder="0" applyAlignment="0" applyProtection="0"/>
    <xf numFmtId="181" fontId="23" fillId="0" borderId="0" applyFont="0" applyFill="0" applyBorder="0" applyAlignment="0" applyProtection="0"/>
    <xf numFmtId="0" fontId="23" fillId="0" borderId="0" applyFont="0" applyFill="0" applyBorder="0" applyAlignment="0" applyProtection="0"/>
    <xf numFmtId="0" fontId="23" fillId="0" borderId="0" applyFont="0" applyFill="0" applyBorder="0" applyAlignment="0" applyProtection="0"/>
    <xf numFmtId="181" fontId="23" fillId="0" borderId="0" applyFont="0" applyFill="0" applyBorder="0" applyAlignment="0" applyProtection="0"/>
    <xf numFmtId="181" fontId="23" fillId="0" borderId="0" applyFont="0" applyFill="0" applyBorder="0" applyAlignment="0" applyProtection="0"/>
    <xf numFmtId="0" fontId="23" fillId="0" borderId="0" applyFont="0" applyFill="0" applyBorder="0" applyAlignment="0" applyProtection="0"/>
    <xf numFmtId="0" fontId="23" fillId="0" borderId="0" applyFont="0" applyFill="0" applyBorder="0" applyAlignment="0" applyProtection="0"/>
    <xf numFmtId="0" fontId="23" fillId="0" borderId="0" applyFont="0" applyFill="0" applyBorder="0" applyAlignment="0" applyProtection="0"/>
    <xf numFmtId="0" fontId="23" fillId="0" borderId="0" applyFont="0" applyFill="0" applyBorder="0" applyAlignment="0" applyProtection="0"/>
    <xf numFmtId="0" fontId="23" fillId="0" borderId="0" applyFont="0" applyFill="0" applyBorder="0" applyAlignment="0" applyProtection="0"/>
    <xf numFmtId="181" fontId="23" fillId="0" borderId="0" applyFont="0" applyFill="0" applyBorder="0" applyAlignment="0" applyProtection="0"/>
    <xf numFmtId="181" fontId="23" fillId="0" borderId="0" applyFont="0" applyFill="0" applyBorder="0" applyAlignment="0" applyProtection="0"/>
    <xf numFmtId="181" fontId="23" fillId="0" borderId="0" applyFont="0" applyFill="0" applyBorder="0" applyAlignment="0" applyProtection="0"/>
    <xf numFmtId="181" fontId="23" fillId="0" borderId="0" applyFont="0" applyFill="0" applyBorder="0" applyAlignment="0" applyProtection="0"/>
    <xf numFmtId="201" fontId="38" fillId="0" borderId="0" applyFont="0" applyFill="0" applyBorder="0" applyAlignment="0" applyProtection="0"/>
    <xf numFmtId="0" fontId="72" fillId="0" borderId="0" applyFont="0" applyFill="0" applyBorder="0" applyAlignment="0" applyProtection="0"/>
    <xf numFmtId="181" fontId="23" fillId="0" borderId="0" applyFont="0" applyFill="0" applyBorder="0" applyAlignment="0" applyProtection="0"/>
    <xf numFmtId="185" fontId="72" fillId="0" borderId="0" applyFont="0" applyFill="0" applyBorder="0" applyAlignment="0" applyProtection="0"/>
    <xf numFmtId="0" fontId="75" fillId="0" borderId="0" applyFont="0" applyFill="0" applyBorder="0" applyAlignment="0" applyProtection="0"/>
    <xf numFmtId="181" fontId="23" fillId="0" borderId="0" applyFont="0" applyFill="0" applyBorder="0" applyAlignment="0" applyProtection="0"/>
    <xf numFmtId="197" fontId="38" fillId="0" borderId="0" applyFont="0" applyFill="0" applyBorder="0" applyAlignment="0" applyProtection="0"/>
    <xf numFmtId="185" fontId="72" fillId="0" borderId="0" applyFont="0" applyFill="0" applyBorder="0" applyAlignment="0" applyProtection="0"/>
    <xf numFmtId="0" fontId="75" fillId="0" borderId="0" applyFont="0" applyFill="0" applyBorder="0" applyAlignment="0" applyProtection="0"/>
    <xf numFmtId="181" fontId="23" fillId="0" borderId="0" applyFont="0" applyFill="0" applyBorder="0" applyAlignment="0" applyProtection="0"/>
    <xf numFmtId="181" fontId="23" fillId="0" borderId="0" applyFont="0" applyFill="0" applyBorder="0" applyAlignment="0" applyProtection="0"/>
    <xf numFmtId="0" fontId="38" fillId="0" borderId="0" applyFont="0" applyFill="0" applyBorder="0" applyAlignment="0" applyProtection="0"/>
    <xf numFmtId="197" fontId="38" fillId="0" borderId="0" applyFont="0" applyFill="0" applyBorder="0" applyAlignment="0" applyProtection="0"/>
    <xf numFmtId="0" fontId="38" fillId="0" borderId="0" applyFont="0" applyFill="0" applyBorder="0" applyAlignment="0" applyProtection="0"/>
    <xf numFmtId="197" fontId="38" fillId="0" borderId="0" applyFont="0" applyFill="0" applyBorder="0" applyAlignment="0" applyProtection="0"/>
    <xf numFmtId="197" fontId="38" fillId="0" borderId="0" applyFont="0" applyFill="0" applyBorder="0" applyAlignment="0" applyProtection="0"/>
    <xf numFmtId="0" fontId="38" fillId="0" borderId="0" applyFont="0" applyFill="0" applyBorder="0" applyAlignment="0" applyProtection="0"/>
    <xf numFmtId="197" fontId="38" fillId="0" borderId="0" applyFont="0" applyFill="0" applyBorder="0" applyAlignment="0" applyProtection="0"/>
    <xf numFmtId="197" fontId="38" fillId="0" borderId="0" applyFont="0" applyFill="0" applyBorder="0" applyAlignment="0" applyProtection="0"/>
    <xf numFmtId="0" fontId="38" fillId="0" borderId="0" applyFont="0" applyFill="0" applyBorder="0" applyAlignment="0" applyProtection="0"/>
    <xf numFmtId="0" fontId="38" fillId="0" borderId="0" applyFont="0" applyFill="0" applyBorder="0" applyAlignment="0" applyProtection="0"/>
    <xf numFmtId="197" fontId="38" fillId="0" borderId="0" applyFont="0" applyFill="0" applyBorder="0" applyAlignment="0" applyProtection="0"/>
    <xf numFmtId="197" fontId="38" fillId="0" borderId="0" applyFont="0" applyFill="0" applyBorder="0" applyAlignment="0" applyProtection="0"/>
    <xf numFmtId="0" fontId="38" fillId="0" borderId="0" applyFont="0" applyFill="0" applyBorder="0" applyAlignment="0" applyProtection="0"/>
    <xf numFmtId="0" fontId="38" fillId="0" borderId="0" applyFont="0" applyFill="0" applyBorder="0" applyAlignment="0" applyProtection="0"/>
    <xf numFmtId="0" fontId="38" fillId="0" borderId="0" applyFont="0" applyFill="0" applyBorder="0" applyAlignment="0" applyProtection="0"/>
    <xf numFmtId="0" fontId="38" fillId="0" borderId="0" applyFont="0" applyFill="0" applyBorder="0" applyAlignment="0" applyProtection="0"/>
    <xf numFmtId="0" fontId="38" fillId="0" borderId="0" applyFont="0" applyFill="0" applyBorder="0" applyAlignment="0" applyProtection="0"/>
    <xf numFmtId="197" fontId="38" fillId="0" borderId="0" applyFont="0" applyFill="0" applyBorder="0" applyAlignment="0" applyProtection="0"/>
    <xf numFmtId="197" fontId="38" fillId="0" borderId="0" applyFont="0" applyFill="0" applyBorder="0" applyAlignment="0" applyProtection="0"/>
    <xf numFmtId="202" fontId="23" fillId="0" borderId="0" applyFont="0" applyFill="0" applyBorder="0" applyAlignment="0" applyProtection="0"/>
    <xf numFmtId="181" fontId="23" fillId="0" borderId="0" applyFont="0" applyFill="0" applyBorder="0" applyAlignment="0" applyProtection="0"/>
    <xf numFmtId="0" fontId="23" fillId="0" borderId="0" applyFont="0" applyFill="0" applyBorder="0" applyAlignment="0" applyProtection="0"/>
    <xf numFmtId="0" fontId="23" fillId="0" borderId="0" applyFont="0" applyFill="0" applyBorder="0" applyAlignment="0" applyProtection="0"/>
    <xf numFmtId="0" fontId="23" fillId="0" borderId="0" applyFont="0" applyFill="0" applyBorder="0" applyAlignment="0" applyProtection="0"/>
    <xf numFmtId="181" fontId="23" fillId="0" borderId="0" applyFont="0" applyFill="0" applyBorder="0" applyAlignment="0" applyProtection="0"/>
    <xf numFmtId="181" fontId="23" fillId="0" borderId="0" applyFont="0" applyFill="0" applyBorder="0" applyAlignment="0" applyProtection="0"/>
    <xf numFmtId="0" fontId="75" fillId="0" borderId="0" applyFont="0" applyFill="0" applyBorder="0" applyAlignment="0" applyProtection="0"/>
    <xf numFmtId="185" fontId="72" fillId="0" borderId="0" applyFont="0" applyFill="0" applyBorder="0" applyAlignment="0" applyProtection="0"/>
    <xf numFmtId="185" fontId="72" fillId="0" borderId="0" applyFont="0" applyFill="0" applyBorder="0" applyAlignment="0" applyProtection="0"/>
    <xf numFmtId="193" fontId="23" fillId="0" borderId="0" applyFont="0" applyFill="0" applyBorder="0" applyAlignment="0" applyProtection="0"/>
    <xf numFmtId="185" fontId="72" fillId="0" borderId="0" applyFont="0" applyFill="0" applyBorder="0" applyAlignment="0" applyProtection="0"/>
    <xf numFmtId="181" fontId="23" fillId="0" borderId="0" applyFont="0" applyFill="0" applyBorder="0" applyAlignment="0" applyProtection="0"/>
    <xf numFmtId="185" fontId="72" fillId="0" borderId="0" applyFont="0" applyFill="0" applyBorder="0" applyAlignment="0" applyProtection="0"/>
    <xf numFmtId="0" fontId="75" fillId="0" borderId="0" applyFont="0" applyFill="0" applyBorder="0" applyAlignment="0" applyProtection="0"/>
    <xf numFmtId="185" fontId="72" fillId="0" borderId="0" applyFont="0" applyFill="0" applyBorder="0" applyAlignment="0" applyProtection="0"/>
    <xf numFmtId="0" fontId="72" fillId="0" borderId="0" applyFont="0" applyFill="0" applyBorder="0" applyAlignment="0" applyProtection="0"/>
    <xf numFmtId="185" fontId="72" fillId="0" borderId="0" applyFont="0" applyFill="0" applyBorder="0" applyAlignment="0" applyProtection="0"/>
    <xf numFmtId="0" fontId="72" fillId="0" borderId="0" applyFont="0" applyFill="0" applyBorder="0" applyAlignment="0" applyProtection="0"/>
    <xf numFmtId="185" fontId="72" fillId="0" borderId="0" applyFont="0" applyFill="0" applyBorder="0" applyAlignment="0" applyProtection="0"/>
    <xf numFmtId="185" fontId="72" fillId="0" borderId="0" applyFont="0" applyFill="0" applyBorder="0" applyAlignment="0" applyProtection="0"/>
    <xf numFmtId="185" fontId="72" fillId="0" borderId="0" applyFont="0" applyFill="0" applyBorder="0" applyAlignment="0" applyProtection="0"/>
    <xf numFmtId="0" fontId="75" fillId="0" borderId="0" applyFont="0" applyFill="0" applyBorder="0" applyAlignment="0" applyProtection="0"/>
    <xf numFmtId="181" fontId="23" fillId="0" borderId="0" applyFont="0" applyFill="0" applyBorder="0" applyAlignment="0" applyProtection="0"/>
    <xf numFmtId="0" fontId="75" fillId="0" borderId="0" applyFont="0" applyFill="0" applyBorder="0" applyAlignment="0" applyProtection="0"/>
    <xf numFmtId="181" fontId="23" fillId="0" borderId="0" applyFont="0" applyFill="0" applyBorder="0" applyAlignment="0" applyProtection="0"/>
    <xf numFmtId="185" fontId="72" fillId="0" borderId="0" applyFont="0" applyFill="0" applyBorder="0" applyAlignment="0" applyProtection="0"/>
    <xf numFmtId="0" fontId="75" fillId="0" borderId="0" applyFont="0" applyFill="0" applyBorder="0" applyAlignment="0" applyProtection="0"/>
    <xf numFmtId="199" fontId="23" fillId="0" borderId="0" applyFont="0" applyFill="0" applyBorder="0" applyAlignment="0" applyProtection="0"/>
    <xf numFmtId="0" fontId="72" fillId="0" borderId="0" applyFont="0" applyFill="0" applyBorder="0" applyAlignment="0" applyProtection="0"/>
    <xf numFmtId="203" fontId="23" fillId="0" borderId="0" applyFont="0" applyFill="0" applyBorder="0" applyAlignment="0" applyProtection="0"/>
    <xf numFmtId="0" fontId="23" fillId="0" borderId="0" applyFont="0" applyFill="0" applyBorder="0" applyAlignment="0" applyProtection="0"/>
    <xf numFmtId="0" fontId="23" fillId="0" borderId="0" applyFont="0" applyFill="0" applyBorder="0" applyAlignment="0" applyProtection="0"/>
    <xf numFmtId="0" fontId="23" fillId="0" borderId="0" applyFont="0" applyFill="0" applyBorder="0" applyAlignment="0" applyProtection="0"/>
    <xf numFmtId="0" fontId="23" fillId="0" borderId="0" applyFont="0" applyFill="0" applyBorder="0" applyAlignment="0" applyProtection="0"/>
    <xf numFmtId="0" fontId="23" fillId="0" borderId="0" applyFont="0" applyFill="0" applyBorder="0" applyAlignment="0" applyProtection="0"/>
    <xf numFmtId="0" fontId="23" fillId="0" borderId="0" applyFont="0" applyFill="0" applyBorder="0" applyAlignment="0" applyProtection="0"/>
    <xf numFmtId="0" fontId="23" fillId="0" borderId="0" applyFont="0" applyFill="0" applyBorder="0" applyAlignment="0" applyProtection="0"/>
    <xf numFmtId="0" fontId="23" fillId="0" borderId="0" applyFont="0" applyFill="0" applyBorder="0" applyAlignment="0" applyProtection="0"/>
    <xf numFmtId="0" fontId="23" fillId="0" borderId="0" applyFont="0" applyFill="0" applyBorder="0" applyAlignment="0" applyProtection="0"/>
    <xf numFmtId="0" fontId="23" fillId="0" borderId="0" applyFont="0" applyFill="0" applyBorder="0" applyAlignment="0" applyProtection="0"/>
    <xf numFmtId="0" fontId="23" fillId="0" borderId="0" applyFont="0" applyFill="0" applyBorder="0" applyAlignment="0" applyProtection="0"/>
    <xf numFmtId="203" fontId="23" fillId="0" borderId="0" applyFont="0" applyFill="0" applyBorder="0" applyAlignment="0" applyProtection="0"/>
    <xf numFmtId="203" fontId="23" fillId="0" borderId="0" applyFont="0" applyFill="0" applyBorder="0" applyAlignment="0" applyProtection="0"/>
    <xf numFmtId="0" fontId="23" fillId="0" borderId="0" applyFont="0" applyFill="0" applyBorder="0" applyAlignment="0" applyProtection="0"/>
    <xf numFmtId="0" fontId="23" fillId="0" borderId="0" applyFont="0" applyFill="0" applyBorder="0" applyAlignment="0" applyProtection="0"/>
    <xf numFmtId="0" fontId="23" fillId="0" borderId="0" applyFont="0" applyFill="0" applyBorder="0" applyAlignment="0" applyProtection="0"/>
    <xf numFmtId="0" fontId="23" fillId="0" borderId="0" applyFont="0" applyFill="0" applyBorder="0" applyAlignment="0" applyProtection="0"/>
    <xf numFmtId="0" fontId="23" fillId="0" borderId="0" applyFont="0" applyFill="0" applyBorder="0" applyAlignment="0" applyProtection="0"/>
    <xf numFmtId="0" fontId="23" fillId="0" borderId="0" applyFont="0" applyFill="0" applyBorder="0" applyAlignment="0" applyProtection="0"/>
    <xf numFmtId="0" fontId="23" fillId="0" borderId="0" applyFont="0" applyFill="0" applyBorder="0" applyAlignment="0" applyProtection="0"/>
    <xf numFmtId="0" fontId="23" fillId="0" borderId="0" applyFont="0" applyFill="0" applyBorder="0" applyAlignment="0" applyProtection="0"/>
    <xf numFmtId="0" fontId="23" fillId="0" borderId="0" applyFont="0" applyFill="0" applyBorder="0" applyAlignment="0" applyProtection="0"/>
    <xf numFmtId="181" fontId="23" fillId="0" borderId="0" applyFont="0" applyFill="0" applyBorder="0" applyAlignment="0" applyProtection="0"/>
    <xf numFmtId="0" fontId="75" fillId="0" borderId="0" applyFont="0" applyFill="0" applyBorder="0" applyAlignment="0" applyProtection="0"/>
    <xf numFmtId="181" fontId="23" fillId="0" borderId="0" applyFont="0" applyFill="0" applyBorder="0" applyAlignment="0" applyProtection="0"/>
    <xf numFmtId="185" fontId="72" fillId="0" borderId="0" applyFont="0" applyFill="0" applyBorder="0" applyAlignment="0" applyProtection="0"/>
    <xf numFmtId="0" fontId="75" fillId="0" borderId="0" applyFont="0" applyFill="0" applyBorder="0" applyAlignment="0" applyProtection="0"/>
    <xf numFmtId="0" fontId="75" fillId="0" borderId="0" applyFont="0" applyFill="0" applyBorder="0" applyAlignment="0" applyProtection="0"/>
    <xf numFmtId="199" fontId="23" fillId="0" borderId="0" applyFont="0" applyFill="0" applyBorder="0" applyAlignment="0" applyProtection="0"/>
    <xf numFmtId="185" fontId="72" fillId="0" borderId="0" applyFont="0" applyFill="0" applyBorder="0" applyAlignment="0" applyProtection="0"/>
    <xf numFmtId="204" fontId="23" fillId="0" borderId="0" applyFont="0" applyFill="0" applyBorder="0" applyAlignment="0" applyProtection="0"/>
    <xf numFmtId="185" fontId="72" fillId="0" borderId="0" applyFont="0" applyFill="0" applyBorder="0" applyAlignment="0" applyProtection="0"/>
    <xf numFmtId="181" fontId="23" fillId="0" borderId="0" applyFont="0" applyFill="0" applyBorder="0" applyAlignment="0" applyProtection="0"/>
    <xf numFmtId="0" fontId="23" fillId="0" borderId="0" applyFont="0" applyFill="0" applyBorder="0" applyAlignment="0" applyProtection="0"/>
    <xf numFmtId="181" fontId="23" fillId="0" borderId="0" applyFont="0" applyFill="0" applyBorder="0" applyAlignment="0" applyProtection="0"/>
    <xf numFmtId="0" fontId="23" fillId="0" borderId="0" applyFont="0" applyFill="0" applyBorder="0" applyAlignment="0" applyProtection="0"/>
    <xf numFmtId="181" fontId="23" fillId="0" borderId="0" applyFont="0" applyFill="0" applyBorder="0" applyAlignment="0" applyProtection="0"/>
    <xf numFmtId="181" fontId="23" fillId="0" borderId="0" applyFont="0" applyFill="0" applyBorder="0" applyAlignment="0" applyProtection="0"/>
    <xf numFmtId="0" fontId="23" fillId="0" borderId="0" applyFont="0" applyFill="0" applyBorder="0" applyAlignment="0" applyProtection="0"/>
    <xf numFmtId="0" fontId="23" fillId="0" borderId="0" applyFont="0" applyFill="0" applyBorder="0" applyAlignment="0" applyProtection="0"/>
    <xf numFmtId="0" fontId="23" fillId="0" borderId="0" applyFont="0" applyFill="0" applyBorder="0" applyAlignment="0" applyProtection="0"/>
    <xf numFmtId="181" fontId="23" fillId="0" borderId="0" applyFont="0" applyFill="0" applyBorder="0" applyAlignment="0" applyProtection="0"/>
    <xf numFmtId="0" fontId="23" fillId="0" borderId="0" applyFont="0" applyFill="0" applyBorder="0" applyAlignment="0" applyProtection="0"/>
    <xf numFmtId="181" fontId="23" fillId="0" borderId="0" applyFont="0" applyFill="0" applyBorder="0" applyAlignment="0" applyProtection="0"/>
    <xf numFmtId="0" fontId="23" fillId="0" borderId="0" applyFont="0" applyFill="0" applyBorder="0" applyAlignment="0" applyProtection="0"/>
    <xf numFmtId="0" fontId="23" fillId="0" borderId="0" applyFont="0" applyFill="0" applyBorder="0" applyAlignment="0" applyProtection="0"/>
    <xf numFmtId="181" fontId="23" fillId="0" borderId="0" applyFont="0" applyFill="0" applyBorder="0" applyAlignment="0" applyProtection="0"/>
    <xf numFmtId="181" fontId="23" fillId="0" borderId="0" applyFont="0" applyFill="0" applyBorder="0" applyAlignment="0" applyProtection="0"/>
    <xf numFmtId="0" fontId="23" fillId="0" borderId="0" applyFont="0" applyFill="0" applyBorder="0" applyAlignment="0" applyProtection="0"/>
    <xf numFmtId="0" fontId="23" fillId="0" borderId="0" applyFont="0" applyFill="0" applyBorder="0" applyAlignment="0" applyProtection="0"/>
    <xf numFmtId="181" fontId="23" fillId="0" borderId="0" applyFont="0" applyFill="0" applyBorder="0" applyAlignment="0" applyProtection="0"/>
    <xf numFmtId="197" fontId="38" fillId="0" borderId="0" applyFont="0" applyFill="0" applyBorder="0" applyAlignment="0" applyProtection="0"/>
    <xf numFmtId="185" fontId="72" fillId="0" borderId="0" applyFont="0" applyFill="0" applyBorder="0" applyAlignment="0" applyProtection="0"/>
    <xf numFmtId="185" fontId="72" fillId="0" borderId="0" applyFont="0" applyFill="0" applyBorder="0" applyAlignment="0" applyProtection="0"/>
    <xf numFmtId="0" fontId="75" fillId="0" borderId="0" applyFont="0" applyFill="0" applyBorder="0" applyAlignment="0" applyProtection="0"/>
    <xf numFmtId="197" fontId="38" fillId="0" borderId="0" applyFont="0" applyFill="0" applyBorder="0" applyAlignment="0" applyProtection="0"/>
    <xf numFmtId="199" fontId="23" fillId="0" borderId="0" applyFont="0" applyFill="0" applyBorder="0" applyAlignment="0" applyProtection="0"/>
    <xf numFmtId="0" fontId="75" fillId="0" borderId="0" applyFont="0" applyFill="0" applyBorder="0" applyAlignment="0" applyProtection="0"/>
    <xf numFmtId="0" fontId="75" fillId="0" borderId="0" applyFont="0" applyFill="0" applyBorder="0" applyAlignment="0" applyProtection="0"/>
    <xf numFmtId="185" fontId="72" fillId="0" borderId="0" applyFont="0" applyFill="0" applyBorder="0" applyAlignment="0" applyProtection="0"/>
    <xf numFmtId="186" fontId="45" fillId="0" borderId="0" applyFont="0" applyFill="0" applyBorder="0" applyAlignment="0" applyProtection="0"/>
    <xf numFmtId="205" fontId="23" fillId="0" borderId="0" applyFont="0" applyFill="0" applyBorder="0" applyAlignment="0" applyProtection="0"/>
    <xf numFmtId="185" fontId="72" fillId="0" borderId="0" applyFont="0" applyFill="0" applyBorder="0" applyAlignment="0" applyProtection="0"/>
    <xf numFmtId="185" fontId="72" fillId="0" borderId="0" applyFont="0" applyFill="0" applyBorder="0" applyAlignment="0" applyProtection="0"/>
    <xf numFmtId="185" fontId="72" fillId="0" borderId="0" applyFont="0" applyFill="0" applyBorder="0" applyAlignment="0" applyProtection="0"/>
    <xf numFmtId="206" fontId="38" fillId="0" borderId="0" applyFont="0" applyFill="0" applyBorder="0" applyAlignment="0" applyProtection="0"/>
    <xf numFmtId="206" fontId="38" fillId="0" borderId="0" applyFont="0" applyFill="0" applyBorder="0" applyAlignment="0" applyProtection="0"/>
    <xf numFmtId="206" fontId="38" fillId="0" borderId="0" applyFont="0" applyFill="0" applyBorder="0" applyAlignment="0" applyProtection="0"/>
    <xf numFmtId="206" fontId="38" fillId="0" borderId="0" applyFont="0" applyFill="0" applyBorder="0" applyAlignment="0" applyProtection="0"/>
    <xf numFmtId="186" fontId="45" fillId="0" borderId="0" applyFont="0" applyFill="0" applyBorder="0" applyAlignment="0" applyProtection="0"/>
    <xf numFmtId="186" fontId="45" fillId="0" borderId="0" applyFont="0" applyFill="0" applyBorder="0" applyAlignment="0" applyProtection="0"/>
    <xf numFmtId="186" fontId="45" fillId="0" borderId="0" applyFont="0" applyFill="0" applyBorder="0" applyAlignment="0" applyProtection="0"/>
    <xf numFmtId="186" fontId="45" fillId="0" borderId="0" applyFont="0" applyFill="0" applyBorder="0" applyAlignment="0" applyProtection="0"/>
    <xf numFmtId="186" fontId="45" fillId="0" borderId="0" applyFont="0" applyFill="0" applyBorder="0" applyAlignment="0" applyProtection="0"/>
    <xf numFmtId="0" fontId="75" fillId="0" borderId="0" applyFont="0" applyFill="0" applyBorder="0" applyAlignment="0" applyProtection="0"/>
    <xf numFmtId="185" fontId="72" fillId="0" borderId="0" applyFont="0" applyFill="0" applyBorder="0" applyAlignment="0" applyProtection="0"/>
    <xf numFmtId="185" fontId="72" fillId="0" borderId="0" applyFont="0" applyFill="0" applyBorder="0" applyAlignment="0" applyProtection="0"/>
    <xf numFmtId="193" fontId="23" fillId="0" borderId="0" applyFont="0" applyFill="0" applyBorder="0" applyAlignment="0" applyProtection="0"/>
    <xf numFmtId="0" fontId="72" fillId="0" borderId="0" applyFont="0" applyFill="0" applyBorder="0" applyAlignment="0" applyProtection="0"/>
    <xf numFmtId="185" fontId="72" fillId="0" borderId="0" applyFont="0" applyFill="0" applyBorder="0" applyAlignment="0" applyProtection="0"/>
    <xf numFmtId="0" fontId="72" fillId="0" borderId="0" applyFont="0" applyFill="0" applyBorder="0" applyAlignment="0" applyProtection="0"/>
    <xf numFmtId="185" fontId="72" fillId="0" borderId="0" applyFont="0" applyFill="0" applyBorder="0" applyAlignment="0" applyProtection="0"/>
    <xf numFmtId="185" fontId="72" fillId="0" borderId="0" applyFont="0" applyFill="0" applyBorder="0" applyAlignment="0" applyProtection="0"/>
    <xf numFmtId="0" fontId="72" fillId="0" borderId="0" applyFont="0" applyFill="0" applyBorder="0" applyAlignment="0" applyProtection="0"/>
    <xf numFmtId="185" fontId="72" fillId="0" borderId="0" applyFont="0" applyFill="0" applyBorder="0" applyAlignment="0" applyProtection="0"/>
    <xf numFmtId="185" fontId="72" fillId="0" borderId="0" applyFont="0" applyFill="0" applyBorder="0" applyAlignment="0" applyProtection="0"/>
    <xf numFmtId="0" fontId="72" fillId="0" borderId="0" applyFont="0" applyFill="0" applyBorder="0" applyAlignment="0" applyProtection="0"/>
    <xf numFmtId="0" fontId="72" fillId="0" borderId="0" applyFont="0" applyFill="0" applyBorder="0" applyAlignment="0" applyProtection="0"/>
    <xf numFmtId="185" fontId="72" fillId="0" borderId="0" applyFont="0" applyFill="0" applyBorder="0" applyAlignment="0" applyProtection="0"/>
    <xf numFmtId="185" fontId="72" fillId="0" borderId="0" applyFont="0" applyFill="0" applyBorder="0" applyAlignment="0" applyProtection="0"/>
    <xf numFmtId="0" fontId="72" fillId="0" borderId="0" applyFont="0" applyFill="0" applyBorder="0" applyAlignment="0" applyProtection="0"/>
    <xf numFmtId="0" fontId="72" fillId="0" borderId="0" applyFont="0" applyFill="0" applyBorder="0" applyAlignment="0" applyProtection="0"/>
    <xf numFmtId="0" fontId="72" fillId="0" borderId="0" applyFont="0" applyFill="0" applyBorder="0" applyAlignment="0" applyProtection="0"/>
    <xf numFmtId="0" fontId="72" fillId="0" borderId="0" applyFont="0" applyFill="0" applyBorder="0" applyAlignment="0" applyProtection="0"/>
    <xf numFmtId="0" fontId="72" fillId="0" borderId="0" applyFont="0" applyFill="0" applyBorder="0" applyAlignment="0" applyProtection="0"/>
    <xf numFmtId="185" fontId="72" fillId="0" borderId="0" applyFont="0" applyFill="0" applyBorder="0" applyAlignment="0" applyProtection="0"/>
    <xf numFmtId="185" fontId="72" fillId="0" borderId="0" applyFont="0" applyFill="0" applyBorder="0" applyAlignment="0" applyProtection="0"/>
    <xf numFmtId="201" fontId="38" fillId="0" borderId="0" applyFont="0" applyFill="0" applyBorder="0" applyAlignment="0" applyProtection="0"/>
    <xf numFmtId="185" fontId="72" fillId="0" borderId="0" applyFont="0" applyFill="0" applyBorder="0" applyAlignment="0" applyProtection="0"/>
    <xf numFmtId="185" fontId="72" fillId="0" borderId="0" applyFont="0" applyFill="0" applyBorder="0" applyAlignment="0" applyProtection="0"/>
    <xf numFmtId="181" fontId="23" fillId="0" borderId="0" applyFont="0" applyFill="0" applyBorder="0" applyAlignment="0" applyProtection="0"/>
    <xf numFmtId="0" fontId="75" fillId="0" borderId="0" applyFont="0" applyFill="0" applyBorder="0" applyAlignment="0" applyProtection="0"/>
    <xf numFmtId="0" fontId="75" fillId="0" borderId="0" applyFont="0" applyFill="0" applyBorder="0" applyAlignment="0" applyProtection="0"/>
    <xf numFmtId="202" fontId="23" fillId="0" borderId="0" applyFont="0" applyFill="0" applyBorder="0" applyAlignment="0" applyProtection="0"/>
    <xf numFmtId="185" fontId="72" fillId="0" borderId="0" applyFont="0" applyFill="0" applyBorder="0" applyAlignment="0" applyProtection="0"/>
    <xf numFmtId="199" fontId="23" fillId="0" borderId="0" applyFont="0" applyFill="0" applyBorder="0" applyAlignment="0" applyProtection="0"/>
    <xf numFmtId="185" fontId="72" fillId="0" borderId="0" applyFont="0" applyFill="0" applyBorder="0" applyAlignment="0" applyProtection="0"/>
    <xf numFmtId="181" fontId="23" fillId="0" borderId="0" applyFont="0" applyFill="0" applyBorder="0" applyAlignment="0" applyProtection="0"/>
    <xf numFmtId="185" fontId="72" fillId="0" borderId="0" applyFont="0" applyFill="0" applyBorder="0" applyAlignment="0" applyProtection="0"/>
    <xf numFmtId="185" fontId="72" fillId="0" borderId="0" applyFont="0" applyFill="0" applyBorder="0" applyAlignment="0" applyProtection="0"/>
    <xf numFmtId="0" fontId="72" fillId="0" borderId="0" applyFont="0" applyFill="0" applyBorder="0" applyAlignment="0" applyProtection="0"/>
    <xf numFmtId="185" fontId="72" fillId="0" borderId="0" applyFont="0" applyFill="0" applyBorder="0" applyAlignment="0" applyProtection="0"/>
    <xf numFmtId="185" fontId="72" fillId="0" borderId="0" applyFont="0" applyFill="0" applyBorder="0" applyAlignment="0" applyProtection="0"/>
    <xf numFmtId="185" fontId="72" fillId="0" borderId="0" applyFont="0" applyFill="0" applyBorder="0" applyAlignment="0" applyProtection="0"/>
    <xf numFmtId="185" fontId="72" fillId="0" borderId="0" applyFont="0" applyFill="0" applyBorder="0" applyAlignment="0" applyProtection="0"/>
    <xf numFmtId="185" fontId="72" fillId="0" borderId="0" applyFont="0" applyFill="0" applyBorder="0" applyAlignment="0" applyProtection="0"/>
    <xf numFmtId="185" fontId="72" fillId="0" borderId="0" applyFont="0" applyFill="0" applyBorder="0" applyAlignment="0" applyProtection="0"/>
    <xf numFmtId="0" fontId="72" fillId="0" borderId="0" applyFont="0" applyFill="0" applyBorder="0" applyAlignment="0" applyProtection="0"/>
    <xf numFmtId="0" fontId="72" fillId="0" borderId="0" applyFont="0" applyFill="0" applyBorder="0" applyAlignment="0" applyProtection="0"/>
    <xf numFmtId="0" fontId="72" fillId="0" borderId="0" applyFont="0" applyFill="0" applyBorder="0" applyAlignment="0" applyProtection="0"/>
    <xf numFmtId="0" fontId="72" fillId="0" borderId="0" applyFont="0" applyFill="0" applyBorder="0" applyAlignment="0" applyProtection="0"/>
    <xf numFmtId="0" fontId="72" fillId="0" borderId="0" applyFont="0" applyFill="0" applyBorder="0" applyAlignment="0" applyProtection="0"/>
    <xf numFmtId="0" fontId="72" fillId="0" borderId="0" applyFont="0" applyFill="0" applyBorder="0" applyAlignment="0" applyProtection="0"/>
    <xf numFmtId="0" fontId="72" fillId="0" borderId="0" applyFont="0" applyFill="0" applyBorder="0" applyAlignment="0" applyProtection="0"/>
    <xf numFmtId="0" fontId="72" fillId="0" borderId="0" applyFont="0" applyFill="0" applyBorder="0" applyAlignment="0" applyProtection="0"/>
    <xf numFmtId="0" fontId="72" fillId="0" borderId="0" applyFont="0" applyFill="0" applyBorder="0" applyAlignment="0" applyProtection="0"/>
    <xf numFmtId="0" fontId="72" fillId="0" borderId="0" applyFont="0" applyFill="0" applyBorder="0" applyAlignment="0" applyProtection="0"/>
    <xf numFmtId="0" fontId="72" fillId="0" borderId="0" applyFont="0" applyFill="0" applyBorder="0" applyAlignment="0" applyProtection="0"/>
    <xf numFmtId="185" fontId="72" fillId="0" borderId="0" applyFont="0" applyFill="0" applyBorder="0" applyAlignment="0" applyProtection="0"/>
    <xf numFmtId="185" fontId="72" fillId="0" borderId="0" applyFont="0" applyFill="0" applyBorder="0" applyAlignment="0" applyProtection="0"/>
    <xf numFmtId="0" fontId="72" fillId="0" borderId="0" applyFont="0" applyFill="0" applyBorder="0" applyAlignment="0" applyProtection="0"/>
    <xf numFmtId="0" fontId="72" fillId="0" borderId="0" applyFont="0" applyFill="0" applyBorder="0" applyAlignment="0" applyProtection="0"/>
    <xf numFmtId="0" fontId="72" fillId="0" borderId="0" applyFont="0" applyFill="0" applyBorder="0" applyAlignment="0" applyProtection="0"/>
    <xf numFmtId="0" fontId="72" fillId="0" borderId="0" applyFont="0" applyFill="0" applyBorder="0" applyAlignment="0" applyProtection="0"/>
    <xf numFmtId="0" fontId="72" fillId="0" borderId="0" applyFont="0" applyFill="0" applyBorder="0" applyAlignment="0" applyProtection="0"/>
    <xf numFmtId="185" fontId="72" fillId="0" borderId="0" applyFont="0" applyFill="0" applyBorder="0" applyAlignment="0" applyProtection="0"/>
    <xf numFmtId="0" fontId="72" fillId="0" borderId="0" applyFont="0" applyFill="0" applyBorder="0" applyAlignment="0" applyProtection="0"/>
    <xf numFmtId="185" fontId="72" fillId="0" borderId="0" applyFont="0" applyFill="0" applyBorder="0" applyAlignment="0" applyProtection="0"/>
    <xf numFmtId="185" fontId="72" fillId="0" borderId="0" applyFont="0" applyFill="0" applyBorder="0" applyAlignment="0" applyProtection="0"/>
    <xf numFmtId="185" fontId="72" fillId="0" borderId="0" applyFont="0" applyFill="0" applyBorder="0" applyAlignment="0" applyProtection="0"/>
    <xf numFmtId="0" fontId="72" fillId="0" borderId="0" applyFont="0" applyFill="0" applyBorder="0" applyAlignment="0" applyProtection="0"/>
    <xf numFmtId="0" fontId="72" fillId="0" borderId="0" applyFont="0" applyFill="0" applyBorder="0" applyAlignment="0" applyProtection="0"/>
    <xf numFmtId="0" fontId="72" fillId="0" borderId="0" applyFont="0" applyFill="0" applyBorder="0" applyAlignment="0" applyProtection="0"/>
    <xf numFmtId="0" fontId="72" fillId="0" borderId="0" applyFont="0" applyFill="0" applyBorder="0" applyAlignment="0" applyProtection="0"/>
    <xf numFmtId="185" fontId="72" fillId="0" borderId="0" applyFont="0" applyFill="0" applyBorder="0" applyAlignment="0" applyProtection="0"/>
    <xf numFmtId="181" fontId="23" fillId="0" borderId="0" applyFont="0" applyFill="0" applyBorder="0" applyAlignment="0" applyProtection="0"/>
    <xf numFmtId="0" fontId="23" fillId="0" borderId="0" applyFont="0" applyFill="0" applyBorder="0" applyAlignment="0" applyProtection="0"/>
    <xf numFmtId="0" fontId="23" fillId="0" borderId="0" applyFont="0" applyFill="0" applyBorder="0" applyAlignment="0" applyProtection="0"/>
    <xf numFmtId="0" fontId="23" fillId="0" borderId="0" applyFont="0" applyFill="0" applyBorder="0" applyAlignment="0" applyProtection="0"/>
    <xf numFmtId="0" fontId="23" fillId="0" borderId="0" applyFont="0" applyFill="0" applyBorder="0" applyAlignment="0" applyProtection="0"/>
    <xf numFmtId="0" fontId="23" fillId="0" borderId="0" applyFont="0" applyFill="0" applyBorder="0" applyAlignment="0" applyProtection="0"/>
    <xf numFmtId="0" fontId="23" fillId="0" borderId="0" applyFont="0" applyFill="0" applyBorder="0" applyAlignment="0" applyProtection="0"/>
    <xf numFmtId="0" fontId="23" fillId="0" borderId="0" applyFont="0" applyFill="0" applyBorder="0" applyAlignment="0" applyProtection="0"/>
    <xf numFmtId="0" fontId="23" fillId="0" borderId="0" applyFont="0" applyFill="0" applyBorder="0" applyAlignment="0" applyProtection="0"/>
    <xf numFmtId="0" fontId="23" fillId="0" borderId="0" applyFont="0" applyFill="0" applyBorder="0" applyAlignment="0" applyProtection="0"/>
    <xf numFmtId="0" fontId="23" fillId="0" borderId="0" applyFont="0" applyFill="0" applyBorder="0" applyAlignment="0" applyProtection="0"/>
    <xf numFmtId="0" fontId="23" fillId="0" borderId="0" applyFont="0" applyFill="0" applyBorder="0" applyAlignment="0" applyProtection="0"/>
    <xf numFmtId="181" fontId="23" fillId="0" borderId="0" applyFont="0" applyFill="0" applyBorder="0" applyAlignment="0" applyProtection="0"/>
    <xf numFmtId="181" fontId="23" fillId="0" borderId="0" applyFont="0" applyFill="0" applyBorder="0" applyAlignment="0" applyProtection="0"/>
    <xf numFmtId="0" fontId="23" fillId="0" borderId="0" applyFont="0" applyFill="0" applyBorder="0" applyAlignment="0" applyProtection="0"/>
    <xf numFmtId="0" fontId="23" fillId="0" borderId="0" applyFont="0" applyFill="0" applyBorder="0" applyAlignment="0" applyProtection="0"/>
    <xf numFmtId="0" fontId="23" fillId="0" borderId="0" applyFont="0" applyFill="0" applyBorder="0" applyAlignment="0" applyProtection="0"/>
    <xf numFmtId="0" fontId="23" fillId="0" borderId="0" applyFont="0" applyFill="0" applyBorder="0" applyAlignment="0" applyProtection="0"/>
    <xf numFmtId="0" fontId="23" fillId="0" borderId="0" applyFont="0" applyFill="0" applyBorder="0" applyAlignment="0" applyProtection="0"/>
    <xf numFmtId="181" fontId="23" fillId="0" borderId="0" applyFont="0" applyFill="0" applyBorder="0" applyAlignment="0" applyProtection="0"/>
    <xf numFmtId="0" fontId="23" fillId="0" borderId="0" applyFont="0" applyFill="0" applyBorder="0" applyAlignment="0" applyProtection="0"/>
    <xf numFmtId="181" fontId="23" fillId="0" borderId="0" applyFont="0" applyFill="0" applyBorder="0" applyAlignment="0" applyProtection="0"/>
    <xf numFmtId="181" fontId="23" fillId="0" borderId="0" applyFont="0" applyFill="0" applyBorder="0" applyAlignment="0" applyProtection="0"/>
    <xf numFmtId="181" fontId="23" fillId="0" borderId="0" applyFont="0" applyFill="0" applyBorder="0" applyAlignment="0" applyProtection="0"/>
    <xf numFmtId="0" fontId="23" fillId="0" borderId="0" applyFont="0" applyFill="0" applyBorder="0" applyAlignment="0" applyProtection="0"/>
    <xf numFmtId="0" fontId="23" fillId="0" borderId="0" applyFont="0" applyFill="0" applyBorder="0" applyAlignment="0" applyProtection="0"/>
    <xf numFmtId="0" fontId="23" fillId="0" borderId="0" applyFont="0" applyFill="0" applyBorder="0" applyAlignment="0" applyProtection="0"/>
    <xf numFmtId="0" fontId="23" fillId="0" borderId="0" applyFont="0" applyFill="0" applyBorder="0" applyAlignment="0" applyProtection="0"/>
    <xf numFmtId="185" fontId="72" fillId="0" borderId="0" applyFont="0" applyFill="0" applyBorder="0" applyAlignment="0" applyProtection="0"/>
    <xf numFmtId="198" fontId="74" fillId="0" borderId="0" applyFont="0" applyFill="0" applyBorder="0" applyAlignment="0" applyProtection="0"/>
    <xf numFmtId="0" fontId="74" fillId="0" borderId="0" applyFont="0" applyFill="0" applyBorder="0" applyAlignment="0" applyProtection="0"/>
    <xf numFmtId="0" fontId="74" fillId="0" borderId="0" applyFont="0" applyFill="0" applyBorder="0" applyAlignment="0" applyProtection="0"/>
    <xf numFmtId="0" fontId="74" fillId="0" borderId="0" applyFont="0" applyFill="0" applyBorder="0" applyAlignment="0" applyProtection="0"/>
    <xf numFmtId="0" fontId="74" fillId="0" borderId="0" applyFont="0" applyFill="0" applyBorder="0" applyAlignment="0" applyProtection="0"/>
    <xf numFmtId="0" fontId="74" fillId="0" borderId="0" applyFont="0" applyFill="0" applyBorder="0" applyAlignment="0" applyProtection="0"/>
    <xf numFmtId="0" fontId="74" fillId="0" borderId="0" applyFont="0" applyFill="0" applyBorder="0" applyAlignment="0" applyProtection="0"/>
    <xf numFmtId="0" fontId="74" fillId="0" borderId="0" applyFont="0" applyFill="0" applyBorder="0" applyAlignment="0" applyProtection="0"/>
    <xf numFmtId="0" fontId="74" fillId="0" borderId="0" applyFont="0" applyFill="0" applyBorder="0" applyAlignment="0" applyProtection="0"/>
    <xf numFmtId="0" fontId="74" fillId="0" borderId="0" applyFont="0" applyFill="0" applyBorder="0" applyAlignment="0" applyProtection="0"/>
    <xf numFmtId="0" fontId="74" fillId="0" borderId="0" applyFont="0" applyFill="0" applyBorder="0" applyAlignment="0" applyProtection="0"/>
    <xf numFmtId="0" fontId="74" fillId="0" borderId="0" applyFont="0" applyFill="0" applyBorder="0" applyAlignment="0" applyProtection="0"/>
    <xf numFmtId="198" fontId="74" fillId="0" borderId="0" applyFont="0" applyFill="0" applyBorder="0" applyAlignment="0" applyProtection="0"/>
    <xf numFmtId="198" fontId="74" fillId="0" borderId="0" applyFont="0" applyFill="0" applyBorder="0" applyAlignment="0" applyProtection="0"/>
    <xf numFmtId="0" fontId="74" fillId="0" borderId="0" applyFont="0" applyFill="0" applyBorder="0" applyAlignment="0" applyProtection="0"/>
    <xf numFmtId="0" fontId="74" fillId="0" borderId="0" applyFont="0" applyFill="0" applyBorder="0" applyAlignment="0" applyProtection="0"/>
    <xf numFmtId="0" fontId="74" fillId="0" borderId="0" applyFont="0" applyFill="0" applyBorder="0" applyAlignment="0" applyProtection="0"/>
    <xf numFmtId="0" fontId="74" fillId="0" borderId="0" applyFont="0" applyFill="0" applyBorder="0" applyAlignment="0" applyProtection="0"/>
    <xf numFmtId="0" fontId="74" fillId="0" borderId="0" applyFont="0" applyFill="0" applyBorder="0" applyAlignment="0" applyProtection="0"/>
    <xf numFmtId="198" fontId="74" fillId="0" borderId="0" applyFont="0" applyFill="0" applyBorder="0" applyAlignment="0" applyProtection="0"/>
    <xf numFmtId="0" fontId="74" fillId="0" borderId="0" applyFont="0" applyFill="0" applyBorder="0" applyAlignment="0" applyProtection="0"/>
    <xf numFmtId="198" fontId="74" fillId="0" borderId="0" applyFont="0" applyFill="0" applyBorder="0" applyAlignment="0" applyProtection="0"/>
    <xf numFmtId="198" fontId="74" fillId="0" borderId="0" applyFont="0" applyFill="0" applyBorder="0" applyAlignment="0" applyProtection="0"/>
    <xf numFmtId="198" fontId="74" fillId="0" borderId="0" applyFont="0" applyFill="0" applyBorder="0" applyAlignment="0" applyProtection="0"/>
    <xf numFmtId="0" fontId="74" fillId="0" borderId="0" applyFont="0" applyFill="0" applyBorder="0" applyAlignment="0" applyProtection="0"/>
    <xf numFmtId="0" fontId="74" fillId="0" borderId="0" applyFont="0" applyFill="0" applyBorder="0" applyAlignment="0" applyProtection="0"/>
    <xf numFmtId="0" fontId="74" fillId="0" borderId="0" applyFont="0" applyFill="0" applyBorder="0" applyAlignment="0" applyProtection="0"/>
    <xf numFmtId="0" fontId="74" fillId="0" borderId="0" applyFont="0" applyFill="0" applyBorder="0" applyAlignment="0" applyProtection="0"/>
    <xf numFmtId="198" fontId="74" fillId="0" borderId="0" applyFont="0" applyFill="0" applyBorder="0" applyAlignment="0" applyProtection="0"/>
    <xf numFmtId="0" fontId="74" fillId="0" borderId="0" applyFont="0" applyFill="0" applyBorder="0" applyAlignment="0" applyProtection="0"/>
    <xf numFmtId="0" fontId="74" fillId="0" borderId="0" applyFont="0" applyFill="0" applyBorder="0" applyAlignment="0" applyProtection="0"/>
    <xf numFmtId="0" fontId="74" fillId="0" borderId="0" applyFont="0" applyFill="0" applyBorder="0" applyAlignment="0" applyProtection="0"/>
    <xf numFmtId="0" fontId="74" fillId="0" borderId="0" applyFont="0" applyFill="0" applyBorder="0" applyAlignment="0" applyProtection="0"/>
    <xf numFmtId="0" fontId="74" fillId="0" borderId="0" applyFont="0" applyFill="0" applyBorder="0" applyAlignment="0" applyProtection="0"/>
    <xf numFmtId="0" fontId="74" fillId="0" borderId="0" applyFont="0" applyFill="0" applyBorder="0" applyAlignment="0" applyProtection="0"/>
    <xf numFmtId="0" fontId="74" fillId="0" borderId="0" applyFont="0" applyFill="0" applyBorder="0" applyAlignment="0" applyProtection="0"/>
    <xf numFmtId="0" fontId="74" fillId="0" borderId="0" applyFont="0" applyFill="0" applyBorder="0" applyAlignment="0" applyProtection="0"/>
    <xf numFmtId="0" fontId="74" fillId="0" borderId="0" applyFont="0" applyFill="0" applyBorder="0" applyAlignment="0" applyProtection="0"/>
    <xf numFmtId="0" fontId="74" fillId="0" borderId="0" applyFont="0" applyFill="0" applyBorder="0" applyAlignment="0" applyProtection="0"/>
    <xf numFmtId="0" fontId="74" fillId="0" borderId="0" applyFont="0" applyFill="0" applyBorder="0" applyAlignment="0" applyProtection="0"/>
    <xf numFmtId="198" fontId="74" fillId="0" borderId="0" applyFont="0" applyFill="0" applyBorder="0" applyAlignment="0" applyProtection="0"/>
    <xf numFmtId="198" fontId="74" fillId="0" borderId="0" applyFont="0" applyFill="0" applyBorder="0" applyAlignment="0" applyProtection="0"/>
    <xf numFmtId="0" fontId="74" fillId="0" borderId="0" applyFont="0" applyFill="0" applyBorder="0" applyAlignment="0" applyProtection="0"/>
    <xf numFmtId="0" fontId="74" fillId="0" borderId="0" applyFont="0" applyFill="0" applyBorder="0" applyAlignment="0" applyProtection="0"/>
    <xf numFmtId="0" fontId="74" fillId="0" borderId="0" applyFont="0" applyFill="0" applyBorder="0" applyAlignment="0" applyProtection="0"/>
    <xf numFmtId="0" fontId="74" fillId="0" borderId="0" applyFont="0" applyFill="0" applyBorder="0" applyAlignment="0" applyProtection="0"/>
    <xf numFmtId="0" fontId="74" fillId="0" borderId="0" applyFont="0" applyFill="0" applyBorder="0" applyAlignment="0" applyProtection="0"/>
    <xf numFmtId="198" fontId="74" fillId="0" borderId="0" applyFont="0" applyFill="0" applyBorder="0" applyAlignment="0" applyProtection="0"/>
    <xf numFmtId="0" fontId="74" fillId="0" borderId="0" applyFont="0" applyFill="0" applyBorder="0" applyAlignment="0" applyProtection="0"/>
    <xf numFmtId="198" fontId="74" fillId="0" borderId="0" applyFont="0" applyFill="0" applyBorder="0" applyAlignment="0" applyProtection="0"/>
    <xf numFmtId="198" fontId="74" fillId="0" borderId="0" applyFont="0" applyFill="0" applyBorder="0" applyAlignment="0" applyProtection="0"/>
    <xf numFmtId="198" fontId="74" fillId="0" borderId="0" applyFont="0" applyFill="0" applyBorder="0" applyAlignment="0" applyProtection="0"/>
    <xf numFmtId="0" fontId="74" fillId="0" borderId="0" applyFont="0" applyFill="0" applyBorder="0" applyAlignment="0" applyProtection="0"/>
    <xf numFmtId="0" fontId="74" fillId="0" borderId="0" applyFont="0" applyFill="0" applyBorder="0" applyAlignment="0" applyProtection="0"/>
    <xf numFmtId="0" fontId="74" fillId="0" borderId="0" applyFont="0" applyFill="0" applyBorder="0" applyAlignment="0" applyProtection="0"/>
    <xf numFmtId="0" fontId="74" fillId="0" borderId="0" applyFont="0" applyFill="0" applyBorder="0" applyAlignment="0" applyProtection="0"/>
    <xf numFmtId="186" fontId="45" fillId="0" borderId="0" applyFont="0" applyFill="0" applyBorder="0" applyAlignment="0" applyProtection="0"/>
    <xf numFmtId="181" fontId="23" fillId="0" borderId="0" applyFont="0" applyFill="0" applyBorder="0" applyAlignment="0" applyProtection="0"/>
    <xf numFmtId="0" fontId="75" fillId="0" borderId="0" applyFont="0" applyFill="0" applyBorder="0" applyAlignment="0" applyProtection="0"/>
    <xf numFmtId="185" fontId="72" fillId="0" borderId="0" applyFont="0" applyFill="0" applyBorder="0" applyAlignment="0" applyProtection="0"/>
    <xf numFmtId="206" fontId="38" fillId="0" borderId="0" applyFont="0" applyFill="0" applyBorder="0" applyAlignment="0" applyProtection="0"/>
    <xf numFmtId="206" fontId="38" fillId="0" borderId="0" applyFont="0" applyFill="0" applyBorder="0" applyAlignment="0" applyProtection="0"/>
    <xf numFmtId="185" fontId="72" fillId="0" borderId="0" applyFont="0" applyFill="0" applyBorder="0" applyAlignment="0" applyProtection="0"/>
    <xf numFmtId="181" fontId="23" fillId="0" borderId="0" applyFont="0" applyFill="0" applyBorder="0" applyAlignment="0" applyProtection="0"/>
    <xf numFmtId="202" fontId="23" fillId="0" borderId="0" applyFont="0" applyFill="0" applyBorder="0" applyAlignment="0" applyProtection="0"/>
    <xf numFmtId="0" fontId="72" fillId="0" borderId="0" applyFont="0" applyFill="0" applyBorder="0" applyAlignment="0" applyProtection="0"/>
    <xf numFmtId="185" fontId="72" fillId="0" borderId="0" applyFont="0" applyFill="0" applyBorder="0" applyAlignment="0" applyProtection="0"/>
    <xf numFmtId="0" fontId="72" fillId="0" borderId="0" applyFont="0" applyFill="0" applyBorder="0" applyAlignment="0" applyProtection="0"/>
    <xf numFmtId="185" fontId="72" fillId="0" borderId="0" applyFont="0" applyFill="0" applyBorder="0" applyAlignment="0" applyProtection="0"/>
    <xf numFmtId="185" fontId="72" fillId="0" borderId="0" applyFont="0" applyFill="0" applyBorder="0" applyAlignment="0" applyProtection="0"/>
    <xf numFmtId="0" fontId="72" fillId="0" borderId="0" applyFont="0" applyFill="0" applyBorder="0" applyAlignment="0" applyProtection="0"/>
    <xf numFmtId="185" fontId="72" fillId="0" borderId="0" applyFont="0" applyFill="0" applyBorder="0" applyAlignment="0" applyProtection="0"/>
    <xf numFmtId="185" fontId="72" fillId="0" borderId="0" applyFont="0" applyFill="0" applyBorder="0" applyAlignment="0" applyProtection="0"/>
    <xf numFmtId="0" fontId="72" fillId="0" borderId="0" applyFont="0" applyFill="0" applyBorder="0" applyAlignment="0" applyProtection="0"/>
    <xf numFmtId="0" fontId="72" fillId="0" borderId="0" applyFont="0" applyFill="0" applyBorder="0" applyAlignment="0" applyProtection="0"/>
    <xf numFmtId="185" fontId="72" fillId="0" borderId="0" applyFont="0" applyFill="0" applyBorder="0" applyAlignment="0" applyProtection="0"/>
    <xf numFmtId="185" fontId="72" fillId="0" borderId="0" applyFont="0" applyFill="0" applyBorder="0" applyAlignment="0" applyProtection="0"/>
    <xf numFmtId="0" fontId="72" fillId="0" borderId="0" applyFont="0" applyFill="0" applyBorder="0" applyAlignment="0" applyProtection="0"/>
    <xf numFmtId="0" fontId="72" fillId="0" borderId="0" applyFont="0" applyFill="0" applyBorder="0" applyAlignment="0" applyProtection="0"/>
    <xf numFmtId="0" fontId="72" fillId="0" borderId="0" applyFont="0" applyFill="0" applyBorder="0" applyAlignment="0" applyProtection="0"/>
    <xf numFmtId="0" fontId="72" fillId="0" borderId="0" applyFont="0" applyFill="0" applyBorder="0" applyAlignment="0" applyProtection="0"/>
    <xf numFmtId="185" fontId="72" fillId="0" borderId="0" applyFont="0" applyFill="0" applyBorder="0" applyAlignment="0" applyProtection="0"/>
    <xf numFmtId="0" fontId="72" fillId="0" borderId="0" applyFont="0" applyFill="0" applyBorder="0" applyAlignment="0" applyProtection="0"/>
    <xf numFmtId="185" fontId="72" fillId="0" borderId="0" applyFont="0" applyFill="0" applyBorder="0" applyAlignment="0" applyProtection="0"/>
    <xf numFmtId="185" fontId="72" fillId="0" borderId="0" applyFont="0" applyFill="0" applyBorder="0" applyAlignment="0" applyProtection="0"/>
    <xf numFmtId="181" fontId="23" fillId="0" borderId="0" applyFont="0" applyFill="0" applyBorder="0" applyAlignment="0" applyProtection="0"/>
    <xf numFmtId="207" fontId="23" fillId="0" borderId="0" applyFont="0" applyFill="0" applyBorder="0" applyAlignment="0" applyProtection="0"/>
    <xf numFmtId="201" fontId="23" fillId="0" borderId="0" applyFont="0" applyFill="0" applyBorder="0" applyAlignment="0" applyProtection="0"/>
    <xf numFmtId="0" fontId="23" fillId="0" borderId="0" applyFont="0" applyFill="0" applyBorder="0" applyAlignment="0" applyProtection="0"/>
    <xf numFmtId="201" fontId="23" fillId="0" borderId="0" applyFont="0" applyFill="0" applyBorder="0" applyAlignment="0" applyProtection="0"/>
    <xf numFmtId="0" fontId="23" fillId="0" borderId="0" applyFont="0" applyFill="0" applyBorder="0" applyAlignment="0" applyProtection="0"/>
    <xf numFmtId="201" fontId="23" fillId="0" borderId="0" applyFont="0" applyFill="0" applyBorder="0" applyAlignment="0" applyProtection="0"/>
    <xf numFmtId="201" fontId="23" fillId="0" borderId="0" applyFont="0" applyFill="0" applyBorder="0" applyAlignment="0" applyProtection="0"/>
    <xf numFmtId="0" fontId="23" fillId="0" borderId="0" applyFont="0" applyFill="0" applyBorder="0" applyAlignment="0" applyProtection="0"/>
    <xf numFmtId="0" fontId="23" fillId="0" borderId="0" applyFont="0" applyFill="0" applyBorder="0" applyAlignment="0" applyProtection="0"/>
    <xf numFmtId="0" fontId="23" fillId="0" borderId="0" applyFont="0" applyFill="0" applyBorder="0" applyAlignment="0" applyProtection="0"/>
    <xf numFmtId="201" fontId="23" fillId="0" borderId="0" applyFont="0" applyFill="0" applyBorder="0" applyAlignment="0" applyProtection="0"/>
    <xf numFmtId="0" fontId="23" fillId="0" borderId="0" applyFont="0" applyFill="0" applyBorder="0" applyAlignment="0" applyProtection="0"/>
    <xf numFmtId="201" fontId="23" fillId="0" borderId="0" applyFont="0" applyFill="0" applyBorder="0" applyAlignment="0" applyProtection="0"/>
    <xf numFmtId="0" fontId="23" fillId="0" borderId="0" applyFont="0" applyFill="0" applyBorder="0" applyAlignment="0" applyProtection="0"/>
    <xf numFmtId="0" fontId="23" fillId="0" borderId="0" applyFont="0" applyFill="0" applyBorder="0" applyAlignment="0" applyProtection="0"/>
    <xf numFmtId="201" fontId="23" fillId="0" borderId="0" applyFont="0" applyFill="0" applyBorder="0" applyAlignment="0" applyProtection="0"/>
    <xf numFmtId="201" fontId="23" fillId="0" borderId="0" applyFont="0" applyFill="0" applyBorder="0" applyAlignment="0" applyProtection="0"/>
    <xf numFmtId="0" fontId="23" fillId="0" borderId="0" applyFont="0" applyFill="0" applyBorder="0" applyAlignment="0" applyProtection="0"/>
    <xf numFmtId="0" fontId="23" fillId="0" borderId="0" applyFont="0" applyFill="0" applyBorder="0" applyAlignment="0" applyProtection="0"/>
    <xf numFmtId="201" fontId="23" fillId="0" borderId="0" applyFont="0" applyFill="0" applyBorder="0" applyAlignment="0" applyProtection="0"/>
    <xf numFmtId="190" fontId="23" fillId="0" borderId="0" applyFont="0" applyFill="0" applyBorder="0" applyAlignment="0" applyProtection="0"/>
    <xf numFmtId="0" fontId="23" fillId="0" borderId="0" applyFont="0" applyFill="0" applyBorder="0" applyAlignment="0" applyProtection="0"/>
    <xf numFmtId="207" fontId="23" fillId="0" borderId="0" applyFont="0" applyFill="0" applyBorder="0" applyAlignment="0" applyProtection="0"/>
    <xf numFmtId="208" fontId="38" fillId="0" borderId="0" applyFont="0" applyFill="0" applyBorder="0" applyAlignment="0" applyProtection="0"/>
    <xf numFmtId="0" fontId="23" fillId="0" borderId="0" applyFont="0" applyFill="0" applyBorder="0" applyAlignment="0" applyProtection="0"/>
    <xf numFmtId="209" fontId="23" fillId="0" borderId="0" applyFont="0" applyFill="0" applyBorder="0" applyAlignment="0" applyProtection="0"/>
    <xf numFmtId="207" fontId="23" fillId="0" borderId="0" applyFont="0" applyFill="0" applyBorder="0" applyAlignment="0" applyProtection="0"/>
    <xf numFmtId="207" fontId="23" fillId="0" borderId="0" applyFont="0" applyFill="0" applyBorder="0" applyAlignment="0" applyProtection="0"/>
    <xf numFmtId="0" fontId="23" fillId="0" borderId="0" applyFont="0" applyFill="0" applyBorder="0" applyAlignment="0" applyProtection="0"/>
    <xf numFmtId="0" fontId="23" fillId="0" borderId="0" applyFont="0" applyFill="0" applyBorder="0" applyAlignment="0" applyProtection="0"/>
    <xf numFmtId="0" fontId="23" fillId="0" borderId="0" applyFont="0" applyFill="0" applyBorder="0" applyAlignment="0" applyProtection="0"/>
    <xf numFmtId="209" fontId="23" fillId="0" borderId="0" applyFont="0" applyFill="0" applyBorder="0" applyAlignment="0" applyProtection="0"/>
    <xf numFmtId="0" fontId="23" fillId="0" borderId="0" applyFont="0" applyFill="0" applyBorder="0" applyAlignment="0" applyProtection="0"/>
    <xf numFmtId="209" fontId="23" fillId="0" borderId="0" applyFont="0" applyFill="0" applyBorder="0" applyAlignment="0" applyProtection="0"/>
    <xf numFmtId="207" fontId="23" fillId="0" borderId="0" applyFont="0" applyFill="0" applyBorder="0" applyAlignment="0" applyProtection="0"/>
    <xf numFmtId="0" fontId="23" fillId="0" borderId="0" applyFont="0" applyFill="0" applyBorder="0" applyAlignment="0" applyProtection="0"/>
    <xf numFmtId="207" fontId="23" fillId="0" borderId="0" applyFont="0" applyFill="0" applyBorder="0" applyAlignment="0" applyProtection="0"/>
    <xf numFmtId="0" fontId="23" fillId="0" borderId="0" applyFont="0" applyFill="0" applyBorder="0" applyAlignment="0" applyProtection="0"/>
    <xf numFmtId="0" fontId="23" fillId="0" borderId="0" applyFont="0" applyFill="0" applyBorder="0" applyAlignment="0" applyProtection="0"/>
    <xf numFmtId="0" fontId="23" fillId="0" borderId="0" applyFont="0" applyFill="0" applyBorder="0" applyAlignment="0" applyProtection="0"/>
    <xf numFmtId="207" fontId="23" fillId="0" borderId="0" applyFont="0" applyFill="0" applyBorder="0" applyAlignment="0" applyProtection="0"/>
    <xf numFmtId="207" fontId="23" fillId="0" borderId="0" applyFont="0" applyFill="0" applyBorder="0" applyAlignment="0" applyProtection="0"/>
    <xf numFmtId="0" fontId="23" fillId="0" borderId="0" applyFont="0" applyFill="0" applyBorder="0" applyAlignment="0" applyProtection="0"/>
    <xf numFmtId="209" fontId="23" fillId="0" borderId="0" applyFont="0" applyFill="0" applyBorder="0" applyAlignment="0" applyProtection="0"/>
    <xf numFmtId="209" fontId="23" fillId="0" borderId="0" applyFont="0" applyFill="0" applyBorder="0" applyAlignment="0" applyProtection="0"/>
    <xf numFmtId="207" fontId="23" fillId="0" borderId="0" applyFont="0" applyFill="0" applyBorder="0" applyAlignment="0" applyProtection="0"/>
    <xf numFmtId="185" fontId="72" fillId="0" borderId="0" applyFont="0" applyFill="0" applyBorder="0" applyAlignment="0" applyProtection="0"/>
    <xf numFmtId="181" fontId="23" fillId="0" borderId="0" applyFont="0" applyFill="0" applyBorder="0" applyAlignment="0" applyProtection="0"/>
    <xf numFmtId="185" fontId="72" fillId="0" borderId="0" applyFont="0" applyFill="0" applyBorder="0" applyAlignment="0" applyProtection="0"/>
    <xf numFmtId="210" fontId="75" fillId="0" borderId="0" applyFont="0" applyFill="0" applyBorder="0" applyAlignment="0" applyProtection="0"/>
    <xf numFmtId="0" fontId="72" fillId="0" borderId="0" applyFont="0" applyFill="0" applyBorder="0" applyAlignment="0" applyProtection="0"/>
    <xf numFmtId="199" fontId="23" fillId="0" borderId="0" applyFont="0" applyFill="0" applyBorder="0" applyAlignment="0" applyProtection="0"/>
    <xf numFmtId="186" fontId="45" fillId="0" borderId="0" applyFont="0" applyFill="0" applyBorder="0" applyAlignment="0" applyProtection="0"/>
    <xf numFmtId="185" fontId="72" fillId="0" borderId="0" applyFont="0" applyFill="0" applyBorder="0" applyAlignment="0" applyProtection="0"/>
    <xf numFmtId="186" fontId="45" fillId="0" borderId="0" applyFont="0" applyFill="0" applyBorder="0" applyAlignment="0" applyProtection="0"/>
    <xf numFmtId="181" fontId="23" fillId="0" borderId="0" applyFont="0" applyFill="0" applyBorder="0" applyAlignment="0" applyProtection="0"/>
    <xf numFmtId="0" fontId="23" fillId="0" borderId="0" applyFont="0" applyFill="0" applyBorder="0" applyAlignment="0" applyProtection="0"/>
    <xf numFmtId="181" fontId="23" fillId="0" borderId="0" applyFont="0" applyFill="0" applyBorder="0" applyAlignment="0" applyProtection="0"/>
    <xf numFmtId="0" fontId="23" fillId="0" borderId="0" applyFont="0" applyFill="0" applyBorder="0" applyAlignment="0" applyProtection="0"/>
    <xf numFmtId="181" fontId="23" fillId="0" borderId="0" applyFont="0" applyFill="0" applyBorder="0" applyAlignment="0" applyProtection="0"/>
    <xf numFmtId="181" fontId="23" fillId="0" borderId="0" applyFont="0" applyFill="0" applyBorder="0" applyAlignment="0" applyProtection="0"/>
    <xf numFmtId="0" fontId="23" fillId="0" borderId="0" applyFont="0" applyFill="0" applyBorder="0" applyAlignment="0" applyProtection="0"/>
    <xf numFmtId="181" fontId="23" fillId="0" borderId="0" applyFont="0" applyFill="0" applyBorder="0" applyAlignment="0" applyProtection="0"/>
    <xf numFmtId="181" fontId="23" fillId="0" borderId="0" applyFont="0" applyFill="0" applyBorder="0" applyAlignment="0" applyProtection="0"/>
    <xf numFmtId="0" fontId="23" fillId="0" borderId="0" applyFont="0" applyFill="0" applyBorder="0" applyAlignment="0" applyProtection="0"/>
    <xf numFmtId="0" fontId="23" fillId="0" borderId="0" applyFont="0" applyFill="0" applyBorder="0" applyAlignment="0" applyProtection="0"/>
    <xf numFmtId="181" fontId="23" fillId="0" borderId="0" applyFont="0" applyFill="0" applyBorder="0" applyAlignment="0" applyProtection="0"/>
    <xf numFmtId="181" fontId="23" fillId="0" borderId="0" applyFont="0" applyFill="0" applyBorder="0" applyAlignment="0" applyProtection="0"/>
    <xf numFmtId="0" fontId="23" fillId="0" borderId="0" applyFont="0" applyFill="0" applyBorder="0" applyAlignment="0" applyProtection="0"/>
    <xf numFmtId="0" fontId="23" fillId="0" borderId="0" applyFont="0" applyFill="0" applyBorder="0" applyAlignment="0" applyProtection="0"/>
    <xf numFmtId="0" fontId="23" fillId="0" borderId="0" applyFont="0" applyFill="0" applyBorder="0" applyAlignment="0" applyProtection="0"/>
    <xf numFmtId="0" fontId="23" fillId="0" borderId="0" applyFont="0" applyFill="0" applyBorder="0" applyAlignment="0" applyProtection="0"/>
    <xf numFmtId="0" fontId="23" fillId="0" borderId="0" applyFont="0" applyFill="0" applyBorder="0" applyAlignment="0" applyProtection="0"/>
    <xf numFmtId="181" fontId="23" fillId="0" borderId="0" applyFont="0" applyFill="0" applyBorder="0" applyAlignment="0" applyProtection="0"/>
    <xf numFmtId="181" fontId="23" fillId="0" borderId="0" applyFont="0" applyFill="0" applyBorder="0" applyAlignment="0" applyProtection="0"/>
    <xf numFmtId="181" fontId="23" fillId="0" borderId="0" applyFont="0" applyFill="0" applyBorder="0" applyAlignment="0" applyProtection="0"/>
    <xf numFmtId="185" fontId="72" fillId="0" borderId="0" applyFont="0" applyFill="0" applyBorder="0" applyAlignment="0" applyProtection="0"/>
    <xf numFmtId="186" fontId="45" fillId="0" borderId="0" applyFont="0" applyFill="0" applyBorder="0" applyAlignment="0" applyProtection="0"/>
    <xf numFmtId="185" fontId="72" fillId="0" borderId="0" applyFont="0" applyFill="0" applyBorder="0" applyAlignment="0" applyProtection="0"/>
    <xf numFmtId="185" fontId="72" fillId="0" borderId="0" applyFont="0" applyFill="0" applyBorder="0" applyAlignment="0" applyProtection="0"/>
    <xf numFmtId="0" fontId="72" fillId="0" borderId="0" applyFont="0" applyFill="0" applyBorder="0" applyAlignment="0" applyProtection="0"/>
    <xf numFmtId="0" fontId="72" fillId="0" borderId="0" applyFont="0" applyFill="0" applyBorder="0" applyAlignment="0" applyProtection="0"/>
    <xf numFmtId="181" fontId="23" fillId="0" borderId="0" applyFont="0" applyFill="0" applyBorder="0" applyAlignment="0" applyProtection="0"/>
    <xf numFmtId="181" fontId="23" fillId="0" borderId="0" applyFont="0" applyFill="0" applyBorder="0" applyAlignment="0" applyProtection="0"/>
    <xf numFmtId="181" fontId="23" fillId="0" borderId="0" applyFont="0" applyFill="0" applyBorder="0" applyAlignment="0" applyProtection="0"/>
    <xf numFmtId="0" fontId="72" fillId="0" borderId="0" applyFont="0" applyFill="0" applyBorder="0" applyAlignment="0" applyProtection="0"/>
    <xf numFmtId="181" fontId="23" fillId="0" borderId="0" applyFont="0" applyFill="0" applyBorder="0" applyAlignment="0" applyProtection="0"/>
    <xf numFmtId="181" fontId="23" fillId="0" borderId="0" applyFont="0" applyFill="0" applyBorder="0" applyAlignment="0" applyProtection="0"/>
    <xf numFmtId="0" fontId="75" fillId="0" borderId="0" applyFont="0" applyFill="0" applyBorder="0" applyAlignment="0" applyProtection="0"/>
    <xf numFmtId="0" fontId="75" fillId="0" borderId="0" applyFont="0" applyFill="0" applyBorder="0" applyAlignment="0" applyProtection="0"/>
    <xf numFmtId="0" fontId="75" fillId="0" borderId="0" applyFont="0" applyFill="0" applyBorder="0" applyAlignment="0" applyProtection="0"/>
    <xf numFmtId="0" fontId="75" fillId="0" borderId="0" applyFont="0" applyFill="0" applyBorder="0" applyAlignment="0" applyProtection="0"/>
    <xf numFmtId="0" fontId="75" fillId="0" borderId="0" applyFont="0" applyFill="0" applyBorder="0" applyAlignment="0" applyProtection="0"/>
    <xf numFmtId="185" fontId="72" fillId="0" borderId="0" applyFont="0" applyFill="0" applyBorder="0" applyAlignment="0" applyProtection="0"/>
    <xf numFmtId="0" fontId="72" fillId="0" borderId="0" applyFont="0" applyFill="0" applyBorder="0" applyAlignment="0" applyProtection="0"/>
    <xf numFmtId="0" fontId="72" fillId="0" borderId="0" applyFont="0" applyFill="0" applyBorder="0" applyAlignment="0" applyProtection="0"/>
    <xf numFmtId="0" fontId="72" fillId="0" borderId="0" applyFont="0" applyFill="0" applyBorder="0" applyAlignment="0" applyProtection="0"/>
    <xf numFmtId="0" fontId="72" fillId="0" borderId="0" applyFont="0" applyFill="0" applyBorder="0" applyAlignment="0" applyProtection="0"/>
    <xf numFmtId="0" fontId="72" fillId="0" borderId="0" applyFont="0" applyFill="0" applyBorder="0" applyAlignment="0" applyProtection="0"/>
    <xf numFmtId="0" fontId="72" fillId="0" borderId="0" applyFont="0" applyFill="0" applyBorder="0" applyAlignment="0" applyProtection="0"/>
    <xf numFmtId="0" fontId="72" fillId="0" borderId="0" applyFont="0" applyFill="0" applyBorder="0" applyAlignment="0" applyProtection="0"/>
    <xf numFmtId="0" fontId="72" fillId="0" borderId="0" applyFont="0" applyFill="0" applyBorder="0" applyAlignment="0" applyProtection="0"/>
    <xf numFmtId="0" fontId="72" fillId="0" borderId="0" applyFont="0" applyFill="0" applyBorder="0" applyAlignment="0" applyProtection="0"/>
    <xf numFmtId="0" fontId="72" fillId="0" borderId="0" applyFont="0" applyFill="0" applyBorder="0" applyAlignment="0" applyProtection="0"/>
    <xf numFmtId="0" fontId="72" fillId="0" borderId="0" applyFont="0" applyFill="0" applyBorder="0" applyAlignment="0" applyProtection="0"/>
    <xf numFmtId="185" fontId="72" fillId="0" borderId="0" applyFont="0" applyFill="0" applyBorder="0" applyAlignment="0" applyProtection="0"/>
    <xf numFmtId="185" fontId="72" fillId="0" borderId="0" applyFont="0" applyFill="0" applyBorder="0" applyAlignment="0" applyProtection="0"/>
    <xf numFmtId="0" fontId="72" fillId="0" borderId="0" applyFont="0" applyFill="0" applyBorder="0" applyAlignment="0" applyProtection="0"/>
    <xf numFmtId="0" fontId="72" fillId="0" borderId="0" applyFont="0" applyFill="0" applyBorder="0" applyAlignment="0" applyProtection="0"/>
    <xf numFmtId="0" fontId="72" fillId="0" borderId="0" applyFont="0" applyFill="0" applyBorder="0" applyAlignment="0" applyProtection="0"/>
    <xf numFmtId="0" fontId="72" fillId="0" borderId="0" applyFont="0" applyFill="0" applyBorder="0" applyAlignment="0" applyProtection="0"/>
    <xf numFmtId="0" fontId="72" fillId="0" borderId="0" applyFont="0" applyFill="0" applyBorder="0" applyAlignment="0" applyProtection="0"/>
    <xf numFmtId="185" fontId="72" fillId="0" borderId="0" applyFont="0" applyFill="0" applyBorder="0" applyAlignment="0" applyProtection="0"/>
    <xf numFmtId="0" fontId="72" fillId="0" borderId="0" applyFont="0" applyFill="0" applyBorder="0" applyAlignment="0" applyProtection="0"/>
    <xf numFmtId="185" fontId="72" fillId="0" borderId="0" applyFont="0" applyFill="0" applyBorder="0" applyAlignment="0" applyProtection="0"/>
    <xf numFmtId="185" fontId="72" fillId="0" borderId="0" applyFont="0" applyFill="0" applyBorder="0" applyAlignment="0" applyProtection="0"/>
    <xf numFmtId="185" fontId="72" fillId="0" borderId="0" applyFont="0" applyFill="0" applyBorder="0" applyAlignment="0" applyProtection="0"/>
    <xf numFmtId="0" fontId="72" fillId="0" borderId="0" applyFont="0" applyFill="0" applyBorder="0" applyAlignment="0" applyProtection="0"/>
    <xf numFmtId="0" fontId="72" fillId="0" borderId="0" applyFont="0" applyFill="0" applyBorder="0" applyAlignment="0" applyProtection="0"/>
    <xf numFmtId="0" fontId="72" fillId="0" borderId="0" applyFont="0" applyFill="0" applyBorder="0" applyAlignment="0" applyProtection="0"/>
    <xf numFmtId="0" fontId="72" fillId="0" borderId="0" applyFont="0" applyFill="0" applyBorder="0" applyAlignment="0" applyProtection="0"/>
    <xf numFmtId="185" fontId="72" fillId="0" borderId="0" applyFont="0" applyFill="0" applyBorder="0" applyAlignment="0" applyProtection="0"/>
    <xf numFmtId="0" fontId="72" fillId="0" borderId="0" applyFont="0" applyFill="0" applyBorder="0" applyAlignment="0" applyProtection="0"/>
    <xf numFmtId="185" fontId="72" fillId="0" borderId="0" applyFont="0" applyFill="0" applyBorder="0" applyAlignment="0" applyProtection="0"/>
    <xf numFmtId="0" fontId="72" fillId="0" borderId="0" applyFont="0" applyFill="0" applyBorder="0" applyAlignment="0" applyProtection="0"/>
    <xf numFmtId="185" fontId="72" fillId="0" borderId="0" applyFont="0" applyFill="0" applyBorder="0" applyAlignment="0" applyProtection="0"/>
    <xf numFmtId="185" fontId="72" fillId="0" borderId="0" applyFont="0" applyFill="0" applyBorder="0" applyAlignment="0" applyProtection="0"/>
    <xf numFmtId="181" fontId="23" fillId="0" borderId="0" applyFont="0" applyFill="0" applyBorder="0" applyAlignment="0" applyProtection="0"/>
    <xf numFmtId="181" fontId="23" fillId="0" borderId="0" applyFont="0" applyFill="0" applyBorder="0" applyAlignment="0" applyProtection="0"/>
    <xf numFmtId="0" fontId="72" fillId="0" borderId="0" applyFont="0" applyFill="0" applyBorder="0" applyAlignment="0" applyProtection="0"/>
    <xf numFmtId="181" fontId="23" fillId="0" borderId="0" applyFont="0" applyFill="0" applyBorder="0" applyAlignment="0" applyProtection="0"/>
    <xf numFmtId="0" fontId="75" fillId="0" borderId="0" applyFont="0" applyFill="0" applyBorder="0" applyAlignment="0" applyProtection="0"/>
    <xf numFmtId="185" fontId="72" fillId="0" borderId="0" applyFont="0" applyFill="0" applyBorder="0" applyAlignment="0" applyProtection="0"/>
    <xf numFmtId="0" fontId="72" fillId="0" borderId="0" applyFont="0" applyFill="0" applyBorder="0" applyAlignment="0" applyProtection="0"/>
    <xf numFmtId="185" fontId="72" fillId="0" borderId="0" applyFont="0" applyFill="0" applyBorder="0" applyAlignment="0" applyProtection="0"/>
    <xf numFmtId="0" fontId="72" fillId="0" borderId="0" applyFont="0" applyFill="0" applyBorder="0" applyAlignment="0" applyProtection="0"/>
    <xf numFmtId="185" fontId="72" fillId="0" borderId="0" applyFont="0" applyFill="0" applyBorder="0" applyAlignment="0" applyProtection="0"/>
    <xf numFmtId="185" fontId="72" fillId="0" borderId="0" applyFont="0" applyFill="0" applyBorder="0" applyAlignment="0" applyProtection="0"/>
    <xf numFmtId="0" fontId="72" fillId="0" borderId="0" applyFont="0" applyFill="0" applyBorder="0" applyAlignment="0" applyProtection="0"/>
    <xf numFmtId="0" fontId="72" fillId="0" borderId="0" applyFont="0" applyFill="0" applyBorder="0" applyAlignment="0" applyProtection="0"/>
    <xf numFmtId="185" fontId="72" fillId="0" borderId="0" applyFont="0" applyFill="0" applyBorder="0" applyAlignment="0" applyProtection="0"/>
    <xf numFmtId="0" fontId="72" fillId="0" borderId="0" applyFont="0" applyFill="0" applyBorder="0" applyAlignment="0" applyProtection="0"/>
    <xf numFmtId="0" fontId="72" fillId="0" borderId="0" applyFont="0" applyFill="0" applyBorder="0" applyAlignment="0" applyProtection="0"/>
    <xf numFmtId="0" fontId="72" fillId="0" borderId="0" applyFont="0" applyFill="0" applyBorder="0" applyAlignment="0" applyProtection="0"/>
    <xf numFmtId="185" fontId="72" fillId="0" borderId="0" applyFont="0" applyFill="0" applyBorder="0" applyAlignment="0" applyProtection="0"/>
    <xf numFmtId="0" fontId="72" fillId="0" borderId="0" applyFont="0" applyFill="0" applyBorder="0" applyAlignment="0" applyProtection="0"/>
    <xf numFmtId="0" fontId="72" fillId="0" borderId="0" applyFont="0" applyFill="0" applyBorder="0" applyAlignment="0" applyProtection="0"/>
    <xf numFmtId="0" fontId="72" fillId="0" borderId="0" applyFont="0" applyFill="0" applyBorder="0" applyAlignment="0" applyProtection="0"/>
    <xf numFmtId="0" fontId="75" fillId="0" borderId="0" applyFont="0" applyFill="0" applyBorder="0" applyAlignment="0" applyProtection="0"/>
    <xf numFmtId="0" fontId="72" fillId="0" borderId="0" applyFont="0" applyFill="0" applyBorder="0" applyAlignment="0" applyProtection="0"/>
    <xf numFmtId="0" fontId="72" fillId="0" borderId="0" applyFont="0" applyFill="0" applyBorder="0" applyAlignment="0" applyProtection="0"/>
    <xf numFmtId="0" fontId="75" fillId="0" borderId="0" applyFont="0" applyFill="0" applyBorder="0" applyAlignment="0" applyProtection="0"/>
    <xf numFmtId="0" fontId="75" fillId="0" borderId="0" applyFont="0" applyFill="0" applyBorder="0" applyAlignment="0" applyProtection="0"/>
    <xf numFmtId="181" fontId="23" fillId="0" borderId="0" applyFont="0" applyFill="0" applyBorder="0" applyAlignment="0" applyProtection="0"/>
    <xf numFmtId="211" fontId="38" fillId="0" borderId="0" applyFont="0" applyFill="0" applyBorder="0" applyAlignment="0" applyProtection="0"/>
    <xf numFmtId="0" fontId="72" fillId="0" borderId="0" applyFont="0" applyFill="0" applyBorder="0" applyAlignment="0" applyProtection="0"/>
    <xf numFmtId="185" fontId="72" fillId="0" borderId="0" applyFont="0" applyFill="0" applyBorder="0" applyAlignment="0" applyProtection="0"/>
    <xf numFmtId="0" fontId="72" fillId="0" borderId="0" applyFont="0" applyFill="0" applyBorder="0" applyAlignment="0" applyProtection="0"/>
    <xf numFmtId="185" fontId="72" fillId="0" borderId="0" applyFont="0" applyFill="0" applyBorder="0" applyAlignment="0" applyProtection="0"/>
    <xf numFmtId="185" fontId="72" fillId="0" borderId="0" applyFont="0" applyFill="0" applyBorder="0" applyAlignment="0" applyProtection="0"/>
    <xf numFmtId="0" fontId="72" fillId="0" borderId="0" applyFont="0" applyFill="0" applyBorder="0" applyAlignment="0" applyProtection="0"/>
    <xf numFmtId="185" fontId="72" fillId="0" borderId="0" applyFont="0" applyFill="0" applyBorder="0" applyAlignment="0" applyProtection="0"/>
    <xf numFmtId="185" fontId="72" fillId="0" borderId="0" applyFont="0" applyFill="0" applyBorder="0" applyAlignment="0" applyProtection="0"/>
    <xf numFmtId="0" fontId="72" fillId="0" borderId="0" applyFont="0" applyFill="0" applyBorder="0" applyAlignment="0" applyProtection="0"/>
    <xf numFmtId="0" fontId="72" fillId="0" borderId="0" applyFont="0" applyFill="0" applyBorder="0" applyAlignment="0" applyProtection="0"/>
    <xf numFmtId="185" fontId="72" fillId="0" borderId="0" applyFont="0" applyFill="0" applyBorder="0" applyAlignment="0" applyProtection="0"/>
    <xf numFmtId="185" fontId="72" fillId="0" borderId="0" applyFont="0" applyFill="0" applyBorder="0" applyAlignment="0" applyProtection="0"/>
    <xf numFmtId="0" fontId="72" fillId="0" borderId="0" applyFont="0" applyFill="0" applyBorder="0" applyAlignment="0" applyProtection="0"/>
    <xf numFmtId="185" fontId="72" fillId="0" borderId="0" applyFont="0" applyFill="0" applyBorder="0" applyAlignment="0" applyProtection="0"/>
    <xf numFmtId="0" fontId="72" fillId="0" borderId="0" applyFont="0" applyFill="0" applyBorder="0" applyAlignment="0" applyProtection="0"/>
    <xf numFmtId="0" fontId="72" fillId="0" borderId="0" applyFont="0" applyFill="0" applyBorder="0" applyAlignment="0" applyProtection="0"/>
    <xf numFmtId="0" fontId="72" fillId="0" borderId="0" applyFont="0" applyFill="0" applyBorder="0" applyAlignment="0" applyProtection="0"/>
    <xf numFmtId="0" fontId="72" fillId="0" borderId="0" applyFont="0" applyFill="0" applyBorder="0" applyAlignment="0" applyProtection="0"/>
    <xf numFmtId="185" fontId="72" fillId="0" borderId="0" applyFont="0" applyFill="0" applyBorder="0" applyAlignment="0" applyProtection="0"/>
    <xf numFmtId="185" fontId="72" fillId="0" borderId="0" applyFont="0" applyFill="0" applyBorder="0" applyAlignment="0" applyProtection="0"/>
    <xf numFmtId="185" fontId="72" fillId="0" borderId="0" applyFont="0" applyFill="0" applyBorder="0" applyAlignment="0" applyProtection="0"/>
    <xf numFmtId="181" fontId="23" fillId="0" borderId="0" applyFont="0" applyFill="0" applyBorder="0" applyAlignment="0" applyProtection="0"/>
    <xf numFmtId="0" fontId="72" fillId="0" borderId="0" applyFont="0" applyFill="0" applyBorder="0" applyAlignment="0" applyProtection="0"/>
    <xf numFmtId="185" fontId="72" fillId="0" borderId="0" applyFont="0" applyFill="0" applyBorder="0" applyAlignment="0" applyProtection="0"/>
    <xf numFmtId="0" fontId="72" fillId="0" borderId="0" applyFont="0" applyFill="0" applyBorder="0" applyAlignment="0" applyProtection="0"/>
    <xf numFmtId="185" fontId="72" fillId="0" borderId="0" applyFont="0" applyFill="0" applyBorder="0" applyAlignment="0" applyProtection="0"/>
    <xf numFmtId="185" fontId="72" fillId="0" borderId="0" applyFont="0" applyFill="0" applyBorder="0" applyAlignment="0" applyProtection="0"/>
    <xf numFmtId="0" fontId="72" fillId="0" borderId="0" applyFont="0" applyFill="0" applyBorder="0" applyAlignment="0" applyProtection="0"/>
    <xf numFmtId="185" fontId="72" fillId="0" borderId="0" applyFont="0" applyFill="0" applyBorder="0" applyAlignment="0" applyProtection="0"/>
    <xf numFmtId="185" fontId="72" fillId="0" borderId="0" applyFont="0" applyFill="0" applyBorder="0" applyAlignment="0" applyProtection="0"/>
    <xf numFmtId="0" fontId="72" fillId="0" borderId="0" applyFont="0" applyFill="0" applyBorder="0" applyAlignment="0" applyProtection="0"/>
    <xf numFmtId="0" fontId="72" fillId="0" borderId="0" applyFont="0" applyFill="0" applyBorder="0" applyAlignment="0" applyProtection="0"/>
    <xf numFmtId="185" fontId="72" fillId="0" borderId="0" applyFont="0" applyFill="0" applyBorder="0" applyAlignment="0" applyProtection="0"/>
    <xf numFmtId="185" fontId="72" fillId="0" borderId="0" applyFont="0" applyFill="0" applyBorder="0" applyAlignment="0" applyProtection="0"/>
    <xf numFmtId="0" fontId="72" fillId="0" borderId="0" applyFont="0" applyFill="0" applyBorder="0" applyAlignment="0" applyProtection="0"/>
    <xf numFmtId="185" fontId="72" fillId="0" borderId="0" applyFont="0" applyFill="0" applyBorder="0" applyAlignment="0" applyProtection="0"/>
    <xf numFmtId="0" fontId="72" fillId="0" borderId="0" applyFont="0" applyFill="0" applyBorder="0" applyAlignment="0" applyProtection="0"/>
    <xf numFmtId="185" fontId="72" fillId="0" borderId="0" applyFont="0" applyFill="0" applyBorder="0" applyAlignment="0" applyProtection="0"/>
    <xf numFmtId="185" fontId="72" fillId="0" borderId="0" applyFont="0" applyFill="0" applyBorder="0" applyAlignment="0" applyProtection="0"/>
    <xf numFmtId="185" fontId="72" fillId="0" borderId="0" applyFont="0" applyFill="0" applyBorder="0" applyAlignment="0" applyProtection="0"/>
    <xf numFmtId="0" fontId="72" fillId="0" borderId="0" applyFont="0" applyFill="0" applyBorder="0" applyAlignment="0" applyProtection="0"/>
    <xf numFmtId="0" fontId="72" fillId="0" borderId="0" applyFont="0" applyFill="0" applyBorder="0" applyAlignment="0" applyProtection="0"/>
    <xf numFmtId="185" fontId="72" fillId="0" borderId="0" applyFont="0" applyFill="0" applyBorder="0" applyAlignment="0" applyProtection="0"/>
    <xf numFmtId="0" fontId="72" fillId="0" borderId="0" applyFont="0" applyFill="0" applyBorder="0" applyAlignment="0" applyProtection="0"/>
    <xf numFmtId="0" fontId="72" fillId="0" borderId="0" applyFont="0" applyFill="0" applyBorder="0" applyAlignment="0" applyProtection="0"/>
    <xf numFmtId="185" fontId="72" fillId="0" borderId="0" applyFont="0" applyFill="0" applyBorder="0" applyAlignment="0" applyProtection="0"/>
    <xf numFmtId="185" fontId="72" fillId="0" borderId="0" applyFont="0" applyFill="0" applyBorder="0" applyAlignment="0" applyProtection="0"/>
    <xf numFmtId="0" fontId="72" fillId="0" borderId="0" applyFont="0" applyFill="0" applyBorder="0" applyAlignment="0" applyProtection="0"/>
    <xf numFmtId="185" fontId="72" fillId="0" borderId="0" applyFont="0" applyFill="0" applyBorder="0" applyAlignment="0" applyProtection="0"/>
    <xf numFmtId="0" fontId="72" fillId="0" borderId="0" applyFont="0" applyFill="0" applyBorder="0" applyAlignment="0" applyProtection="0"/>
    <xf numFmtId="185" fontId="72" fillId="0" borderId="0" applyFont="0" applyFill="0" applyBorder="0" applyAlignment="0" applyProtection="0"/>
    <xf numFmtId="185" fontId="72" fillId="0" borderId="0" applyFont="0" applyFill="0" applyBorder="0" applyAlignment="0" applyProtection="0"/>
    <xf numFmtId="0" fontId="72" fillId="0" borderId="0" applyFont="0" applyFill="0" applyBorder="0" applyAlignment="0" applyProtection="0"/>
    <xf numFmtId="185" fontId="72" fillId="0" borderId="0" applyFont="0" applyFill="0" applyBorder="0" applyAlignment="0" applyProtection="0"/>
    <xf numFmtId="185" fontId="72" fillId="0" borderId="0" applyFont="0" applyFill="0" applyBorder="0" applyAlignment="0" applyProtection="0"/>
    <xf numFmtId="0" fontId="72" fillId="0" borderId="0" applyFont="0" applyFill="0" applyBorder="0" applyAlignment="0" applyProtection="0"/>
    <xf numFmtId="0" fontId="72" fillId="0" borderId="0" applyFont="0" applyFill="0" applyBorder="0" applyAlignment="0" applyProtection="0"/>
    <xf numFmtId="185" fontId="72" fillId="0" borderId="0" applyFont="0" applyFill="0" applyBorder="0" applyAlignment="0" applyProtection="0"/>
    <xf numFmtId="185" fontId="72" fillId="0" borderId="0" applyFont="0" applyFill="0" applyBorder="0" applyAlignment="0" applyProtection="0"/>
    <xf numFmtId="0" fontId="72" fillId="0" borderId="0" applyFont="0" applyFill="0" applyBorder="0" applyAlignment="0" applyProtection="0"/>
    <xf numFmtId="0" fontId="72" fillId="0" borderId="0" applyFont="0" applyFill="0" applyBorder="0" applyAlignment="0" applyProtection="0"/>
    <xf numFmtId="0" fontId="72" fillId="0" borderId="0" applyFont="0" applyFill="0" applyBorder="0" applyAlignment="0" applyProtection="0"/>
    <xf numFmtId="0" fontId="72" fillId="0" borderId="0" applyFont="0" applyFill="0" applyBorder="0" applyAlignment="0" applyProtection="0"/>
    <xf numFmtId="185" fontId="72" fillId="0" borderId="0" applyFont="0" applyFill="0" applyBorder="0" applyAlignment="0" applyProtection="0"/>
    <xf numFmtId="0" fontId="72" fillId="0" borderId="0" applyFont="0" applyFill="0" applyBorder="0" applyAlignment="0" applyProtection="0"/>
    <xf numFmtId="185" fontId="72" fillId="0" borderId="0" applyFont="0" applyFill="0" applyBorder="0" applyAlignment="0" applyProtection="0"/>
    <xf numFmtId="185" fontId="72" fillId="0" borderId="0" applyFont="0" applyFill="0" applyBorder="0" applyAlignment="0" applyProtection="0"/>
    <xf numFmtId="0" fontId="75" fillId="0" borderId="0" applyFont="0" applyFill="0" applyBorder="0" applyAlignment="0" applyProtection="0"/>
    <xf numFmtId="0" fontId="75" fillId="0" borderId="0" applyFont="0" applyFill="0" applyBorder="0" applyAlignment="0" applyProtection="0"/>
    <xf numFmtId="0" fontId="75" fillId="0" borderId="0" applyFont="0" applyFill="0" applyBorder="0" applyAlignment="0" applyProtection="0"/>
    <xf numFmtId="199" fontId="23" fillId="0" borderId="0" applyFont="0" applyFill="0" applyBorder="0" applyAlignment="0" applyProtection="0"/>
    <xf numFmtId="0" fontId="75" fillId="0" borderId="0" applyFont="0" applyFill="0" applyBorder="0" applyAlignment="0" applyProtection="0"/>
    <xf numFmtId="0" fontId="72" fillId="0" borderId="0" applyFont="0" applyFill="0" applyBorder="0" applyAlignment="0" applyProtection="0"/>
    <xf numFmtId="0" fontId="72" fillId="0" borderId="0" applyFont="0" applyFill="0" applyBorder="0" applyAlignment="0" applyProtection="0"/>
    <xf numFmtId="0" fontId="75" fillId="0" borderId="0" applyFont="0" applyFill="0" applyBorder="0" applyAlignment="0" applyProtection="0"/>
    <xf numFmtId="0" fontId="75" fillId="0" borderId="0" applyFont="0" applyFill="0" applyBorder="0" applyAlignment="0" applyProtection="0"/>
    <xf numFmtId="0" fontId="75" fillId="0" borderId="0" applyFont="0" applyFill="0" applyBorder="0" applyAlignment="0" applyProtection="0"/>
    <xf numFmtId="0" fontId="75" fillId="0" borderId="0" applyFont="0" applyFill="0" applyBorder="0" applyAlignment="0" applyProtection="0"/>
    <xf numFmtId="0" fontId="75" fillId="0" borderId="0" applyFont="0" applyFill="0" applyBorder="0" applyAlignment="0" applyProtection="0"/>
    <xf numFmtId="0" fontId="75" fillId="0" borderId="0" applyFont="0" applyFill="0" applyBorder="0" applyAlignment="0" applyProtection="0"/>
    <xf numFmtId="0" fontId="75" fillId="0" borderId="0" applyFont="0" applyFill="0" applyBorder="0" applyAlignment="0" applyProtection="0"/>
    <xf numFmtId="0" fontId="75" fillId="0" borderId="0" applyFont="0" applyFill="0" applyBorder="0" applyAlignment="0" applyProtection="0"/>
    <xf numFmtId="0" fontId="75" fillId="0" borderId="0" applyFont="0" applyFill="0" applyBorder="0" applyAlignment="0" applyProtection="0"/>
    <xf numFmtId="0" fontId="75" fillId="0" borderId="0" applyFont="0" applyFill="0" applyBorder="0" applyAlignment="0" applyProtection="0"/>
    <xf numFmtId="0" fontId="75" fillId="0" borderId="0" applyFont="0" applyFill="0" applyBorder="0" applyAlignment="0" applyProtection="0"/>
    <xf numFmtId="0" fontId="75" fillId="0" borderId="0" applyFont="0" applyFill="0" applyBorder="0" applyAlignment="0" applyProtection="0"/>
    <xf numFmtId="0" fontId="75" fillId="0" borderId="0" applyFont="0" applyFill="0" applyBorder="0" applyAlignment="0" applyProtection="0"/>
    <xf numFmtId="0" fontId="75" fillId="0" borderId="0" applyFont="0" applyFill="0" applyBorder="0" applyAlignment="0" applyProtection="0"/>
    <xf numFmtId="0" fontId="75" fillId="0" borderId="0" applyFont="0" applyFill="0" applyBorder="0" applyAlignment="0" applyProtection="0"/>
    <xf numFmtId="0" fontId="75" fillId="0" borderId="0" applyFont="0" applyFill="0" applyBorder="0" applyAlignment="0" applyProtection="0"/>
    <xf numFmtId="0" fontId="75" fillId="0" borderId="0" applyFont="0" applyFill="0" applyBorder="0" applyAlignment="0" applyProtection="0"/>
    <xf numFmtId="181" fontId="23" fillId="0" borderId="0" applyFont="0" applyFill="0" applyBorder="0" applyAlignment="0" applyProtection="0"/>
    <xf numFmtId="181" fontId="23" fillId="0" borderId="0" applyFont="0" applyFill="0" applyBorder="0" applyAlignment="0" applyProtection="0"/>
    <xf numFmtId="185" fontId="72" fillId="0" borderId="0" applyFont="0" applyFill="0" applyBorder="0" applyAlignment="0" applyProtection="0"/>
    <xf numFmtId="185" fontId="72" fillId="0" borderId="0" applyFont="0" applyFill="0" applyBorder="0" applyAlignment="0" applyProtection="0"/>
    <xf numFmtId="0" fontId="72" fillId="0" borderId="0" applyFont="0" applyFill="0" applyBorder="0" applyAlignment="0" applyProtection="0"/>
    <xf numFmtId="185" fontId="72" fillId="0" borderId="0" applyFont="0" applyFill="0" applyBorder="0" applyAlignment="0" applyProtection="0"/>
    <xf numFmtId="0" fontId="72" fillId="0" borderId="0" applyFont="0" applyFill="0" applyBorder="0" applyAlignment="0" applyProtection="0"/>
    <xf numFmtId="185" fontId="72" fillId="0" borderId="0" applyFont="0" applyFill="0" applyBorder="0" applyAlignment="0" applyProtection="0"/>
    <xf numFmtId="185" fontId="72" fillId="0" borderId="0" applyFont="0" applyFill="0" applyBorder="0" applyAlignment="0" applyProtection="0"/>
    <xf numFmtId="0" fontId="72" fillId="0" borderId="0" applyFont="0" applyFill="0" applyBorder="0" applyAlignment="0" applyProtection="0"/>
    <xf numFmtId="0" fontId="72" fillId="0" borderId="0" applyFont="0" applyFill="0" applyBorder="0" applyAlignment="0" applyProtection="0"/>
    <xf numFmtId="0" fontId="72" fillId="0" borderId="0" applyFont="0" applyFill="0" applyBorder="0" applyAlignment="0" applyProtection="0"/>
    <xf numFmtId="185" fontId="72" fillId="0" borderId="0" applyFont="0" applyFill="0" applyBorder="0" applyAlignment="0" applyProtection="0"/>
    <xf numFmtId="0" fontId="72" fillId="0" borderId="0" applyFont="0" applyFill="0" applyBorder="0" applyAlignment="0" applyProtection="0"/>
    <xf numFmtId="185" fontId="72" fillId="0" borderId="0" applyFont="0" applyFill="0" applyBorder="0" applyAlignment="0" applyProtection="0"/>
    <xf numFmtId="185" fontId="72" fillId="0" borderId="0" applyFont="0" applyFill="0" applyBorder="0" applyAlignment="0" applyProtection="0"/>
    <xf numFmtId="0" fontId="72" fillId="0" borderId="0" applyFont="0" applyFill="0" applyBorder="0" applyAlignment="0" applyProtection="0"/>
    <xf numFmtId="185" fontId="72" fillId="0" borderId="0" applyFont="0" applyFill="0" applyBorder="0" applyAlignment="0" applyProtection="0"/>
    <xf numFmtId="185" fontId="72" fillId="0" borderId="0" applyFont="0" applyFill="0" applyBorder="0" applyAlignment="0" applyProtection="0"/>
    <xf numFmtId="185" fontId="72" fillId="0" borderId="0" applyFont="0" applyFill="0" applyBorder="0" applyAlignment="0" applyProtection="0"/>
    <xf numFmtId="0" fontId="72" fillId="0" borderId="0" applyFont="0" applyFill="0" applyBorder="0" applyAlignment="0" applyProtection="0"/>
    <xf numFmtId="185" fontId="72" fillId="0" borderId="0" applyFont="0" applyFill="0" applyBorder="0" applyAlignment="0" applyProtection="0"/>
    <xf numFmtId="185" fontId="72" fillId="0" borderId="0" applyFont="0" applyFill="0" applyBorder="0" applyAlignment="0" applyProtection="0"/>
    <xf numFmtId="0" fontId="72" fillId="0" borderId="0" applyFont="0" applyFill="0" applyBorder="0" applyAlignment="0" applyProtection="0"/>
    <xf numFmtId="185" fontId="72" fillId="0" borderId="0" applyFont="0" applyFill="0" applyBorder="0" applyAlignment="0" applyProtection="0"/>
    <xf numFmtId="0" fontId="72" fillId="0" borderId="0" applyFont="0" applyFill="0" applyBorder="0" applyAlignment="0" applyProtection="0"/>
    <xf numFmtId="0" fontId="72" fillId="0" borderId="0" applyFont="0" applyFill="0" applyBorder="0" applyAlignment="0" applyProtection="0"/>
    <xf numFmtId="0" fontId="23" fillId="0" borderId="0" applyFont="0" applyFill="0" applyBorder="0" applyAlignment="0" applyProtection="0"/>
    <xf numFmtId="194" fontId="23" fillId="0" borderId="0" applyFont="0" applyFill="0" applyBorder="0" applyAlignment="0" applyProtection="0"/>
    <xf numFmtId="0" fontId="23" fillId="0" borderId="0" applyFont="0" applyFill="0" applyBorder="0" applyAlignment="0" applyProtection="0"/>
    <xf numFmtId="194" fontId="23" fillId="0" borderId="0" applyFont="0" applyFill="0" applyBorder="0" applyAlignment="0" applyProtection="0"/>
    <xf numFmtId="194" fontId="23" fillId="0" borderId="0" applyFont="0" applyFill="0" applyBorder="0" applyAlignment="0" applyProtection="0"/>
    <xf numFmtId="0" fontId="23" fillId="0" borderId="0" applyFont="0" applyFill="0" applyBorder="0" applyAlignment="0" applyProtection="0"/>
    <xf numFmtId="194" fontId="23" fillId="0" borderId="0" applyFont="0" applyFill="0" applyBorder="0" applyAlignment="0" applyProtection="0"/>
    <xf numFmtId="194" fontId="23" fillId="0" borderId="0" applyFont="0" applyFill="0" applyBorder="0" applyAlignment="0" applyProtection="0"/>
    <xf numFmtId="0" fontId="23" fillId="0" borderId="0" applyFont="0" applyFill="0" applyBorder="0" applyAlignment="0" applyProtection="0"/>
    <xf numFmtId="0" fontId="23" fillId="0" borderId="0" applyFont="0" applyFill="0" applyBorder="0" applyAlignment="0" applyProtection="0"/>
    <xf numFmtId="194" fontId="23" fillId="0" borderId="0" applyFont="0" applyFill="0" applyBorder="0" applyAlignment="0" applyProtection="0"/>
    <xf numFmtId="194" fontId="23" fillId="0" borderId="0" applyFont="0" applyFill="0" applyBorder="0" applyAlignment="0" applyProtection="0"/>
    <xf numFmtId="0" fontId="23" fillId="0" borderId="0" applyFont="0" applyFill="0" applyBorder="0" applyAlignment="0" applyProtection="0"/>
    <xf numFmtId="194" fontId="23" fillId="0" borderId="0" applyFont="0" applyFill="0" applyBorder="0" applyAlignment="0" applyProtection="0"/>
    <xf numFmtId="0" fontId="23" fillId="0" borderId="0" applyFont="0" applyFill="0" applyBorder="0" applyAlignment="0" applyProtection="0"/>
    <xf numFmtId="194" fontId="23" fillId="0" borderId="0" applyFont="0" applyFill="0" applyBorder="0" applyAlignment="0" applyProtection="0"/>
    <xf numFmtId="194" fontId="23" fillId="0" borderId="0" applyFont="0" applyFill="0" applyBorder="0" applyAlignment="0" applyProtection="0"/>
    <xf numFmtId="194" fontId="23" fillId="0" borderId="0" applyFont="0" applyFill="0" applyBorder="0" applyAlignment="0" applyProtection="0"/>
    <xf numFmtId="0" fontId="23" fillId="0" borderId="0" applyFont="0" applyFill="0" applyBorder="0" applyAlignment="0" applyProtection="0"/>
    <xf numFmtId="0" fontId="23" fillId="0" borderId="0" applyFont="0" applyFill="0" applyBorder="0" applyAlignment="0" applyProtection="0"/>
    <xf numFmtId="194" fontId="23" fillId="0" borderId="0" applyFont="0" applyFill="0" applyBorder="0" applyAlignment="0" applyProtection="0"/>
    <xf numFmtId="0" fontId="23" fillId="0" borderId="0" applyFont="0" applyFill="0" applyBorder="0" applyAlignment="0" applyProtection="0"/>
    <xf numFmtId="0" fontId="23" fillId="0" borderId="0" applyFont="0" applyFill="0" applyBorder="0" applyAlignment="0" applyProtection="0"/>
    <xf numFmtId="194" fontId="23" fillId="0" borderId="0" applyFont="0" applyFill="0" applyBorder="0" applyAlignment="0" applyProtection="0"/>
    <xf numFmtId="194" fontId="23" fillId="0" borderId="0" applyFont="0" applyFill="0" applyBorder="0" applyAlignment="0" applyProtection="0"/>
    <xf numFmtId="185" fontId="72" fillId="0" borderId="0" applyFont="0" applyFill="0" applyBorder="0" applyAlignment="0" applyProtection="0"/>
    <xf numFmtId="185" fontId="72" fillId="0" borderId="0" applyFont="0" applyFill="0" applyBorder="0" applyAlignment="0" applyProtection="0"/>
    <xf numFmtId="0" fontId="72" fillId="0" borderId="0" applyFont="0" applyFill="0" applyBorder="0" applyAlignment="0" applyProtection="0"/>
    <xf numFmtId="0" fontId="72" fillId="0" borderId="0" applyFont="0" applyFill="0" applyBorder="0" applyAlignment="0" applyProtection="0"/>
    <xf numFmtId="0" fontId="72" fillId="0" borderId="0" applyFont="0" applyFill="0" applyBorder="0" applyAlignment="0" applyProtection="0"/>
    <xf numFmtId="0" fontId="72" fillId="0" borderId="0" applyFont="0" applyFill="0" applyBorder="0" applyAlignment="0" applyProtection="0"/>
    <xf numFmtId="0" fontId="72" fillId="0" borderId="0" applyFont="0" applyFill="0" applyBorder="0" applyAlignment="0" applyProtection="0"/>
    <xf numFmtId="0" fontId="72" fillId="0" borderId="0" applyFont="0" applyFill="0" applyBorder="0" applyAlignment="0" applyProtection="0"/>
    <xf numFmtId="0" fontId="72" fillId="0" borderId="0" applyFont="0" applyFill="0" applyBorder="0" applyAlignment="0" applyProtection="0"/>
    <xf numFmtId="0" fontId="72" fillId="0" borderId="0" applyFont="0" applyFill="0" applyBorder="0" applyAlignment="0" applyProtection="0"/>
    <xf numFmtId="0" fontId="72" fillId="0" borderId="0" applyFont="0" applyFill="0" applyBorder="0" applyAlignment="0" applyProtection="0"/>
    <xf numFmtId="0" fontId="72" fillId="0" borderId="0" applyFont="0" applyFill="0" applyBorder="0" applyAlignment="0" applyProtection="0"/>
    <xf numFmtId="0" fontId="72" fillId="0" borderId="0" applyFont="0" applyFill="0" applyBorder="0" applyAlignment="0" applyProtection="0"/>
    <xf numFmtId="185" fontId="72" fillId="0" borderId="0" applyFont="0" applyFill="0" applyBorder="0" applyAlignment="0" applyProtection="0"/>
    <xf numFmtId="185" fontId="72" fillId="0" borderId="0" applyFont="0" applyFill="0" applyBorder="0" applyAlignment="0" applyProtection="0"/>
    <xf numFmtId="0" fontId="72" fillId="0" borderId="0" applyFont="0" applyFill="0" applyBorder="0" applyAlignment="0" applyProtection="0"/>
    <xf numFmtId="0" fontId="72" fillId="0" borderId="0" applyFont="0" applyFill="0" applyBorder="0" applyAlignment="0" applyProtection="0"/>
    <xf numFmtId="0" fontId="72" fillId="0" borderId="0" applyFont="0" applyFill="0" applyBorder="0" applyAlignment="0" applyProtection="0"/>
    <xf numFmtId="0" fontId="72" fillId="0" borderId="0" applyFont="0" applyFill="0" applyBorder="0" applyAlignment="0" applyProtection="0"/>
    <xf numFmtId="0" fontId="72" fillId="0" borderId="0" applyFont="0" applyFill="0" applyBorder="0" applyAlignment="0" applyProtection="0"/>
    <xf numFmtId="0" fontId="72" fillId="0" borderId="0" applyFont="0" applyFill="0" applyBorder="0" applyAlignment="0" applyProtection="0"/>
    <xf numFmtId="0" fontId="72" fillId="0" borderId="0" applyFont="0" applyFill="0" applyBorder="0" applyAlignment="0" applyProtection="0"/>
    <xf numFmtId="0" fontId="72" fillId="0" borderId="0" applyFont="0" applyFill="0" applyBorder="0" applyAlignment="0" applyProtection="0"/>
    <xf numFmtId="0" fontId="72" fillId="0" borderId="0" applyFont="0" applyFill="0" applyBorder="0" applyAlignment="0" applyProtection="0"/>
    <xf numFmtId="185" fontId="72" fillId="0" borderId="0" applyFont="0" applyFill="0" applyBorder="0" applyAlignment="0" applyProtection="0"/>
    <xf numFmtId="0" fontId="72" fillId="0" borderId="0" applyFont="0" applyFill="0" applyBorder="0" applyAlignment="0" applyProtection="0"/>
    <xf numFmtId="0" fontId="72" fillId="0" borderId="0" applyFont="0" applyFill="0" applyBorder="0" applyAlignment="0" applyProtection="0"/>
    <xf numFmtId="0" fontId="72" fillId="0" borderId="0" applyFont="0" applyFill="0" applyBorder="0" applyAlignment="0" applyProtection="0"/>
    <xf numFmtId="0" fontId="72" fillId="0" borderId="0" applyFont="0" applyFill="0" applyBorder="0" applyAlignment="0" applyProtection="0"/>
    <xf numFmtId="0" fontId="72" fillId="0" borderId="0" applyFont="0" applyFill="0" applyBorder="0" applyAlignment="0" applyProtection="0"/>
    <xf numFmtId="0" fontId="72" fillId="0" borderId="0" applyFont="0" applyFill="0" applyBorder="0" applyAlignment="0" applyProtection="0"/>
    <xf numFmtId="185" fontId="72" fillId="0" borderId="0" applyFont="0" applyFill="0" applyBorder="0" applyAlignment="0" applyProtection="0"/>
    <xf numFmtId="0" fontId="72" fillId="0" borderId="0" applyFont="0" applyFill="0" applyBorder="0" applyAlignment="0" applyProtection="0"/>
    <xf numFmtId="0" fontId="72" fillId="0" borderId="0" applyFont="0" applyFill="0" applyBorder="0" applyAlignment="0" applyProtection="0"/>
    <xf numFmtId="0" fontId="72" fillId="0" borderId="0" applyFont="0" applyFill="0" applyBorder="0" applyAlignment="0" applyProtection="0"/>
    <xf numFmtId="0" fontId="72" fillId="0" borderId="0" applyFont="0" applyFill="0" applyBorder="0" applyAlignment="0" applyProtection="0"/>
    <xf numFmtId="0" fontId="72" fillId="0" borderId="0" applyFont="0" applyFill="0" applyBorder="0" applyAlignment="0" applyProtection="0"/>
    <xf numFmtId="185" fontId="72" fillId="0" borderId="0" applyFont="0" applyFill="0" applyBorder="0" applyAlignment="0" applyProtection="0"/>
    <xf numFmtId="185" fontId="72" fillId="0" borderId="0" applyFont="0" applyFill="0" applyBorder="0" applyAlignment="0" applyProtection="0"/>
    <xf numFmtId="0" fontId="72" fillId="0" borderId="0" applyFont="0" applyFill="0" applyBorder="0" applyAlignment="0" applyProtection="0"/>
    <xf numFmtId="0" fontId="72" fillId="0" borderId="0" applyFont="0" applyFill="0" applyBorder="0" applyAlignment="0" applyProtection="0"/>
    <xf numFmtId="0" fontId="72" fillId="0" borderId="0" applyFont="0" applyFill="0" applyBorder="0" applyAlignment="0" applyProtection="0"/>
    <xf numFmtId="185" fontId="72" fillId="0" borderId="0" applyFont="0" applyFill="0" applyBorder="0" applyAlignment="0" applyProtection="0"/>
    <xf numFmtId="0" fontId="72" fillId="0" borderId="0" applyFont="0" applyFill="0" applyBorder="0" applyAlignment="0" applyProtection="0"/>
    <xf numFmtId="0" fontId="72" fillId="0" borderId="0" applyFont="0" applyFill="0" applyBorder="0" applyAlignment="0" applyProtection="0"/>
    <xf numFmtId="0" fontId="72" fillId="0" borderId="0" applyFont="0" applyFill="0" applyBorder="0" applyAlignment="0" applyProtection="0"/>
    <xf numFmtId="185" fontId="72" fillId="0" borderId="0" applyFont="0" applyFill="0" applyBorder="0" applyAlignment="0" applyProtection="0"/>
    <xf numFmtId="185" fontId="72" fillId="0" borderId="0" applyFont="0" applyFill="0" applyBorder="0" applyAlignment="0" applyProtection="0"/>
    <xf numFmtId="0" fontId="72" fillId="0" borderId="0" applyFont="0" applyFill="0" applyBorder="0" applyAlignment="0" applyProtection="0"/>
    <xf numFmtId="0" fontId="72" fillId="0" borderId="0" applyFont="0" applyFill="0" applyBorder="0" applyAlignment="0" applyProtection="0"/>
    <xf numFmtId="0" fontId="72" fillId="0" borderId="0" applyFont="0" applyFill="0" applyBorder="0" applyAlignment="0" applyProtection="0"/>
    <xf numFmtId="185" fontId="72" fillId="0" borderId="0" applyFont="0" applyFill="0" applyBorder="0" applyAlignment="0" applyProtection="0"/>
    <xf numFmtId="0" fontId="72" fillId="0" borderId="0" applyFont="0" applyFill="0" applyBorder="0" applyAlignment="0" applyProtection="0"/>
    <xf numFmtId="185" fontId="72" fillId="0" borderId="0" applyFont="0" applyFill="0" applyBorder="0" applyAlignment="0" applyProtection="0"/>
    <xf numFmtId="185" fontId="72" fillId="0" borderId="0" applyFont="0" applyFill="0" applyBorder="0" applyAlignment="0" applyProtection="0"/>
    <xf numFmtId="185" fontId="72" fillId="0" borderId="0" applyFont="0" applyFill="0" applyBorder="0" applyAlignment="0" applyProtection="0"/>
    <xf numFmtId="185" fontId="72" fillId="0" borderId="0" applyFont="0" applyFill="0" applyBorder="0" applyAlignment="0" applyProtection="0"/>
    <xf numFmtId="0" fontId="72" fillId="0" borderId="0" applyFont="0" applyFill="0" applyBorder="0" applyAlignment="0" applyProtection="0"/>
    <xf numFmtId="0" fontId="72" fillId="0" borderId="0" applyFont="0" applyFill="0" applyBorder="0" applyAlignment="0" applyProtection="0"/>
    <xf numFmtId="0" fontId="72" fillId="0" borderId="0" applyFont="0" applyFill="0" applyBorder="0" applyAlignment="0" applyProtection="0"/>
    <xf numFmtId="0" fontId="72" fillId="0" borderId="0" applyFont="0" applyFill="0" applyBorder="0" applyAlignment="0" applyProtection="0"/>
    <xf numFmtId="0" fontId="72" fillId="0" borderId="0" applyFont="0" applyFill="0" applyBorder="0" applyAlignment="0" applyProtection="0"/>
    <xf numFmtId="0" fontId="72" fillId="0" borderId="0" applyFont="0" applyFill="0" applyBorder="0" applyAlignment="0" applyProtection="0"/>
    <xf numFmtId="185" fontId="72" fillId="0" borderId="0" applyFont="0" applyFill="0" applyBorder="0" applyAlignment="0" applyProtection="0"/>
    <xf numFmtId="0" fontId="72" fillId="0" borderId="0" applyFont="0" applyFill="0" applyBorder="0" applyAlignment="0" applyProtection="0"/>
    <xf numFmtId="0" fontId="72" fillId="0" borderId="0" applyFont="0" applyFill="0" applyBorder="0" applyAlignment="0" applyProtection="0"/>
    <xf numFmtId="0" fontId="72" fillId="0" borderId="0" applyFont="0" applyFill="0" applyBorder="0" applyAlignment="0" applyProtection="0"/>
    <xf numFmtId="0" fontId="72" fillId="0" borderId="0" applyFont="0" applyFill="0" applyBorder="0" applyAlignment="0" applyProtection="0"/>
    <xf numFmtId="0" fontId="72" fillId="0" borderId="0" applyFont="0" applyFill="0" applyBorder="0" applyAlignment="0" applyProtection="0"/>
    <xf numFmtId="185" fontId="72" fillId="0" borderId="0" applyFont="0" applyFill="0" applyBorder="0" applyAlignment="0" applyProtection="0"/>
    <xf numFmtId="185" fontId="72" fillId="0" borderId="0" applyFont="0" applyFill="0" applyBorder="0" applyAlignment="0" applyProtection="0"/>
    <xf numFmtId="0" fontId="72" fillId="0" borderId="0" applyFont="0" applyFill="0" applyBorder="0" applyAlignment="0" applyProtection="0"/>
    <xf numFmtId="0" fontId="72" fillId="0" borderId="0" applyFont="0" applyFill="0" applyBorder="0" applyAlignment="0" applyProtection="0"/>
    <xf numFmtId="0" fontId="72" fillId="0" borderId="0" applyFont="0" applyFill="0" applyBorder="0" applyAlignment="0" applyProtection="0"/>
    <xf numFmtId="185" fontId="72" fillId="0" borderId="0" applyFont="0" applyFill="0" applyBorder="0" applyAlignment="0" applyProtection="0"/>
    <xf numFmtId="0" fontId="72" fillId="0" borderId="0" applyFont="0" applyFill="0" applyBorder="0" applyAlignment="0" applyProtection="0"/>
    <xf numFmtId="0" fontId="72" fillId="0" borderId="0" applyFont="0" applyFill="0" applyBorder="0" applyAlignment="0" applyProtection="0"/>
    <xf numFmtId="0" fontId="72" fillId="0" borderId="0" applyFont="0" applyFill="0" applyBorder="0" applyAlignment="0" applyProtection="0"/>
    <xf numFmtId="185" fontId="72" fillId="0" borderId="0" applyFont="0" applyFill="0" applyBorder="0" applyAlignment="0" applyProtection="0"/>
    <xf numFmtId="185" fontId="72" fillId="0" borderId="0" applyFont="0" applyFill="0" applyBorder="0" applyAlignment="0" applyProtection="0"/>
    <xf numFmtId="0" fontId="72" fillId="0" borderId="0" applyFont="0" applyFill="0" applyBorder="0" applyAlignment="0" applyProtection="0"/>
    <xf numFmtId="0" fontId="72" fillId="0" borderId="0" applyFont="0" applyFill="0" applyBorder="0" applyAlignment="0" applyProtection="0"/>
    <xf numFmtId="185" fontId="72" fillId="0" borderId="0" applyFont="0" applyFill="0" applyBorder="0" applyAlignment="0" applyProtection="0"/>
    <xf numFmtId="0" fontId="72" fillId="0" borderId="0" applyFont="0" applyFill="0" applyBorder="0" applyAlignment="0" applyProtection="0"/>
    <xf numFmtId="185" fontId="72" fillId="0" borderId="0" applyFont="0" applyFill="0" applyBorder="0" applyAlignment="0" applyProtection="0"/>
    <xf numFmtId="0" fontId="72" fillId="0" borderId="0" applyFont="0" applyFill="0" applyBorder="0" applyAlignment="0" applyProtection="0"/>
    <xf numFmtId="185" fontId="72" fillId="0" borderId="0" applyFont="0" applyFill="0" applyBorder="0" applyAlignment="0" applyProtection="0"/>
    <xf numFmtId="185" fontId="72" fillId="0" borderId="0" applyFont="0" applyFill="0" applyBorder="0" applyAlignment="0" applyProtection="0"/>
    <xf numFmtId="0" fontId="72" fillId="0" borderId="0" applyFont="0" applyFill="0" applyBorder="0" applyAlignment="0" applyProtection="0"/>
    <xf numFmtId="185" fontId="72" fillId="0" borderId="0" applyFont="0" applyFill="0" applyBorder="0" applyAlignment="0" applyProtection="0"/>
    <xf numFmtId="0" fontId="72" fillId="0" borderId="0" applyFont="0" applyFill="0" applyBorder="0" applyAlignment="0" applyProtection="0"/>
    <xf numFmtId="185" fontId="72" fillId="0" borderId="0" applyFont="0" applyFill="0" applyBorder="0" applyAlignment="0" applyProtection="0"/>
    <xf numFmtId="185" fontId="72" fillId="0" borderId="0" applyFont="0" applyFill="0" applyBorder="0" applyAlignment="0" applyProtection="0"/>
    <xf numFmtId="185" fontId="72" fillId="0" borderId="0" applyFont="0" applyFill="0" applyBorder="0" applyAlignment="0" applyProtection="0"/>
    <xf numFmtId="0" fontId="72" fillId="0" borderId="0" applyFont="0" applyFill="0" applyBorder="0" applyAlignment="0" applyProtection="0"/>
    <xf numFmtId="0" fontId="72" fillId="0" borderId="0" applyFont="0" applyFill="0" applyBorder="0" applyAlignment="0" applyProtection="0"/>
    <xf numFmtId="0" fontId="72" fillId="0" borderId="0" applyFont="0" applyFill="0" applyBorder="0" applyAlignment="0" applyProtection="0"/>
    <xf numFmtId="0" fontId="72" fillId="0" borderId="0" applyFont="0" applyFill="0" applyBorder="0" applyAlignment="0" applyProtection="0"/>
    <xf numFmtId="0" fontId="72" fillId="0" borderId="0" applyFont="0" applyFill="0" applyBorder="0" applyAlignment="0" applyProtection="0"/>
    <xf numFmtId="0" fontId="72" fillId="0" borderId="0" applyFont="0" applyFill="0" applyBorder="0" applyAlignment="0" applyProtection="0"/>
    <xf numFmtId="185" fontId="72" fillId="0" borderId="0" applyFont="0" applyFill="0" applyBorder="0" applyAlignment="0" applyProtection="0"/>
    <xf numFmtId="0" fontId="72" fillId="0" borderId="0" applyFont="0" applyFill="0" applyBorder="0" applyAlignment="0" applyProtection="0"/>
    <xf numFmtId="0" fontId="72" fillId="0" borderId="0" applyFont="0" applyFill="0" applyBorder="0" applyAlignment="0" applyProtection="0"/>
    <xf numFmtId="0" fontId="72" fillId="0" borderId="0" applyFont="0" applyFill="0" applyBorder="0" applyAlignment="0" applyProtection="0"/>
    <xf numFmtId="0" fontId="72" fillId="0" borderId="0" applyFont="0" applyFill="0" applyBorder="0" applyAlignment="0" applyProtection="0"/>
    <xf numFmtId="0" fontId="72" fillId="0" borderId="0" applyFont="0" applyFill="0" applyBorder="0" applyAlignment="0" applyProtection="0"/>
    <xf numFmtId="185" fontId="72" fillId="0" borderId="0" applyFont="0" applyFill="0" applyBorder="0" applyAlignment="0" applyProtection="0"/>
    <xf numFmtId="185" fontId="72" fillId="0" borderId="0" applyFont="0" applyFill="0" applyBorder="0" applyAlignment="0" applyProtection="0"/>
    <xf numFmtId="0" fontId="72" fillId="0" borderId="0" applyFont="0" applyFill="0" applyBorder="0" applyAlignment="0" applyProtection="0"/>
    <xf numFmtId="0" fontId="72" fillId="0" borderId="0" applyFont="0" applyFill="0" applyBorder="0" applyAlignment="0" applyProtection="0"/>
    <xf numFmtId="0" fontId="72" fillId="0" borderId="0" applyFont="0" applyFill="0" applyBorder="0" applyAlignment="0" applyProtection="0"/>
    <xf numFmtId="185" fontId="72" fillId="0" borderId="0" applyFont="0" applyFill="0" applyBorder="0" applyAlignment="0" applyProtection="0"/>
    <xf numFmtId="0" fontId="72" fillId="0" borderId="0" applyFont="0" applyFill="0" applyBorder="0" applyAlignment="0" applyProtection="0"/>
    <xf numFmtId="0" fontId="72" fillId="0" borderId="0" applyFont="0" applyFill="0" applyBorder="0" applyAlignment="0" applyProtection="0"/>
    <xf numFmtId="0" fontId="72" fillId="0" borderId="0" applyFont="0" applyFill="0" applyBorder="0" applyAlignment="0" applyProtection="0"/>
    <xf numFmtId="185" fontId="72" fillId="0" borderId="0" applyFont="0" applyFill="0" applyBorder="0" applyAlignment="0" applyProtection="0"/>
    <xf numFmtId="185" fontId="72" fillId="0" borderId="0" applyFont="0" applyFill="0" applyBorder="0" applyAlignment="0" applyProtection="0"/>
    <xf numFmtId="0" fontId="72" fillId="0" borderId="0" applyFont="0" applyFill="0" applyBorder="0" applyAlignment="0" applyProtection="0"/>
    <xf numFmtId="0" fontId="72" fillId="0" borderId="0" applyFont="0" applyFill="0" applyBorder="0" applyAlignment="0" applyProtection="0"/>
    <xf numFmtId="0" fontId="72" fillId="0" borderId="0" applyFont="0" applyFill="0" applyBorder="0" applyAlignment="0" applyProtection="0"/>
    <xf numFmtId="185" fontId="72" fillId="0" borderId="0" applyFont="0" applyFill="0" applyBorder="0" applyAlignment="0" applyProtection="0"/>
    <xf numFmtId="0" fontId="72" fillId="0" borderId="0" applyFont="0" applyFill="0" applyBorder="0" applyAlignment="0" applyProtection="0"/>
    <xf numFmtId="185" fontId="72" fillId="0" borderId="0" applyFont="0" applyFill="0" applyBorder="0" applyAlignment="0" applyProtection="0"/>
    <xf numFmtId="185" fontId="72" fillId="0" borderId="0" applyFont="0" applyFill="0" applyBorder="0" applyAlignment="0" applyProtection="0"/>
    <xf numFmtId="0" fontId="72" fillId="0" borderId="0" applyFont="0" applyFill="0" applyBorder="0" applyAlignment="0" applyProtection="0"/>
    <xf numFmtId="185" fontId="72" fillId="0" borderId="0" applyFont="0" applyFill="0" applyBorder="0" applyAlignment="0" applyProtection="0"/>
    <xf numFmtId="0" fontId="72" fillId="0" borderId="0" applyFont="0" applyFill="0" applyBorder="0" applyAlignment="0" applyProtection="0"/>
    <xf numFmtId="185" fontId="72" fillId="0" borderId="0" applyFont="0" applyFill="0" applyBorder="0" applyAlignment="0" applyProtection="0"/>
    <xf numFmtId="185" fontId="72" fillId="0" borderId="0" applyFont="0" applyFill="0" applyBorder="0" applyAlignment="0" applyProtection="0"/>
    <xf numFmtId="0" fontId="72" fillId="0" borderId="0" applyFont="0" applyFill="0" applyBorder="0" applyAlignment="0" applyProtection="0"/>
    <xf numFmtId="185" fontId="72" fillId="0" borderId="0" applyFont="0" applyFill="0" applyBorder="0" applyAlignment="0" applyProtection="0"/>
    <xf numFmtId="0" fontId="72" fillId="0" borderId="0" applyFont="0" applyFill="0" applyBorder="0" applyAlignment="0" applyProtection="0"/>
    <xf numFmtId="185" fontId="72" fillId="0" borderId="0" applyFont="0" applyFill="0" applyBorder="0" applyAlignment="0" applyProtection="0"/>
    <xf numFmtId="185" fontId="72" fillId="0" borderId="0" applyFont="0" applyFill="0" applyBorder="0" applyAlignment="0" applyProtection="0"/>
    <xf numFmtId="185" fontId="72" fillId="0" borderId="0" applyFont="0" applyFill="0" applyBorder="0" applyAlignment="0" applyProtection="0"/>
    <xf numFmtId="0" fontId="72" fillId="0" borderId="0" applyFont="0" applyFill="0" applyBorder="0" applyAlignment="0" applyProtection="0"/>
    <xf numFmtId="185" fontId="72" fillId="0" borderId="0" applyFont="0" applyFill="0" applyBorder="0" applyAlignment="0" applyProtection="0"/>
    <xf numFmtId="0" fontId="72" fillId="0" borderId="0" applyFont="0" applyFill="0" applyBorder="0" applyAlignment="0" applyProtection="0"/>
    <xf numFmtId="185" fontId="72" fillId="0" borderId="0" applyFont="0" applyFill="0" applyBorder="0" applyAlignment="0" applyProtection="0"/>
    <xf numFmtId="185" fontId="72" fillId="0" borderId="0" applyFont="0" applyFill="0" applyBorder="0" applyAlignment="0" applyProtection="0"/>
    <xf numFmtId="0" fontId="75" fillId="0" borderId="0" applyFont="0" applyFill="0" applyBorder="0" applyAlignment="0" applyProtection="0"/>
    <xf numFmtId="0" fontId="75" fillId="0" borderId="0" applyFont="0" applyFill="0" applyBorder="0" applyAlignment="0" applyProtection="0"/>
    <xf numFmtId="197" fontId="38" fillId="0" borderId="0" applyFont="0" applyFill="0" applyBorder="0" applyAlignment="0" applyProtection="0"/>
    <xf numFmtId="0" fontId="38" fillId="0" borderId="0" applyFont="0" applyFill="0" applyBorder="0" applyAlignment="0" applyProtection="0"/>
    <xf numFmtId="0" fontId="38" fillId="0" borderId="0" applyFont="0" applyFill="0" applyBorder="0" applyAlignment="0" applyProtection="0"/>
    <xf numFmtId="0" fontId="38" fillId="0" borderId="0" applyFont="0" applyFill="0" applyBorder="0" applyAlignment="0" applyProtection="0"/>
    <xf numFmtId="0" fontId="38" fillId="0" borderId="0" applyFont="0" applyFill="0" applyBorder="0" applyAlignment="0" applyProtection="0"/>
    <xf numFmtId="0" fontId="38" fillId="0" borderId="0" applyFont="0" applyFill="0" applyBorder="0" applyAlignment="0" applyProtection="0"/>
    <xf numFmtId="0" fontId="38" fillId="0" borderId="0" applyFont="0" applyFill="0" applyBorder="0" applyAlignment="0" applyProtection="0"/>
    <xf numFmtId="0" fontId="38" fillId="0" borderId="0" applyFont="0" applyFill="0" applyBorder="0" applyAlignment="0" applyProtection="0"/>
    <xf numFmtId="0" fontId="38" fillId="0" borderId="0" applyFont="0" applyFill="0" applyBorder="0" applyAlignment="0" applyProtection="0"/>
    <xf numFmtId="0" fontId="38" fillId="0" borderId="0" applyFont="0" applyFill="0" applyBorder="0" applyAlignment="0" applyProtection="0"/>
    <xf numFmtId="0" fontId="38" fillId="0" borderId="0" applyFont="0" applyFill="0" applyBorder="0" applyAlignment="0" applyProtection="0"/>
    <xf numFmtId="0" fontId="38" fillId="0" borderId="0" applyFont="0" applyFill="0" applyBorder="0" applyAlignment="0" applyProtection="0"/>
    <xf numFmtId="197" fontId="38" fillId="0" borderId="0" applyFont="0" applyFill="0" applyBorder="0" applyAlignment="0" applyProtection="0"/>
    <xf numFmtId="197" fontId="38" fillId="0" borderId="0" applyFont="0" applyFill="0" applyBorder="0" applyAlignment="0" applyProtection="0"/>
    <xf numFmtId="0" fontId="38" fillId="0" borderId="0" applyFont="0" applyFill="0" applyBorder="0" applyAlignment="0" applyProtection="0"/>
    <xf numFmtId="0" fontId="38" fillId="0" borderId="0" applyFont="0" applyFill="0" applyBorder="0" applyAlignment="0" applyProtection="0"/>
    <xf numFmtId="0" fontId="38" fillId="0" borderId="0" applyFont="0" applyFill="0" applyBorder="0" applyAlignment="0" applyProtection="0"/>
    <xf numFmtId="0" fontId="38" fillId="0" borderId="0" applyFont="0" applyFill="0" applyBorder="0" applyAlignment="0" applyProtection="0"/>
    <xf numFmtId="0" fontId="38" fillId="0" borderId="0" applyFont="0" applyFill="0" applyBorder="0" applyAlignment="0" applyProtection="0"/>
    <xf numFmtId="0" fontId="38" fillId="0" borderId="0" applyFont="0" applyFill="0" applyBorder="0" applyAlignment="0" applyProtection="0"/>
    <xf numFmtId="0" fontId="38" fillId="0" borderId="0" applyFont="0" applyFill="0" applyBorder="0" applyAlignment="0" applyProtection="0"/>
    <xf numFmtId="0" fontId="38" fillId="0" borderId="0" applyFont="0" applyFill="0" applyBorder="0" applyAlignment="0" applyProtection="0"/>
    <xf numFmtId="0" fontId="38" fillId="0" borderId="0" applyFont="0" applyFill="0" applyBorder="0" applyAlignment="0" applyProtection="0"/>
    <xf numFmtId="197" fontId="38" fillId="0" borderId="0" applyFont="0" applyFill="0" applyBorder="0" applyAlignment="0" applyProtection="0"/>
    <xf numFmtId="0" fontId="38" fillId="0" borderId="0" applyFont="0" applyFill="0" applyBorder="0" applyAlignment="0" applyProtection="0"/>
    <xf numFmtId="0" fontId="38" fillId="0" borderId="0" applyFont="0" applyFill="0" applyBorder="0" applyAlignment="0" applyProtection="0"/>
    <xf numFmtId="0" fontId="38" fillId="0" borderId="0" applyFont="0" applyFill="0" applyBorder="0" applyAlignment="0" applyProtection="0"/>
    <xf numFmtId="0" fontId="38" fillId="0" borderId="0" applyFont="0" applyFill="0" applyBorder="0" applyAlignment="0" applyProtection="0"/>
    <xf numFmtId="0" fontId="38" fillId="0" borderId="0" applyFont="0" applyFill="0" applyBorder="0" applyAlignment="0" applyProtection="0"/>
    <xf numFmtId="0" fontId="38" fillId="0" borderId="0" applyFont="0" applyFill="0" applyBorder="0" applyAlignment="0" applyProtection="0"/>
    <xf numFmtId="0" fontId="38" fillId="0" borderId="0" applyFont="0" applyFill="0" applyBorder="0" applyAlignment="0" applyProtection="0"/>
    <xf numFmtId="0" fontId="38" fillId="0" borderId="0" applyFont="0" applyFill="0" applyBorder="0" applyAlignment="0" applyProtection="0"/>
    <xf numFmtId="0" fontId="38" fillId="0" borderId="0" applyFont="0" applyFill="0" applyBorder="0" applyAlignment="0" applyProtection="0"/>
    <xf numFmtId="0" fontId="38" fillId="0" borderId="0" applyFont="0" applyFill="0" applyBorder="0" applyAlignment="0" applyProtection="0"/>
    <xf numFmtId="0" fontId="38" fillId="0" borderId="0" applyFont="0" applyFill="0" applyBorder="0" applyAlignment="0" applyProtection="0"/>
    <xf numFmtId="197" fontId="38" fillId="0" borderId="0" applyFont="0" applyFill="0" applyBorder="0" applyAlignment="0" applyProtection="0"/>
    <xf numFmtId="197" fontId="38" fillId="0" borderId="0" applyFont="0" applyFill="0" applyBorder="0" applyAlignment="0" applyProtection="0"/>
    <xf numFmtId="0" fontId="38" fillId="0" borderId="0" applyFont="0" applyFill="0" applyBorder="0" applyAlignment="0" applyProtection="0"/>
    <xf numFmtId="0" fontId="38" fillId="0" borderId="0" applyFont="0" applyFill="0" applyBorder="0" applyAlignment="0" applyProtection="0"/>
    <xf numFmtId="0" fontId="38" fillId="0" borderId="0" applyFont="0" applyFill="0" applyBorder="0" applyAlignment="0" applyProtection="0"/>
    <xf numFmtId="0" fontId="38" fillId="0" borderId="0" applyFont="0" applyFill="0" applyBorder="0" applyAlignment="0" applyProtection="0"/>
    <xf numFmtId="0" fontId="38" fillId="0" borderId="0" applyFont="0" applyFill="0" applyBorder="0" applyAlignment="0" applyProtection="0"/>
    <xf numFmtId="0" fontId="38" fillId="0" borderId="0" applyFont="0" applyFill="0" applyBorder="0" applyAlignment="0" applyProtection="0"/>
    <xf numFmtId="0" fontId="38" fillId="0" borderId="0" applyFont="0" applyFill="0" applyBorder="0" applyAlignment="0" applyProtection="0"/>
    <xf numFmtId="0" fontId="38" fillId="0" borderId="0" applyFont="0" applyFill="0" applyBorder="0" applyAlignment="0" applyProtection="0"/>
    <xf numFmtId="0" fontId="38" fillId="0" borderId="0" applyFont="0" applyFill="0" applyBorder="0" applyAlignment="0" applyProtection="0"/>
    <xf numFmtId="0" fontId="75" fillId="0" borderId="0" applyFont="0" applyFill="0" applyBorder="0" applyAlignment="0" applyProtection="0"/>
    <xf numFmtId="0" fontId="72" fillId="0" borderId="0" applyFont="0" applyFill="0" applyBorder="0" applyAlignment="0" applyProtection="0"/>
    <xf numFmtId="0" fontId="75" fillId="0" borderId="0" applyFont="0" applyFill="0" applyBorder="0" applyAlignment="0" applyProtection="0"/>
    <xf numFmtId="197" fontId="38" fillId="0" borderId="0" applyFont="0" applyFill="0" applyBorder="0" applyAlignment="0" applyProtection="0"/>
    <xf numFmtId="0" fontId="38" fillId="0" borderId="0" applyFont="0" applyFill="0" applyBorder="0" applyAlignment="0" applyProtection="0"/>
    <xf numFmtId="0" fontId="38" fillId="0" borderId="0" applyFont="0" applyFill="0" applyBorder="0" applyAlignment="0" applyProtection="0"/>
    <xf numFmtId="0" fontId="38" fillId="0" borderId="0" applyFont="0" applyFill="0" applyBorder="0" applyAlignment="0" applyProtection="0"/>
    <xf numFmtId="0" fontId="38" fillId="0" borderId="0" applyFont="0" applyFill="0" applyBorder="0" applyAlignment="0" applyProtection="0"/>
    <xf numFmtId="0" fontId="38" fillId="0" borderId="0" applyFont="0" applyFill="0" applyBorder="0" applyAlignment="0" applyProtection="0"/>
    <xf numFmtId="0" fontId="38" fillId="0" borderId="0" applyFont="0" applyFill="0" applyBorder="0" applyAlignment="0" applyProtection="0"/>
    <xf numFmtId="197" fontId="38" fillId="0" borderId="0" applyFont="0" applyFill="0" applyBorder="0" applyAlignment="0" applyProtection="0"/>
    <xf numFmtId="0" fontId="38" fillId="0" borderId="0" applyFont="0" applyFill="0" applyBorder="0" applyAlignment="0" applyProtection="0"/>
    <xf numFmtId="0" fontId="38" fillId="0" borderId="0" applyFont="0" applyFill="0" applyBorder="0" applyAlignment="0" applyProtection="0"/>
    <xf numFmtId="0" fontId="38" fillId="0" borderId="0" applyFont="0" applyFill="0" applyBorder="0" applyAlignment="0" applyProtection="0"/>
    <xf numFmtId="0" fontId="38" fillId="0" borderId="0" applyFont="0" applyFill="0" applyBorder="0" applyAlignment="0" applyProtection="0"/>
    <xf numFmtId="0" fontId="38" fillId="0" borderId="0" applyFont="0" applyFill="0" applyBorder="0" applyAlignment="0" applyProtection="0"/>
    <xf numFmtId="197" fontId="38" fillId="0" borderId="0" applyFont="0" applyFill="0" applyBorder="0" applyAlignment="0" applyProtection="0"/>
    <xf numFmtId="197" fontId="38" fillId="0" borderId="0" applyFont="0" applyFill="0" applyBorder="0" applyAlignment="0" applyProtection="0"/>
    <xf numFmtId="0" fontId="38" fillId="0" borderId="0" applyFont="0" applyFill="0" applyBorder="0" applyAlignment="0" applyProtection="0"/>
    <xf numFmtId="0" fontId="38" fillId="0" borderId="0" applyFont="0" applyFill="0" applyBorder="0" applyAlignment="0" applyProtection="0"/>
    <xf numFmtId="0" fontId="38" fillId="0" borderId="0" applyFont="0" applyFill="0" applyBorder="0" applyAlignment="0" applyProtection="0"/>
    <xf numFmtId="197" fontId="38" fillId="0" borderId="0" applyFont="0" applyFill="0" applyBorder="0" applyAlignment="0" applyProtection="0"/>
    <xf numFmtId="0" fontId="38" fillId="0" borderId="0" applyFont="0" applyFill="0" applyBorder="0" applyAlignment="0" applyProtection="0"/>
    <xf numFmtId="0" fontId="38" fillId="0" borderId="0" applyFont="0" applyFill="0" applyBorder="0" applyAlignment="0" applyProtection="0"/>
    <xf numFmtId="0" fontId="38" fillId="0" borderId="0" applyFont="0" applyFill="0" applyBorder="0" applyAlignment="0" applyProtection="0"/>
    <xf numFmtId="197" fontId="38" fillId="0" borderId="0" applyFont="0" applyFill="0" applyBorder="0" applyAlignment="0" applyProtection="0"/>
    <xf numFmtId="197" fontId="38" fillId="0" borderId="0" applyFont="0" applyFill="0" applyBorder="0" applyAlignment="0" applyProtection="0"/>
    <xf numFmtId="0" fontId="38" fillId="0" borderId="0" applyFont="0" applyFill="0" applyBorder="0" applyAlignment="0" applyProtection="0"/>
    <xf numFmtId="0" fontId="38" fillId="0" borderId="0" applyFont="0" applyFill="0" applyBorder="0" applyAlignment="0" applyProtection="0"/>
    <xf numFmtId="0" fontId="38" fillId="0" borderId="0" applyFont="0" applyFill="0" applyBorder="0" applyAlignment="0" applyProtection="0"/>
    <xf numFmtId="197" fontId="38" fillId="0" borderId="0" applyFont="0" applyFill="0" applyBorder="0" applyAlignment="0" applyProtection="0"/>
    <xf numFmtId="0" fontId="38" fillId="0" borderId="0" applyFont="0" applyFill="0" applyBorder="0" applyAlignment="0" applyProtection="0"/>
    <xf numFmtId="197" fontId="38" fillId="0" borderId="0" applyFont="0" applyFill="0" applyBorder="0" applyAlignment="0" applyProtection="0"/>
    <xf numFmtId="197" fontId="38" fillId="0" borderId="0" applyFont="0" applyFill="0" applyBorder="0" applyAlignment="0" applyProtection="0"/>
    <xf numFmtId="0" fontId="72" fillId="0" borderId="0" applyFont="0" applyFill="0" applyBorder="0" applyAlignment="0" applyProtection="0"/>
    <xf numFmtId="181" fontId="23" fillId="0" borderId="0" applyFont="0" applyFill="0" applyBorder="0" applyAlignment="0" applyProtection="0"/>
    <xf numFmtId="181" fontId="23" fillId="0" borderId="0" applyFont="0" applyFill="0" applyBorder="0" applyAlignment="0" applyProtection="0"/>
    <xf numFmtId="0" fontId="23" fillId="0" borderId="0" applyFont="0" applyFill="0" applyBorder="0" applyAlignment="0" applyProtection="0"/>
    <xf numFmtId="181" fontId="23" fillId="0" borderId="0" applyFont="0" applyFill="0" applyBorder="0" applyAlignment="0" applyProtection="0"/>
    <xf numFmtId="0" fontId="23" fillId="0" borderId="0" applyFont="0" applyFill="0" applyBorder="0" applyAlignment="0" applyProtection="0"/>
    <xf numFmtId="181" fontId="23" fillId="0" borderId="0" applyFont="0" applyFill="0" applyBorder="0" applyAlignment="0" applyProtection="0"/>
    <xf numFmtId="181" fontId="23" fillId="0" borderId="0" applyFont="0" applyFill="0" applyBorder="0" applyAlignment="0" applyProtection="0"/>
    <xf numFmtId="0" fontId="23" fillId="0" borderId="0" applyFont="0" applyFill="0" applyBorder="0" applyAlignment="0" applyProtection="0"/>
    <xf numFmtId="181" fontId="23" fillId="0" borderId="0" applyFont="0" applyFill="0" applyBorder="0" applyAlignment="0" applyProtection="0"/>
    <xf numFmtId="181" fontId="23" fillId="0" borderId="0" applyFont="0" applyFill="0" applyBorder="0" applyAlignment="0" applyProtection="0"/>
    <xf numFmtId="0" fontId="23" fillId="0" borderId="0" applyFont="0" applyFill="0" applyBorder="0" applyAlignment="0" applyProtection="0"/>
    <xf numFmtId="0" fontId="23" fillId="0" borderId="0" applyFont="0" applyFill="0" applyBorder="0" applyAlignment="0" applyProtection="0"/>
    <xf numFmtId="181" fontId="23" fillId="0" borderId="0" applyFont="0" applyFill="0" applyBorder="0" applyAlignment="0" applyProtection="0"/>
    <xf numFmtId="181" fontId="23" fillId="0" borderId="0" applyFont="0" applyFill="0" applyBorder="0" applyAlignment="0" applyProtection="0"/>
    <xf numFmtId="0" fontId="23" fillId="0" borderId="0" applyFont="0" applyFill="0" applyBorder="0" applyAlignment="0" applyProtection="0"/>
    <xf numFmtId="0" fontId="23" fillId="0" borderId="0" applyFont="0" applyFill="0" applyBorder="0" applyAlignment="0" applyProtection="0"/>
    <xf numFmtId="0" fontId="23" fillId="0" borderId="0" applyFont="0" applyFill="0" applyBorder="0" applyAlignment="0" applyProtection="0"/>
    <xf numFmtId="0" fontId="23" fillId="0" borderId="0" applyFont="0" applyFill="0" applyBorder="0" applyAlignment="0" applyProtection="0"/>
    <xf numFmtId="0" fontId="23" fillId="0" borderId="0" applyFont="0" applyFill="0" applyBorder="0" applyAlignment="0" applyProtection="0"/>
    <xf numFmtId="181" fontId="23" fillId="0" borderId="0" applyFont="0" applyFill="0" applyBorder="0" applyAlignment="0" applyProtection="0"/>
    <xf numFmtId="181" fontId="23" fillId="0" borderId="0" applyFont="0" applyFill="0" applyBorder="0" applyAlignment="0" applyProtection="0"/>
    <xf numFmtId="181" fontId="23" fillId="0" borderId="0" applyFont="0" applyFill="0" applyBorder="0" applyAlignment="0" applyProtection="0"/>
    <xf numFmtId="185" fontId="72" fillId="0" borderId="0" applyFont="0" applyFill="0" applyBorder="0" applyAlignment="0" applyProtection="0"/>
    <xf numFmtId="203" fontId="23" fillId="0" borderId="0" applyFont="0" applyFill="0" applyBorder="0" applyAlignment="0" applyProtection="0"/>
    <xf numFmtId="0" fontId="23" fillId="0" borderId="0" applyFont="0" applyFill="0" applyBorder="0" applyAlignment="0" applyProtection="0"/>
    <xf numFmtId="0" fontId="23" fillId="0" borderId="0" applyFont="0" applyFill="0" applyBorder="0" applyAlignment="0" applyProtection="0"/>
    <xf numFmtId="0" fontId="23" fillId="0" borderId="0" applyFont="0" applyFill="0" applyBorder="0" applyAlignment="0" applyProtection="0"/>
    <xf numFmtId="0" fontId="23" fillId="0" borderId="0" applyFont="0" applyFill="0" applyBorder="0" applyAlignment="0" applyProtection="0"/>
    <xf numFmtId="0" fontId="23" fillId="0" borderId="0" applyFont="0" applyFill="0" applyBorder="0" applyAlignment="0" applyProtection="0"/>
    <xf numFmtId="0" fontId="23" fillId="0" borderId="0" applyFont="0" applyFill="0" applyBorder="0" applyAlignment="0" applyProtection="0"/>
    <xf numFmtId="0" fontId="23" fillId="0" borderId="0" applyFont="0" applyFill="0" applyBorder="0" applyAlignment="0" applyProtection="0"/>
    <xf numFmtId="0" fontId="23" fillId="0" borderId="0" applyFont="0" applyFill="0" applyBorder="0" applyAlignment="0" applyProtection="0"/>
    <xf numFmtId="0" fontId="23" fillId="0" borderId="0" applyFont="0" applyFill="0" applyBorder="0" applyAlignment="0" applyProtection="0"/>
    <xf numFmtId="0" fontId="23" fillId="0" borderId="0" applyFont="0" applyFill="0" applyBorder="0" applyAlignment="0" applyProtection="0"/>
    <xf numFmtId="0" fontId="23" fillId="0" borderId="0" applyFont="0" applyFill="0" applyBorder="0" applyAlignment="0" applyProtection="0"/>
    <xf numFmtId="203" fontId="23" fillId="0" borderId="0" applyFont="0" applyFill="0" applyBorder="0" applyAlignment="0" applyProtection="0"/>
    <xf numFmtId="203" fontId="23" fillId="0" borderId="0" applyFont="0" applyFill="0" applyBorder="0" applyAlignment="0" applyProtection="0"/>
    <xf numFmtId="0" fontId="23" fillId="0" borderId="0" applyFont="0" applyFill="0" applyBorder="0" applyAlignment="0" applyProtection="0"/>
    <xf numFmtId="0" fontId="23" fillId="0" borderId="0" applyFont="0" applyFill="0" applyBorder="0" applyAlignment="0" applyProtection="0"/>
    <xf numFmtId="0" fontId="23" fillId="0" borderId="0" applyFont="0" applyFill="0" applyBorder="0" applyAlignment="0" applyProtection="0"/>
    <xf numFmtId="0" fontId="23" fillId="0" borderId="0" applyFont="0" applyFill="0" applyBorder="0" applyAlignment="0" applyProtection="0"/>
    <xf numFmtId="0" fontId="23" fillId="0" borderId="0" applyFont="0" applyFill="0" applyBorder="0" applyAlignment="0" applyProtection="0"/>
    <xf numFmtId="0" fontId="23" fillId="0" borderId="0" applyFont="0" applyFill="0" applyBorder="0" applyAlignment="0" applyProtection="0"/>
    <xf numFmtId="0" fontId="23" fillId="0" borderId="0" applyFont="0" applyFill="0" applyBorder="0" applyAlignment="0" applyProtection="0"/>
    <xf numFmtId="0" fontId="23" fillId="0" borderId="0" applyFont="0" applyFill="0" applyBorder="0" applyAlignment="0" applyProtection="0"/>
    <xf numFmtId="0" fontId="23" fillId="0" borderId="0" applyFont="0" applyFill="0" applyBorder="0" applyAlignment="0" applyProtection="0"/>
    <xf numFmtId="199" fontId="23" fillId="0" borderId="0" applyFont="0" applyFill="0" applyBorder="0" applyAlignment="0" applyProtection="0"/>
    <xf numFmtId="185" fontId="72" fillId="0" borderId="0" applyFont="0" applyFill="0" applyBorder="0" applyAlignment="0" applyProtection="0"/>
    <xf numFmtId="0" fontId="75" fillId="0" borderId="0" applyFont="0" applyFill="0" applyBorder="0" applyAlignment="0" applyProtection="0"/>
    <xf numFmtId="0" fontId="75" fillId="0" borderId="0" applyFont="0" applyFill="0" applyBorder="0" applyAlignment="0" applyProtection="0"/>
    <xf numFmtId="0" fontId="75" fillId="0" borderId="0" applyFont="0" applyFill="0" applyBorder="0" applyAlignment="0" applyProtection="0"/>
    <xf numFmtId="185" fontId="72" fillId="0" borderId="0" applyFont="0" applyFill="0" applyBorder="0" applyAlignment="0" applyProtection="0"/>
    <xf numFmtId="212" fontId="38" fillId="0" borderId="0" applyFont="0" applyFill="0" applyBorder="0" applyAlignment="0" applyProtection="0"/>
    <xf numFmtId="185" fontId="72" fillId="0" borderId="0" applyFont="0" applyFill="0" applyBorder="0" applyAlignment="0" applyProtection="0"/>
    <xf numFmtId="0" fontId="72" fillId="0" borderId="0" applyFont="0" applyFill="0" applyBorder="0" applyAlignment="0" applyProtection="0"/>
    <xf numFmtId="0" fontId="72" fillId="0" borderId="0" applyFont="0" applyFill="0" applyBorder="0" applyAlignment="0" applyProtection="0"/>
    <xf numFmtId="0" fontId="72" fillId="0" borderId="0" applyFont="0" applyFill="0" applyBorder="0" applyAlignment="0" applyProtection="0"/>
    <xf numFmtId="0" fontId="72" fillId="0" borderId="0" applyFont="0" applyFill="0" applyBorder="0" applyAlignment="0" applyProtection="0"/>
    <xf numFmtId="0" fontId="72" fillId="0" borderId="0" applyFont="0" applyFill="0" applyBorder="0" applyAlignment="0" applyProtection="0"/>
    <xf numFmtId="0" fontId="72" fillId="0" borderId="0" applyFont="0" applyFill="0" applyBorder="0" applyAlignment="0" applyProtection="0"/>
    <xf numFmtId="185" fontId="72" fillId="0" borderId="0" applyFont="0" applyFill="0" applyBorder="0" applyAlignment="0" applyProtection="0"/>
    <xf numFmtId="0" fontId="72" fillId="0" borderId="0" applyFont="0" applyFill="0" applyBorder="0" applyAlignment="0" applyProtection="0"/>
    <xf numFmtId="0" fontId="72" fillId="0" borderId="0" applyFont="0" applyFill="0" applyBorder="0" applyAlignment="0" applyProtection="0"/>
    <xf numFmtId="0" fontId="72" fillId="0" borderId="0" applyFont="0" applyFill="0" applyBorder="0" applyAlignment="0" applyProtection="0"/>
    <xf numFmtId="0" fontId="72" fillId="0" borderId="0" applyFont="0" applyFill="0" applyBorder="0" applyAlignment="0" applyProtection="0"/>
    <xf numFmtId="0" fontId="72" fillId="0" borderId="0" applyFont="0" applyFill="0" applyBorder="0" applyAlignment="0" applyProtection="0"/>
    <xf numFmtId="185" fontId="72" fillId="0" borderId="0" applyFont="0" applyFill="0" applyBorder="0" applyAlignment="0" applyProtection="0"/>
    <xf numFmtId="185" fontId="72" fillId="0" borderId="0" applyFont="0" applyFill="0" applyBorder="0" applyAlignment="0" applyProtection="0"/>
    <xf numFmtId="0" fontId="72" fillId="0" borderId="0" applyFont="0" applyFill="0" applyBorder="0" applyAlignment="0" applyProtection="0"/>
    <xf numFmtId="0" fontId="72" fillId="0" borderId="0" applyFont="0" applyFill="0" applyBorder="0" applyAlignment="0" applyProtection="0"/>
    <xf numFmtId="0" fontId="72" fillId="0" borderId="0" applyFont="0" applyFill="0" applyBorder="0" applyAlignment="0" applyProtection="0"/>
    <xf numFmtId="185" fontId="72" fillId="0" borderId="0" applyFont="0" applyFill="0" applyBorder="0" applyAlignment="0" applyProtection="0"/>
    <xf numFmtId="0" fontId="72" fillId="0" borderId="0" applyFont="0" applyFill="0" applyBorder="0" applyAlignment="0" applyProtection="0"/>
    <xf numFmtId="0" fontId="72" fillId="0" borderId="0" applyFont="0" applyFill="0" applyBorder="0" applyAlignment="0" applyProtection="0"/>
    <xf numFmtId="0" fontId="72" fillId="0" borderId="0" applyFont="0" applyFill="0" applyBorder="0" applyAlignment="0" applyProtection="0"/>
    <xf numFmtId="185" fontId="72" fillId="0" borderId="0" applyFont="0" applyFill="0" applyBorder="0" applyAlignment="0" applyProtection="0"/>
    <xf numFmtId="185" fontId="72" fillId="0" borderId="0" applyFont="0" applyFill="0" applyBorder="0" applyAlignment="0" applyProtection="0"/>
    <xf numFmtId="0" fontId="72" fillId="0" borderId="0" applyFont="0" applyFill="0" applyBorder="0" applyAlignment="0" applyProtection="0"/>
    <xf numFmtId="0" fontId="72" fillId="0" borderId="0" applyFont="0" applyFill="0" applyBorder="0" applyAlignment="0" applyProtection="0"/>
    <xf numFmtId="0" fontId="75" fillId="0" borderId="0" applyFont="0" applyFill="0" applyBorder="0" applyAlignment="0" applyProtection="0"/>
    <xf numFmtId="0" fontId="72" fillId="0" borderId="0" applyFont="0" applyFill="0" applyBorder="0" applyAlignment="0" applyProtection="0"/>
    <xf numFmtId="185" fontId="72" fillId="0" borderId="0" applyFont="0" applyFill="0" applyBorder="0" applyAlignment="0" applyProtection="0"/>
    <xf numFmtId="0" fontId="72" fillId="0" borderId="0" applyFont="0" applyFill="0" applyBorder="0" applyAlignment="0" applyProtection="0"/>
    <xf numFmtId="185" fontId="72" fillId="0" borderId="0" applyFont="0" applyFill="0" applyBorder="0" applyAlignment="0" applyProtection="0"/>
    <xf numFmtId="185" fontId="72" fillId="0" borderId="0" applyFont="0" applyFill="0" applyBorder="0" applyAlignment="0" applyProtection="0"/>
    <xf numFmtId="185" fontId="72" fillId="0" borderId="0" applyFont="0" applyFill="0" applyBorder="0" applyAlignment="0" applyProtection="0"/>
    <xf numFmtId="185" fontId="72" fillId="0" borderId="0" applyFont="0" applyFill="0" applyBorder="0" applyAlignment="0" applyProtection="0"/>
    <xf numFmtId="213" fontId="76" fillId="0" borderId="0" applyFont="0" applyFill="0" applyBorder="0" applyAlignment="0" applyProtection="0"/>
    <xf numFmtId="213" fontId="76" fillId="0" borderId="0" applyFont="0" applyFill="0" applyBorder="0" applyAlignment="0" applyProtection="0"/>
    <xf numFmtId="0" fontId="76" fillId="0" borderId="0" applyFont="0" applyFill="0" applyBorder="0" applyAlignment="0" applyProtection="0"/>
    <xf numFmtId="213" fontId="76" fillId="0" borderId="0" applyFont="0" applyFill="0" applyBorder="0" applyAlignment="0" applyProtection="0"/>
    <xf numFmtId="0" fontId="76" fillId="0" borderId="0" applyFont="0" applyFill="0" applyBorder="0" applyAlignment="0" applyProtection="0"/>
    <xf numFmtId="213" fontId="76" fillId="0" borderId="0" applyFont="0" applyFill="0" applyBorder="0" applyAlignment="0" applyProtection="0"/>
    <xf numFmtId="213" fontId="76" fillId="0" borderId="0" applyFont="0" applyFill="0" applyBorder="0" applyAlignment="0" applyProtection="0"/>
    <xf numFmtId="0" fontId="76" fillId="0" borderId="0" applyFont="0" applyFill="0" applyBorder="0" applyAlignment="0" applyProtection="0"/>
    <xf numFmtId="213" fontId="76" fillId="0" borderId="0" applyFont="0" applyFill="0" applyBorder="0" applyAlignment="0" applyProtection="0"/>
    <xf numFmtId="0" fontId="76" fillId="0" borderId="0" applyFont="0" applyFill="0" applyBorder="0" applyAlignment="0" applyProtection="0"/>
    <xf numFmtId="213" fontId="76" fillId="0" borderId="0" applyFont="0" applyFill="0" applyBorder="0" applyAlignment="0" applyProtection="0"/>
    <xf numFmtId="0" fontId="76" fillId="0" borderId="0" applyFont="0" applyFill="0" applyBorder="0" applyAlignment="0" applyProtection="0"/>
    <xf numFmtId="213" fontId="76" fillId="0" borderId="0" applyFont="0" applyFill="0" applyBorder="0" applyAlignment="0" applyProtection="0"/>
    <xf numFmtId="213" fontId="76" fillId="0" borderId="0" applyFont="0" applyFill="0" applyBorder="0" applyAlignment="0" applyProtection="0"/>
    <xf numFmtId="0" fontId="76" fillId="0" borderId="0" applyFont="0" applyFill="0" applyBorder="0" applyAlignment="0" applyProtection="0"/>
    <xf numFmtId="213" fontId="76" fillId="0" borderId="0" applyFont="0" applyFill="0" applyBorder="0" applyAlignment="0" applyProtection="0"/>
    <xf numFmtId="213" fontId="76" fillId="0" borderId="0" applyFont="0" applyFill="0" applyBorder="0" applyAlignment="0" applyProtection="0"/>
    <xf numFmtId="213" fontId="76" fillId="0" borderId="0" applyFont="0" applyFill="0" applyBorder="0" applyAlignment="0" applyProtection="0"/>
    <xf numFmtId="0" fontId="76" fillId="0" borderId="0" applyFont="0" applyFill="0" applyBorder="0" applyAlignment="0" applyProtection="0"/>
    <xf numFmtId="0" fontId="76" fillId="0" borderId="0" applyFont="0" applyFill="0" applyBorder="0" applyAlignment="0" applyProtection="0"/>
    <xf numFmtId="213" fontId="76" fillId="0" borderId="0" applyFont="0" applyFill="0" applyBorder="0" applyAlignment="0" applyProtection="0"/>
    <xf numFmtId="213" fontId="76" fillId="0" borderId="0" applyFont="0" applyFill="0" applyBorder="0" applyAlignment="0" applyProtection="0"/>
    <xf numFmtId="0" fontId="76" fillId="0" borderId="0" applyFont="0" applyFill="0" applyBorder="0" applyAlignment="0" applyProtection="0"/>
    <xf numFmtId="213" fontId="76" fillId="0" borderId="0" applyFont="0" applyFill="0" applyBorder="0" applyAlignment="0" applyProtection="0"/>
    <xf numFmtId="0" fontId="76" fillId="0" borderId="0" applyFont="0" applyFill="0" applyBorder="0" applyAlignment="0" applyProtection="0"/>
    <xf numFmtId="0" fontId="76" fillId="0" borderId="0" applyFont="0" applyFill="0" applyBorder="0" applyAlignment="0" applyProtection="0"/>
    <xf numFmtId="0" fontId="23" fillId="0" borderId="0" applyFont="0" applyFill="0" applyBorder="0" applyAlignment="0" applyProtection="0"/>
    <xf numFmtId="214" fontId="23" fillId="0" borderId="0" applyFont="0" applyFill="0" applyBorder="0" applyAlignment="0" applyProtection="0"/>
    <xf numFmtId="0" fontId="23" fillId="0" borderId="0" applyFont="0" applyFill="0" applyBorder="0" applyAlignment="0" applyProtection="0"/>
    <xf numFmtId="214" fontId="23" fillId="0" borderId="0" applyFont="0" applyFill="0" applyBorder="0" applyAlignment="0" applyProtection="0"/>
    <xf numFmtId="214" fontId="23" fillId="0" borderId="0" applyFont="0" applyFill="0" applyBorder="0" applyAlignment="0" applyProtection="0"/>
    <xf numFmtId="0" fontId="23" fillId="0" borderId="0" applyFont="0" applyFill="0" applyBorder="0" applyAlignment="0" applyProtection="0"/>
    <xf numFmtId="214" fontId="23" fillId="0" borderId="0" applyFont="0" applyFill="0" applyBorder="0" applyAlignment="0" applyProtection="0"/>
    <xf numFmtId="214" fontId="23" fillId="0" borderId="0" applyFont="0" applyFill="0" applyBorder="0" applyAlignment="0" applyProtection="0"/>
    <xf numFmtId="0" fontId="23" fillId="0" borderId="0" applyFont="0" applyFill="0" applyBorder="0" applyAlignment="0" applyProtection="0"/>
    <xf numFmtId="0" fontId="23" fillId="0" borderId="0" applyFont="0" applyFill="0" applyBorder="0" applyAlignment="0" applyProtection="0"/>
    <xf numFmtId="214" fontId="23" fillId="0" borderId="0" applyFont="0" applyFill="0" applyBorder="0" applyAlignment="0" applyProtection="0"/>
    <xf numFmtId="214" fontId="23" fillId="0" borderId="0" applyFont="0" applyFill="0" applyBorder="0" applyAlignment="0" applyProtection="0"/>
    <xf numFmtId="0" fontId="23" fillId="0" borderId="0" applyFont="0" applyFill="0" applyBorder="0" applyAlignment="0" applyProtection="0"/>
    <xf numFmtId="214" fontId="23" fillId="0" borderId="0" applyFont="0" applyFill="0" applyBorder="0" applyAlignment="0" applyProtection="0"/>
    <xf numFmtId="0" fontId="23" fillId="0" borderId="0" applyFont="0" applyFill="0" applyBorder="0" applyAlignment="0" applyProtection="0"/>
    <xf numFmtId="214" fontId="23" fillId="0" borderId="0" applyFont="0" applyFill="0" applyBorder="0" applyAlignment="0" applyProtection="0"/>
    <xf numFmtId="214" fontId="23" fillId="0" borderId="0" applyFont="0" applyFill="0" applyBorder="0" applyAlignment="0" applyProtection="0"/>
    <xf numFmtId="214" fontId="23" fillId="0" borderId="0" applyFont="0" applyFill="0" applyBorder="0" applyAlignment="0" applyProtection="0"/>
    <xf numFmtId="0" fontId="23" fillId="0" borderId="0" applyFont="0" applyFill="0" applyBorder="0" applyAlignment="0" applyProtection="0"/>
    <xf numFmtId="0" fontId="23" fillId="0" borderId="0" applyFont="0" applyFill="0" applyBorder="0" applyAlignment="0" applyProtection="0"/>
    <xf numFmtId="214" fontId="23" fillId="0" borderId="0" applyFont="0" applyFill="0" applyBorder="0" applyAlignment="0" applyProtection="0"/>
    <xf numFmtId="0" fontId="23" fillId="0" borderId="0" applyFont="0" applyFill="0" applyBorder="0" applyAlignment="0" applyProtection="0"/>
    <xf numFmtId="0" fontId="23" fillId="0" borderId="0" applyFont="0" applyFill="0" applyBorder="0" applyAlignment="0" applyProtection="0"/>
    <xf numFmtId="214" fontId="23" fillId="0" borderId="0" applyFont="0" applyFill="0" applyBorder="0" applyAlignment="0" applyProtection="0"/>
    <xf numFmtId="214" fontId="23" fillId="0" borderId="0" applyFont="0" applyFill="0" applyBorder="0" applyAlignment="0" applyProtection="0"/>
    <xf numFmtId="213" fontId="76" fillId="0" borderId="0" applyFont="0" applyFill="0" applyBorder="0" applyAlignment="0" applyProtection="0"/>
    <xf numFmtId="215" fontId="75" fillId="0" borderId="0" applyFont="0" applyFill="0" applyBorder="0" applyAlignment="0" applyProtection="0"/>
    <xf numFmtId="216" fontId="75" fillId="0" borderId="0" applyFont="0" applyFill="0" applyBorder="0" applyAlignment="0" applyProtection="0"/>
    <xf numFmtId="0" fontId="72" fillId="0" borderId="0" applyFont="0" applyFill="0" applyBorder="0" applyAlignment="0" applyProtection="0"/>
    <xf numFmtId="181" fontId="23" fillId="0" borderId="0" applyFont="0" applyFill="0" applyBorder="0" applyAlignment="0" applyProtection="0"/>
    <xf numFmtId="185" fontId="72" fillId="0" borderId="0" applyFont="0" applyFill="0" applyBorder="0" applyAlignment="0" applyProtection="0"/>
    <xf numFmtId="185" fontId="72" fillId="0" borderId="0" applyFont="0" applyFill="0" applyBorder="0" applyAlignment="0" applyProtection="0"/>
    <xf numFmtId="185" fontId="72" fillId="0" borderId="0" applyFont="0" applyFill="0" applyBorder="0" applyAlignment="0" applyProtection="0"/>
    <xf numFmtId="211" fontId="23" fillId="0" borderId="0" applyFont="0" applyFill="0" applyBorder="0" applyAlignment="0" applyProtection="0"/>
    <xf numFmtId="185" fontId="72" fillId="0" borderId="0" applyFont="0" applyFill="0" applyBorder="0" applyAlignment="0" applyProtection="0"/>
    <xf numFmtId="0" fontId="72" fillId="0" borderId="0" applyFont="0" applyFill="0" applyBorder="0" applyAlignment="0" applyProtection="0"/>
    <xf numFmtId="0" fontId="72" fillId="0" borderId="0" applyFont="0" applyFill="0" applyBorder="0" applyAlignment="0" applyProtection="0"/>
    <xf numFmtId="0" fontId="72" fillId="0" borderId="0" applyFont="0" applyFill="0" applyBorder="0" applyAlignment="0" applyProtection="0"/>
    <xf numFmtId="0" fontId="72" fillId="0" borderId="0" applyFont="0" applyFill="0" applyBorder="0" applyAlignment="0" applyProtection="0"/>
    <xf numFmtId="0" fontId="72" fillId="0" borderId="0" applyFont="0" applyFill="0" applyBorder="0" applyAlignment="0" applyProtection="0"/>
    <xf numFmtId="0" fontId="72" fillId="0" borderId="0" applyFont="0" applyFill="0" applyBorder="0" applyAlignment="0" applyProtection="0"/>
    <xf numFmtId="185" fontId="72" fillId="0" borderId="0" applyFont="0" applyFill="0" applyBorder="0" applyAlignment="0" applyProtection="0"/>
    <xf numFmtId="0" fontId="72" fillId="0" borderId="0" applyFont="0" applyFill="0" applyBorder="0" applyAlignment="0" applyProtection="0"/>
    <xf numFmtId="0" fontId="72" fillId="0" borderId="0" applyFont="0" applyFill="0" applyBorder="0" applyAlignment="0" applyProtection="0"/>
    <xf numFmtId="0" fontId="72" fillId="0" borderId="0" applyFont="0" applyFill="0" applyBorder="0" applyAlignment="0" applyProtection="0"/>
    <xf numFmtId="0" fontId="72" fillId="0" borderId="0" applyFont="0" applyFill="0" applyBorder="0" applyAlignment="0" applyProtection="0"/>
    <xf numFmtId="0" fontId="72" fillId="0" borderId="0" applyFont="0" applyFill="0" applyBorder="0" applyAlignment="0" applyProtection="0"/>
    <xf numFmtId="185" fontId="72" fillId="0" borderId="0" applyFont="0" applyFill="0" applyBorder="0" applyAlignment="0" applyProtection="0"/>
    <xf numFmtId="185" fontId="72" fillId="0" borderId="0" applyFont="0" applyFill="0" applyBorder="0" applyAlignment="0" applyProtection="0"/>
    <xf numFmtId="0" fontId="72" fillId="0" borderId="0" applyFont="0" applyFill="0" applyBorder="0" applyAlignment="0" applyProtection="0"/>
    <xf numFmtId="0" fontId="72" fillId="0" borderId="0" applyFont="0" applyFill="0" applyBorder="0" applyAlignment="0" applyProtection="0"/>
    <xf numFmtId="0" fontId="72" fillId="0" borderId="0" applyFont="0" applyFill="0" applyBorder="0" applyAlignment="0" applyProtection="0"/>
    <xf numFmtId="185" fontId="72" fillId="0" borderId="0" applyFont="0" applyFill="0" applyBorder="0" applyAlignment="0" applyProtection="0"/>
    <xf numFmtId="0" fontId="72" fillId="0" borderId="0" applyFont="0" applyFill="0" applyBorder="0" applyAlignment="0" applyProtection="0"/>
    <xf numFmtId="0" fontId="72" fillId="0" borderId="0" applyFont="0" applyFill="0" applyBorder="0" applyAlignment="0" applyProtection="0"/>
    <xf numFmtId="0" fontId="72" fillId="0" borderId="0" applyFont="0" applyFill="0" applyBorder="0" applyAlignment="0" applyProtection="0"/>
    <xf numFmtId="185" fontId="72" fillId="0" borderId="0" applyFont="0" applyFill="0" applyBorder="0" applyAlignment="0" applyProtection="0"/>
    <xf numFmtId="185" fontId="72" fillId="0" borderId="0" applyFont="0" applyFill="0" applyBorder="0" applyAlignment="0" applyProtection="0"/>
    <xf numFmtId="0" fontId="72" fillId="0" borderId="0" applyFont="0" applyFill="0" applyBorder="0" applyAlignment="0" applyProtection="0"/>
    <xf numFmtId="0" fontId="72" fillId="0" borderId="0" applyFont="0" applyFill="0" applyBorder="0" applyAlignment="0" applyProtection="0"/>
    <xf numFmtId="0" fontId="72" fillId="0" borderId="0" applyFont="0" applyFill="0" applyBorder="0" applyAlignment="0" applyProtection="0"/>
    <xf numFmtId="0" fontId="72" fillId="0" borderId="0" applyFont="0" applyFill="0" applyBorder="0" applyAlignment="0" applyProtection="0"/>
    <xf numFmtId="185" fontId="72" fillId="0" borderId="0" applyFont="0" applyFill="0" applyBorder="0" applyAlignment="0" applyProtection="0"/>
    <xf numFmtId="0" fontId="72" fillId="0" borderId="0" applyFont="0" applyFill="0" applyBorder="0" applyAlignment="0" applyProtection="0"/>
    <xf numFmtId="185" fontId="72" fillId="0" borderId="0" applyFont="0" applyFill="0" applyBorder="0" applyAlignment="0" applyProtection="0"/>
    <xf numFmtId="185" fontId="72" fillId="0" borderId="0" applyFont="0" applyFill="0" applyBorder="0" applyAlignment="0" applyProtection="0"/>
    <xf numFmtId="181" fontId="23" fillId="0" borderId="0" applyFont="0" applyFill="0" applyBorder="0" applyAlignment="0" applyProtection="0"/>
    <xf numFmtId="185" fontId="72" fillId="0" borderId="0" applyFont="0" applyFill="0" applyBorder="0" applyAlignment="0" applyProtection="0"/>
    <xf numFmtId="181" fontId="23" fillId="0" borderId="0" applyFont="0" applyFill="0" applyBorder="0" applyAlignment="0" applyProtection="0"/>
    <xf numFmtId="0" fontId="72" fillId="0" borderId="0" applyFont="0" applyFill="0" applyBorder="0" applyAlignment="0" applyProtection="0"/>
    <xf numFmtId="0" fontId="38" fillId="0" borderId="0" applyFont="0" applyFill="0" applyBorder="0" applyAlignment="0" applyProtection="0"/>
    <xf numFmtId="197" fontId="38" fillId="0" borderId="0" applyFont="0" applyFill="0" applyBorder="0" applyAlignment="0" applyProtection="0"/>
    <xf numFmtId="0" fontId="38" fillId="0" borderId="0" applyFont="0" applyFill="0" applyBorder="0" applyAlignment="0" applyProtection="0"/>
    <xf numFmtId="197" fontId="38" fillId="0" borderId="0" applyFont="0" applyFill="0" applyBorder="0" applyAlignment="0" applyProtection="0"/>
    <xf numFmtId="197" fontId="38" fillId="0" borderId="0" applyFont="0" applyFill="0" applyBorder="0" applyAlignment="0" applyProtection="0"/>
    <xf numFmtId="0" fontId="38" fillId="0" borderId="0" applyFont="0" applyFill="0" applyBorder="0" applyAlignment="0" applyProtection="0"/>
    <xf numFmtId="197" fontId="38" fillId="0" borderId="0" applyFont="0" applyFill="0" applyBorder="0" applyAlignment="0" applyProtection="0"/>
    <xf numFmtId="0" fontId="38" fillId="0" borderId="0" applyFont="0" applyFill="0" applyBorder="0" applyAlignment="0" applyProtection="0"/>
    <xf numFmtId="197" fontId="38" fillId="0" borderId="0" applyFont="0" applyFill="0" applyBorder="0" applyAlignment="0" applyProtection="0"/>
    <xf numFmtId="197" fontId="38" fillId="0" borderId="0" applyFont="0" applyFill="0" applyBorder="0" applyAlignment="0" applyProtection="0"/>
    <xf numFmtId="197" fontId="38" fillId="0" borderId="0" applyFont="0" applyFill="0" applyBorder="0" applyAlignment="0" applyProtection="0"/>
    <xf numFmtId="0" fontId="38" fillId="0" borderId="0" applyFont="0" applyFill="0" applyBorder="0" applyAlignment="0" applyProtection="0"/>
    <xf numFmtId="0" fontId="38" fillId="0" borderId="0" applyFont="0" applyFill="0" applyBorder="0" applyAlignment="0" applyProtection="0"/>
    <xf numFmtId="0" fontId="38" fillId="0" borderId="0" applyFont="0" applyFill="0" applyBorder="0" applyAlignment="0" applyProtection="0"/>
    <xf numFmtId="0" fontId="38" fillId="0" borderId="0" applyFont="0" applyFill="0" applyBorder="0" applyAlignment="0" applyProtection="0"/>
    <xf numFmtId="0" fontId="38" fillId="0" borderId="0" applyFont="0" applyFill="0" applyBorder="0" applyAlignment="0" applyProtection="0"/>
    <xf numFmtId="0" fontId="38" fillId="0" borderId="0" applyFont="0" applyFill="0" applyBorder="0" applyAlignment="0" applyProtection="0"/>
    <xf numFmtId="197" fontId="38" fillId="0" borderId="0" applyFont="0" applyFill="0" applyBorder="0" applyAlignment="0" applyProtection="0"/>
    <xf numFmtId="0" fontId="38" fillId="0" borderId="0" applyFont="0" applyFill="0" applyBorder="0" applyAlignment="0" applyProtection="0"/>
    <xf numFmtId="0" fontId="38" fillId="0" borderId="0" applyFont="0" applyFill="0" applyBorder="0" applyAlignment="0" applyProtection="0"/>
    <xf numFmtId="0" fontId="38" fillId="0" borderId="0" applyFont="0" applyFill="0" applyBorder="0" applyAlignment="0" applyProtection="0"/>
    <xf numFmtId="0" fontId="38" fillId="0" borderId="0" applyFont="0" applyFill="0" applyBorder="0" applyAlignment="0" applyProtection="0"/>
    <xf numFmtId="0" fontId="38" fillId="0" borderId="0" applyFont="0" applyFill="0" applyBorder="0" applyAlignment="0" applyProtection="0"/>
    <xf numFmtId="197" fontId="38" fillId="0" borderId="0" applyFont="0" applyFill="0" applyBorder="0" applyAlignment="0" applyProtection="0"/>
    <xf numFmtId="197" fontId="38" fillId="0" borderId="0" applyFont="0" applyFill="0" applyBorder="0" applyAlignment="0" applyProtection="0"/>
    <xf numFmtId="0" fontId="38" fillId="0" borderId="0" applyFont="0" applyFill="0" applyBorder="0" applyAlignment="0" applyProtection="0"/>
    <xf numFmtId="0" fontId="38" fillId="0" borderId="0" applyFont="0" applyFill="0" applyBorder="0" applyAlignment="0" applyProtection="0"/>
    <xf numFmtId="0" fontId="38" fillId="0" borderId="0" applyFont="0" applyFill="0" applyBorder="0" applyAlignment="0" applyProtection="0"/>
    <xf numFmtId="197" fontId="38" fillId="0" borderId="0" applyFont="0" applyFill="0" applyBorder="0" applyAlignment="0" applyProtection="0"/>
    <xf numFmtId="0" fontId="38" fillId="0" borderId="0" applyFont="0" applyFill="0" applyBorder="0" applyAlignment="0" applyProtection="0"/>
    <xf numFmtId="0" fontId="38" fillId="0" borderId="0" applyFont="0" applyFill="0" applyBorder="0" applyAlignment="0" applyProtection="0"/>
    <xf numFmtId="0" fontId="38" fillId="0" borderId="0" applyFont="0" applyFill="0" applyBorder="0" applyAlignment="0" applyProtection="0"/>
    <xf numFmtId="197" fontId="38" fillId="0" borderId="0" applyFont="0" applyFill="0" applyBorder="0" applyAlignment="0" applyProtection="0"/>
    <xf numFmtId="197" fontId="38" fillId="0" borderId="0" applyFont="0" applyFill="0" applyBorder="0" applyAlignment="0" applyProtection="0"/>
    <xf numFmtId="0" fontId="38" fillId="0" borderId="0" applyFont="0" applyFill="0" applyBorder="0" applyAlignment="0" applyProtection="0"/>
    <xf numFmtId="0" fontId="38" fillId="0" borderId="0" applyFont="0" applyFill="0" applyBorder="0" applyAlignment="0" applyProtection="0"/>
    <xf numFmtId="185" fontId="72" fillId="0" borderId="0" applyFont="0" applyFill="0" applyBorder="0" applyAlignment="0" applyProtection="0"/>
    <xf numFmtId="0" fontId="75" fillId="0" borderId="0" applyFont="0" applyFill="0" applyBorder="0" applyAlignment="0" applyProtection="0"/>
    <xf numFmtId="204" fontId="76" fillId="0" borderId="0" applyFont="0" applyFill="0" applyBorder="0" applyAlignment="0" applyProtection="0"/>
    <xf numFmtId="0" fontId="75" fillId="0" borderId="0" applyFont="0" applyFill="0" applyBorder="0" applyAlignment="0" applyProtection="0"/>
    <xf numFmtId="181" fontId="23" fillId="0" borderId="0" applyFont="0" applyFill="0" applyBorder="0" applyAlignment="0" applyProtection="0"/>
    <xf numFmtId="185" fontId="72" fillId="0" borderId="0" applyFont="0" applyFill="0" applyBorder="0" applyAlignment="0" applyProtection="0"/>
    <xf numFmtId="0" fontId="75" fillId="0" borderId="0" applyFont="0" applyFill="0" applyBorder="0" applyAlignment="0" applyProtection="0"/>
    <xf numFmtId="181" fontId="23" fillId="0" borderId="0" applyFont="0" applyFill="0" applyBorder="0" applyAlignment="0" applyProtection="0"/>
    <xf numFmtId="181" fontId="23" fillId="0" borderId="0" applyFont="0" applyFill="0" applyBorder="0" applyAlignment="0" applyProtection="0"/>
    <xf numFmtId="183" fontId="23" fillId="0" borderId="0" applyFont="0" applyFill="0" applyBorder="0" applyAlignment="0" applyProtection="0"/>
    <xf numFmtId="181" fontId="23" fillId="0" borderId="0" applyFont="0" applyFill="0" applyBorder="0" applyAlignment="0" applyProtection="0"/>
    <xf numFmtId="181" fontId="23" fillId="0" borderId="0" applyFont="0" applyFill="0" applyBorder="0" applyAlignment="0" applyProtection="0"/>
    <xf numFmtId="181" fontId="23" fillId="0" borderId="0" applyFont="0" applyFill="0" applyBorder="0" applyAlignment="0" applyProtection="0"/>
    <xf numFmtId="184" fontId="23" fillId="0" borderId="0" applyFont="0" applyFill="0" applyBorder="0" applyAlignment="0" applyProtection="0"/>
    <xf numFmtId="0" fontId="75" fillId="0" borderId="0" applyFont="0" applyFill="0" applyBorder="0" applyAlignment="0" applyProtection="0"/>
    <xf numFmtId="197" fontId="38" fillId="0" borderId="0" applyFont="0" applyFill="0" applyBorder="0" applyAlignment="0" applyProtection="0"/>
    <xf numFmtId="185" fontId="72" fillId="0" borderId="0" applyFont="0" applyFill="0" applyBorder="0" applyAlignment="0" applyProtection="0"/>
    <xf numFmtId="217" fontId="75" fillId="0" borderId="0" applyFont="0" applyFill="0" applyBorder="0" applyAlignment="0" applyProtection="0"/>
    <xf numFmtId="0" fontId="75" fillId="0" borderId="0" applyFont="0" applyFill="0" applyBorder="0" applyAlignment="0" applyProtection="0"/>
    <xf numFmtId="0" fontId="75" fillId="0" borderId="0" applyFont="0" applyFill="0" applyBorder="0" applyAlignment="0" applyProtection="0"/>
    <xf numFmtId="0" fontId="75" fillId="0" borderId="0" applyFont="0" applyFill="0" applyBorder="0" applyAlignment="0" applyProtection="0"/>
    <xf numFmtId="0" fontId="75" fillId="0" borderId="0" applyFont="0" applyFill="0" applyBorder="0" applyAlignment="0" applyProtection="0"/>
    <xf numFmtId="0" fontId="75" fillId="0" borderId="0" applyFont="0" applyFill="0" applyBorder="0" applyAlignment="0" applyProtection="0"/>
    <xf numFmtId="0" fontId="75" fillId="0" borderId="0" applyFont="0" applyFill="0" applyBorder="0" applyAlignment="0" applyProtection="0"/>
    <xf numFmtId="0" fontId="75" fillId="0" borderId="0" applyFont="0" applyFill="0" applyBorder="0" applyAlignment="0" applyProtection="0"/>
    <xf numFmtId="0" fontId="75" fillId="0" borderId="0" applyFont="0" applyFill="0" applyBorder="0" applyAlignment="0" applyProtection="0"/>
    <xf numFmtId="0" fontId="75" fillId="0" borderId="0" applyFont="0" applyFill="0" applyBorder="0" applyAlignment="0" applyProtection="0"/>
    <xf numFmtId="0" fontId="75" fillId="0" borderId="0" applyFont="0" applyFill="0" applyBorder="0" applyAlignment="0" applyProtection="0"/>
    <xf numFmtId="0" fontId="75" fillId="0" borderId="0" applyFont="0" applyFill="0" applyBorder="0" applyAlignment="0" applyProtection="0"/>
    <xf numFmtId="217" fontId="75" fillId="0" borderId="0" applyFont="0" applyFill="0" applyBorder="0" applyAlignment="0" applyProtection="0"/>
    <xf numFmtId="217" fontId="75" fillId="0" borderId="0" applyFont="0" applyFill="0" applyBorder="0" applyAlignment="0" applyProtection="0"/>
    <xf numFmtId="0" fontId="75" fillId="0" borderId="0" applyFont="0" applyFill="0" applyBorder="0" applyAlignment="0" applyProtection="0"/>
    <xf numFmtId="0" fontId="75" fillId="0" borderId="0" applyFont="0" applyFill="0" applyBorder="0" applyAlignment="0" applyProtection="0"/>
    <xf numFmtId="0" fontId="75" fillId="0" borderId="0" applyFont="0" applyFill="0" applyBorder="0" applyAlignment="0" applyProtection="0"/>
    <xf numFmtId="0" fontId="75" fillId="0" borderId="0" applyFont="0" applyFill="0" applyBorder="0" applyAlignment="0" applyProtection="0"/>
    <xf numFmtId="0" fontId="75" fillId="0" borderId="0" applyFont="0" applyFill="0" applyBorder="0" applyAlignment="0" applyProtection="0"/>
    <xf numFmtId="217" fontId="75" fillId="0" borderId="0" applyFont="0" applyFill="0" applyBorder="0" applyAlignment="0" applyProtection="0"/>
    <xf numFmtId="0" fontId="75" fillId="0" borderId="0" applyFont="0" applyFill="0" applyBorder="0" applyAlignment="0" applyProtection="0"/>
    <xf numFmtId="217" fontId="75" fillId="0" borderId="0" applyFont="0" applyFill="0" applyBorder="0" applyAlignment="0" applyProtection="0"/>
    <xf numFmtId="217" fontId="75" fillId="0" borderId="0" applyFont="0" applyFill="0" applyBorder="0" applyAlignment="0" applyProtection="0"/>
    <xf numFmtId="217" fontId="75" fillId="0" borderId="0" applyFont="0" applyFill="0" applyBorder="0" applyAlignment="0" applyProtection="0"/>
    <xf numFmtId="0" fontId="75" fillId="0" borderId="0" applyFont="0" applyFill="0" applyBorder="0" applyAlignment="0" applyProtection="0"/>
    <xf numFmtId="0" fontId="75" fillId="0" borderId="0" applyFont="0" applyFill="0" applyBorder="0" applyAlignment="0" applyProtection="0"/>
    <xf numFmtId="0" fontId="75" fillId="0" borderId="0" applyFont="0" applyFill="0" applyBorder="0" applyAlignment="0" applyProtection="0"/>
    <xf numFmtId="0" fontId="75" fillId="0" borderId="0" applyFont="0" applyFill="0" applyBorder="0" applyAlignment="0" applyProtection="0"/>
    <xf numFmtId="185" fontId="72" fillId="0" borderId="0" applyFont="0" applyFill="0" applyBorder="0" applyAlignment="0" applyProtection="0"/>
    <xf numFmtId="0" fontId="75" fillId="0" borderId="0" applyFont="0" applyFill="0" applyBorder="0" applyAlignment="0" applyProtection="0"/>
    <xf numFmtId="218" fontId="76" fillId="0" borderId="0" applyFont="0" applyFill="0" applyBorder="0" applyAlignment="0" applyProtection="0"/>
    <xf numFmtId="219" fontId="23" fillId="0" borderId="0" applyFont="0" applyFill="0" applyBorder="0" applyAlignment="0" applyProtection="0"/>
    <xf numFmtId="218" fontId="76" fillId="0" borderId="0" applyFont="0" applyFill="0" applyBorder="0" applyAlignment="0" applyProtection="0"/>
    <xf numFmtId="219" fontId="23" fillId="0" borderId="0" applyFont="0" applyFill="0" applyBorder="0" applyAlignment="0" applyProtection="0"/>
    <xf numFmtId="219" fontId="23" fillId="0" borderId="0" applyFont="0" applyFill="0" applyBorder="0" applyAlignment="0" applyProtection="0"/>
    <xf numFmtId="220" fontId="76" fillId="0" borderId="0" applyFont="0" applyFill="0" applyBorder="0" applyAlignment="0" applyProtection="0"/>
    <xf numFmtId="220" fontId="76" fillId="0" borderId="0" applyFont="0" applyFill="0" applyBorder="0" applyAlignment="0" applyProtection="0"/>
    <xf numFmtId="221" fontId="76" fillId="0" borderId="0" applyFont="0" applyFill="0" applyBorder="0" applyAlignment="0" applyProtection="0"/>
    <xf numFmtId="0" fontId="76" fillId="0" borderId="0" applyFont="0" applyFill="0" applyBorder="0" applyAlignment="0" applyProtection="0"/>
    <xf numFmtId="221" fontId="23" fillId="0" borderId="0" applyFont="0" applyFill="0" applyBorder="0" applyAlignment="0" applyProtection="0"/>
    <xf numFmtId="219" fontId="23" fillId="0" borderId="0" applyFont="0" applyFill="0" applyBorder="0" applyAlignment="0" applyProtection="0"/>
    <xf numFmtId="219" fontId="23" fillId="0" borderId="0" applyFont="0" applyFill="0" applyBorder="0" applyAlignment="0" applyProtection="0"/>
    <xf numFmtId="218" fontId="76" fillId="0" borderId="0" applyFont="0" applyFill="0" applyBorder="0" applyAlignment="0" applyProtection="0"/>
    <xf numFmtId="219" fontId="23" fillId="0" borderId="0" applyFont="0" applyFill="0" applyBorder="0" applyAlignment="0" applyProtection="0"/>
    <xf numFmtId="219" fontId="23" fillId="0" borderId="0" applyFont="0" applyFill="0" applyBorder="0" applyAlignment="0" applyProtection="0"/>
    <xf numFmtId="219" fontId="23" fillId="0" borderId="0" applyFont="0" applyFill="0" applyBorder="0" applyAlignment="0" applyProtection="0"/>
    <xf numFmtId="218" fontId="76" fillId="0" borderId="0" applyFont="0" applyFill="0" applyBorder="0" applyAlignment="0" applyProtection="0"/>
    <xf numFmtId="219" fontId="23" fillId="0" borderId="0" applyFont="0" applyFill="0" applyBorder="0" applyAlignment="0" applyProtection="0"/>
    <xf numFmtId="221" fontId="76" fillId="0" borderId="0" applyFont="0" applyFill="0" applyBorder="0" applyAlignment="0" applyProtection="0"/>
    <xf numFmtId="0" fontId="76" fillId="0" borderId="0" applyFont="0" applyFill="0" applyBorder="0" applyAlignment="0" applyProtection="0"/>
    <xf numFmtId="221" fontId="76" fillId="0" borderId="0" applyFont="0" applyFill="0" applyBorder="0" applyAlignment="0" applyProtection="0"/>
    <xf numFmtId="190" fontId="75" fillId="0" borderId="0" applyFont="0" applyFill="0" applyBorder="0" applyAlignment="0" applyProtection="0"/>
    <xf numFmtId="0" fontId="72" fillId="0" borderId="0" applyFont="0" applyFill="0" applyBorder="0" applyAlignment="0" applyProtection="0"/>
    <xf numFmtId="181" fontId="23" fillId="0" borderId="0" applyFont="0" applyFill="0" applyBorder="0" applyAlignment="0" applyProtection="0"/>
    <xf numFmtId="181" fontId="23" fillId="0" borderId="0" applyFont="0" applyFill="0" applyBorder="0" applyAlignment="0" applyProtection="0"/>
    <xf numFmtId="0" fontId="72" fillId="0" borderId="0" applyFont="0" applyFill="0" applyBorder="0" applyAlignment="0" applyProtection="0"/>
    <xf numFmtId="185" fontId="72" fillId="0" borderId="0" applyFont="0" applyFill="0" applyBorder="0" applyAlignment="0" applyProtection="0"/>
    <xf numFmtId="0" fontId="75" fillId="0" borderId="0" applyFont="0" applyFill="0" applyBorder="0" applyAlignment="0" applyProtection="0"/>
    <xf numFmtId="185" fontId="72" fillId="0" borderId="0" applyFont="0" applyFill="0" applyBorder="0" applyAlignment="0" applyProtection="0"/>
    <xf numFmtId="181" fontId="23" fillId="0" borderId="0" applyFont="0" applyFill="0" applyBorder="0" applyAlignment="0" applyProtection="0"/>
    <xf numFmtId="222" fontId="75" fillId="0" borderId="0" applyFont="0" applyFill="0" applyBorder="0" applyAlignment="0" applyProtection="0"/>
    <xf numFmtId="222" fontId="75" fillId="0" borderId="0" applyFont="0" applyFill="0" applyBorder="0" applyAlignment="0" applyProtection="0"/>
    <xf numFmtId="0" fontId="72" fillId="0" borderId="0" applyFont="0" applyFill="0" applyBorder="0" applyAlignment="0" applyProtection="0"/>
    <xf numFmtId="0" fontId="75" fillId="0" borderId="0" applyFont="0" applyFill="0" applyBorder="0" applyAlignment="0" applyProtection="0"/>
    <xf numFmtId="181" fontId="23" fillId="0" borderId="0" applyFont="0" applyFill="0" applyBorder="0" applyAlignment="0" applyProtection="0"/>
    <xf numFmtId="199" fontId="23" fillId="0" borderId="0" applyFont="0" applyFill="0" applyBorder="0" applyAlignment="0" applyProtection="0"/>
    <xf numFmtId="181" fontId="23" fillId="0" borderId="0" applyFont="0" applyFill="0" applyBorder="0" applyAlignment="0" applyProtection="0"/>
    <xf numFmtId="185" fontId="72" fillId="0" borderId="0" applyFont="0" applyFill="0" applyBorder="0" applyAlignment="0" applyProtection="0"/>
    <xf numFmtId="185" fontId="72" fillId="0" borderId="0" applyFont="0" applyFill="0" applyBorder="0" applyAlignment="0" applyProtection="0"/>
    <xf numFmtId="199" fontId="23" fillId="0" borderId="0" applyFont="0" applyFill="0" applyBorder="0" applyAlignment="0" applyProtection="0"/>
    <xf numFmtId="199" fontId="23" fillId="0" borderId="0" applyFont="0" applyFill="0" applyBorder="0" applyAlignment="0" applyProtection="0"/>
    <xf numFmtId="0" fontId="75" fillId="0" borderId="0" applyFont="0" applyFill="0" applyBorder="0" applyAlignment="0" applyProtection="0"/>
    <xf numFmtId="185" fontId="72" fillId="0" borderId="0" applyFont="0" applyFill="0" applyBorder="0" applyAlignment="0" applyProtection="0"/>
    <xf numFmtId="185" fontId="72" fillId="0" borderId="0" applyFont="0" applyFill="0" applyBorder="0" applyAlignment="0" applyProtection="0"/>
    <xf numFmtId="0" fontId="72" fillId="0" borderId="0" applyFont="0" applyFill="0" applyBorder="0" applyAlignment="0" applyProtection="0"/>
    <xf numFmtId="0" fontId="72" fillId="0" borderId="0" applyFont="0" applyFill="0" applyBorder="0" applyAlignment="0" applyProtection="0"/>
    <xf numFmtId="0" fontId="72" fillId="0" borderId="0" applyFont="0" applyFill="0" applyBorder="0" applyAlignment="0" applyProtection="0"/>
    <xf numFmtId="0" fontId="72" fillId="0" borderId="0" applyFont="0" applyFill="0" applyBorder="0" applyAlignment="0" applyProtection="0"/>
    <xf numFmtId="0" fontId="72" fillId="0" borderId="0" applyFont="0" applyFill="0" applyBorder="0" applyAlignment="0" applyProtection="0"/>
    <xf numFmtId="0" fontId="72" fillId="0" borderId="0" applyFont="0" applyFill="0" applyBorder="0" applyAlignment="0" applyProtection="0"/>
    <xf numFmtId="185" fontId="72" fillId="0" borderId="0" applyFont="0" applyFill="0" applyBorder="0" applyAlignment="0" applyProtection="0"/>
    <xf numFmtId="0" fontId="72" fillId="0" borderId="0" applyFont="0" applyFill="0" applyBorder="0" applyAlignment="0" applyProtection="0"/>
    <xf numFmtId="0" fontId="72" fillId="0" borderId="0" applyFont="0" applyFill="0" applyBorder="0" applyAlignment="0" applyProtection="0"/>
    <xf numFmtId="0" fontId="72" fillId="0" borderId="0" applyFont="0" applyFill="0" applyBorder="0" applyAlignment="0" applyProtection="0"/>
    <xf numFmtId="0" fontId="72" fillId="0" borderId="0" applyFont="0" applyFill="0" applyBorder="0" applyAlignment="0" applyProtection="0"/>
    <xf numFmtId="0" fontId="72" fillId="0" borderId="0" applyFont="0" applyFill="0" applyBorder="0" applyAlignment="0" applyProtection="0"/>
    <xf numFmtId="185" fontId="72" fillId="0" borderId="0" applyFont="0" applyFill="0" applyBorder="0" applyAlignment="0" applyProtection="0"/>
    <xf numFmtId="185" fontId="72" fillId="0" borderId="0" applyFont="0" applyFill="0" applyBorder="0" applyAlignment="0" applyProtection="0"/>
    <xf numFmtId="0" fontId="72" fillId="0" borderId="0" applyFont="0" applyFill="0" applyBorder="0" applyAlignment="0" applyProtection="0"/>
    <xf numFmtId="0" fontId="72" fillId="0" borderId="0" applyFont="0" applyFill="0" applyBorder="0" applyAlignment="0" applyProtection="0"/>
    <xf numFmtId="0" fontId="72" fillId="0" borderId="0" applyFont="0" applyFill="0" applyBorder="0" applyAlignment="0" applyProtection="0"/>
    <xf numFmtId="185" fontId="72" fillId="0" borderId="0" applyFont="0" applyFill="0" applyBorder="0" applyAlignment="0" applyProtection="0"/>
    <xf numFmtId="0" fontId="72" fillId="0" borderId="0" applyFont="0" applyFill="0" applyBorder="0" applyAlignment="0" applyProtection="0"/>
    <xf numFmtId="0" fontId="72" fillId="0" borderId="0" applyFont="0" applyFill="0" applyBorder="0" applyAlignment="0" applyProtection="0"/>
    <xf numFmtId="0" fontId="72" fillId="0" borderId="0" applyFont="0" applyFill="0" applyBorder="0" applyAlignment="0" applyProtection="0"/>
    <xf numFmtId="185" fontId="72" fillId="0" borderId="0" applyFont="0" applyFill="0" applyBorder="0" applyAlignment="0" applyProtection="0"/>
    <xf numFmtId="185" fontId="72" fillId="0" borderId="0" applyFont="0" applyFill="0" applyBorder="0" applyAlignment="0" applyProtection="0"/>
    <xf numFmtId="0" fontId="72" fillId="0" borderId="0" applyFont="0" applyFill="0" applyBorder="0" applyAlignment="0" applyProtection="0"/>
    <xf numFmtId="0" fontId="72" fillId="0" borderId="0" applyFont="0" applyFill="0" applyBorder="0" applyAlignment="0" applyProtection="0"/>
    <xf numFmtId="0" fontId="75" fillId="0" borderId="0" applyFont="0" applyFill="0" applyBorder="0" applyAlignment="0" applyProtection="0"/>
    <xf numFmtId="0" fontId="72" fillId="0" borderId="0" applyFont="0" applyFill="0" applyBorder="0" applyAlignment="0" applyProtection="0"/>
    <xf numFmtId="0" fontId="72" fillId="0" borderId="0" applyFont="0" applyFill="0" applyBorder="0" applyAlignment="0" applyProtection="0"/>
    <xf numFmtId="0" fontId="72" fillId="0" borderId="0" applyFont="0" applyFill="0" applyBorder="0" applyAlignment="0" applyProtection="0"/>
    <xf numFmtId="0" fontId="72" fillId="0" borderId="0" applyFont="0" applyFill="0" applyBorder="0" applyAlignment="0" applyProtection="0"/>
    <xf numFmtId="0" fontId="72" fillId="0" borderId="0" applyFont="0" applyFill="0" applyBorder="0" applyAlignment="0" applyProtection="0"/>
    <xf numFmtId="0" fontId="72" fillId="0" borderId="0" applyFont="0" applyFill="0" applyBorder="0" applyAlignment="0" applyProtection="0"/>
    <xf numFmtId="0" fontId="72" fillId="0" borderId="0" applyFont="0" applyFill="0" applyBorder="0" applyAlignment="0" applyProtection="0"/>
    <xf numFmtId="0" fontId="72" fillId="0" borderId="0" applyFont="0" applyFill="0" applyBorder="0" applyAlignment="0" applyProtection="0"/>
    <xf numFmtId="0" fontId="72" fillId="0" borderId="0" applyFont="0" applyFill="0" applyBorder="0" applyAlignment="0" applyProtection="0"/>
    <xf numFmtId="0" fontId="72" fillId="0" borderId="0" applyFont="0" applyFill="0" applyBorder="0" applyAlignment="0" applyProtection="0"/>
    <xf numFmtId="0" fontId="72" fillId="0" borderId="0" applyFont="0" applyFill="0" applyBorder="0" applyAlignment="0" applyProtection="0"/>
    <xf numFmtId="185" fontId="72" fillId="0" borderId="0" applyFont="0" applyFill="0" applyBorder="0" applyAlignment="0" applyProtection="0"/>
    <xf numFmtId="185" fontId="72" fillId="0" borderId="0" applyFont="0" applyFill="0" applyBorder="0" applyAlignment="0" applyProtection="0"/>
    <xf numFmtId="0" fontId="72" fillId="0" borderId="0" applyFont="0" applyFill="0" applyBorder="0" applyAlignment="0" applyProtection="0"/>
    <xf numFmtId="0" fontId="72" fillId="0" borderId="0" applyFont="0" applyFill="0" applyBorder="0" applyAlignment="0" applyProtection="0"/>
    <xf numFmtId="0" fontId="72" fillId="0" borderId="0" applyFont="0" applyFill="0" applyBorder="0" applyAlignment="0" applyProtection="0"/>
    <xf numFmtId="0" fontId="72" fillId="0" borderId="0" applyFont="0" applyFill="0" applyBorder="0" applyAlignment="0" applyProtection="0"/>
    <xf numFmtId="0" fontId="72" fillId="0" borderId="0" applyFont="0" applyFill="0" applyBorder="0" applyAlignment="0" applyProtection="0"/>
    <xf numFmtId="0" fontId="72" fillId="0" borderId="0" applyFont="0" applyFill="0" applyBorder="0" applyAlignment="0" applyProtection="0"/>
    <xf numFmtId="0" fontId="72" fillId="0" borderId="0" applyFont="0" applyFill="0" applyBorder="0" applyAlignment="0" applyProtection="0"/>
    <xf numFmtId="0" fontId="72" fillId="0" borderId="0" applyFont="0" applyFill="0" applyBorder="0" applyAlignment="0" applyProtection="0"/>
    <xf numFmtId="0" fontId="72" fillId="0" borderId="0" applyFont="0" applyFill="0" applyBorder="0" applyAlignment="0" applyProtection="0"/>
    <xf numFmtId="181" fontId="23" fillId="0" borderId="0" applyFont="0" applyFill="0" applyBorder="0" applyAlignment="0" applyProtection="0"/>
    <xf numFmtId="0" fontId="23" fillId="0" borderId="0" applyFont="0" applyFill="0" applyBorder="0" applyAlignment="0" applyProtection="0"/>
    <xf numFmtId="181" fontId="23" fillId="0" borderId="0" applyFont="0" applyFill="0" applyBorder="0" applyAlignment="0" applyProtection="0"/>
    <xf numFmtId="0" fontId="23" fillId="0" borderId="0" applyFont="0" applyFill="0" applyBorder="0" applyAlignment="0" applyProtection="0"/>
    <xf numFmtId="181" fontId="23" fillId="0" borderId="0" applyFont="0" applyFill="0" applyBorder="0" applyAlignment="0" applyProtection="0"/>
    <xf numFmtId="181" fontId="23" fillId="0" borderId="0" applyFont="0" applyFill="0" applyBorder="0" applyAlignment="0" applyProtection="0"/>
    <xf numFmtId="0" fontId="23" fillId="0" borderId="0" applyFont="0" applyFill="0" applyBorder="0" applyAlignment="0" applyProtection="0"/>
    <xf numFmtId="0" fontId="23" fillId="0" borderId="0" applyFont="0" applyFill="0" applyBorder="0" applyAlignment="0" applyProtection="0"/>
    <xf numFmtId="0" fontId="23" fillId="0" borderId="0" applyFont="0" applyFill="0" applyBorder="0" applyAlignment="0" applyProtection="0"/>
    <xf numFmtId="181" fontId="23" fillId="0" borderId="0" applyFont="0" applyFill="0" applyBorder="0" applyAlignment="0" applyProtection="0"/>
    <xf numFmtId="0" fontId="23" fillId="0" borderId="0" applyFont="0" applyFill="0" applyBorder="0" applyAlignment="0" applyProtection="0"/>
    <xf numFmtId="181" fontId="23" fillId="0" borderId="0" applyFont="0" applyFill="0" applyBorder="0" applyAlignment="0" applyProtection="0"/>
    <xf numFmtId="0" fontId="23" fillId="0" borderId="0" applyFont="0" applyFill="0" applyBorder="0" applyAlignment="0" applyProtection="0"/>
    <xf numFmtId="0" fontId="23" fillId="0" borderId="0" applyFont="0" applyFill="0" applyBorder="0" applyAlignment="0" applyProtection="0"/>
    <xf numFmtId="181" fontId="23" fillId="0" borderId="0" applyFont="0" applyFill="0" applyBorder="0" applyAlignment="0" applyProtection="0"/>
    <xf numFmtId="181" fontId="23" fillId="0" borderId="0" applyFont="0" applyFill="0" applyBorder="0" applyAlignment="0" applyProtection="0"/>
    <xf numFmtId="0" fontId="23" fillId="0" borderId="0" applyFont="0" applyFill="0" applyBorder="0" applyAlignment="0" applyProtection="0"/>
    <xf numFmtId="0" fontId="23" fillId="0" borderId="0" applyFont="0" applyFill="0" applyBorder="0" applyAlignment="0" applyProtection="0"/>
    <xf numFmtId="181" fontId="23" fillId="0" borderId="0" applyFont="0" applyFill="0" applyBorder="0" applyAlignment="0" applyProtection="0"/>
    <xf numFmtId="0" fontId="75" fillId="0" borderId="0" applyFont="0" applyFill="0" applyBorder="0" applyAlignment="0" applyProtection="0"/>
    <xf numFmtId="0" fontId="75" fillId="0" borderId="0" applyFont="0" applyFill="0" applyBorder="0" applyAlignment="0" applyProtection="0"/>
    <xf numFmtId="223" fontId="76" fillId="0" borderId="0" applyFont="0" applyFill="0" applyBorder="0" applyAlignment="0" applyProtection="0"/>
    <xf numFmtId="0" fontId="75" fillId="0" borderId="0" applyFont="0" applyFill="0" applyBorder="0" applyAlignment="0" applyProtection="0"/>
    <xf numFmtId="185" fontId="72" fillId="0" borderId="0" applyFont="0" applyFill="0" applyBorder="0" applyAlignment="0" applyProtection="0"/>
    <xf numFmtId="185" fontId="72" fillId="0" borderId="0" applyFont="0" applyFill="0" applyBorder="0" applyAlignment="0" applyProtection="0"/>
    <xf numFmtId="0" fontId="72" fillId="0" borderId="0" applyFont="0" applyFill="0" applyBorder="0" applyAlignment="0" applyProtection="0"/>
    <xf numFmtId="0" fontId="72" fillId="0" borderId="0" applyFont="0" applyFill="0" applyBorder="0" applyAlignment="0" applyProtection="0"/>
    <xf numFmtId="0" fontId="72" fillId="0" borderId="0" applyFont="0" applyFill="0" applyBorder="0" applyAlignment="0" applyProtection="0"/>
    <xf numFmtId="199" fontId="23" fillId="0" borderId="0" applyFont="0" applyFill="0" applyBorder="0" applyAlignment="0" applyProtection="0"/>
    <xf numFmtId="185" fontId="72" fillId="0" borderId="0" applyFont="0" applyFill="0" applyBorder="0" applyAlignment="0" applyProtection="0"/>
    <xf numFmtId="0" fontId="75" fillId="0" borderId="0" applyFont="0" applyFill="0" applyBorder="0" applyAlignment="0" applyProtection="0"/>
    <xf numFmtId="0" fontId="75" fillId="0" borderId="0" applyFont="0" applyFill="0" applyBorder="0" applyAlignment="0" applyProtection="0"/>
    <xf numFmtId="0" fontId="75" fillId="0" borderId="0" applyFont="0" applyFill="0" applyBorder="0" applyAlignment="0" applyProtection="0"/>
    <xf numFmtId="0" fontId="75" fillId="0" borderId="0" applyFont="0" applyFill="0" applyBorder="0" applyAlignment="0" applyProtection="0"/>
    <xf numFmtId="0" fontId="75" fillId="0" borderId="0" applyFont="0" applyFill="0" applyBorder="0" applyAlignment="0" applyProtection="0"/>
    <xf numFmtId="0" fontId="75" fillId="0" borderId="0" applyFont="0" applyFill="0" applyBorder="0" applyAlignment="0" applyProtection="0"/>
    <xf numFmtId="0" fontId="75" fillId="0" borderId="0" applyFont="0" applyFill="0" applyBorder="0" applyAlignment="0" applyProtection="0"/>
    <xf numFmtId="0" fontId="75" fillId="0" borderId="0" applyFont="0" applyFill="0" applyBorder="0" applyAlignment="0" applyProtection="0"/>
    <xf numFmtId="0" fontId="75" fillId="0" borderId="0" applyFont="0" applyFill="0" applyBorder="0" applyAlignment="0" applyProtection="0"/>
    <xf numFmtId="0" fontId="75" fillId="0" borderId="0" applyFont="0" applyFill="0" applyBorder="0" applyAlignment="0" applyProtection="0"/>
    <xf numFmtId="0" fontId="75" fillId="0" borderId="0" applyFont="0" applyFill="0" applyBorder="0" applyAlignment="0" applyProtection="0"/>
    <xf numFmtId="0" fontId="75" fillId="0" borderId="0" applyFont="0" applyFill="0" applyBorder="0" applyAlignment="0" applyProtection="0"/>
    <xf numFmtId="0" fontId="75" fillId="0" borderId="0" applyFont="0" applyFill="0" applyBorder="0" applyAlignment="0" applyProtection="0"/>
    <xf numFmtId="0" fontId="75" fillId="0" borderId="0" applyFont="0" applyFill="0" applyBorder="0" applyAlignment="0" applyProtection="0"/>
    <xf numFmtId="0" fontId="75" fillId="0" borderId="0" applyFont="0" applyFill="0" applyBorder="0" applyAlignment="0" applyProtection="0"/>
    <xf numFmtId="0" fontId="75" fillId="0" borderId="0" applyFont="0" applyFill="0" applyBorder="0" applyAlignment="0" applyProtection="0"/>
    <xf numFmtId="0" fontId="75" fillId="0" borderId="0" applyFont="0" applyFill="0" applyBorder="0" applyAlignment="0" applyProtection="0"/>
    <xf numFmtId="0" fontId="75" fillId="0" borderId="0" applyFont="0" applyFill="0" applyBorder="0" applyAlignment="0" applyProtection="0"/>
    <xf numFmtId="0" fontId="75" fillId="0" borderId="0" applyFont="0" applyFill="0" applyBorder="0" applyAlignment="0" applyProtection="0"/>
    <xf numFmtId="181" fontId="23" fillId="0" borderId="0" applyFont="0" applyFill="0" applyBorder="0" applyAlignment="0" applyProtection="0"/>
    <xf numFmtId="0" fontId="72" fillId="0" borderId="0" applyFont="0" applyFill="0" applyBorder="0" applyAlignment="0" applyProtection="0"/>
    <xf numFmtId="185" fontId="72" fillId="0" borderId="0" applyFont="0" applyFill="0" applyBorder="0" applyAlignment="0" applyProtection="0"/>
    <xf numFmtId="181" fontId="23" fillId="0" borderId="0" applyFont="0" applyFill="0" applyBorder="0" applyAlignment="0" applyProtection="0"/>
    <xf numFmtId="185" fontId="72" fillId="0" borderId="0" applyFont="0" applyFill="0" applyBorder="0" applyAlignment="0" applyProtection="0"/>
    <xf numFmtId="185" fontId="72" fillId="0" borderId="0" applyFont="0" applyFill="0" applyBorder="0" applyAlignment="0" applyProtection="0"/>
    <xf numFmtId="185" fontId="72" fillId="0" borderId="0" applyFont="0" applyFill="0" applyBorder="0" applyAlignment="0" applyProtection="0"/>
    <xf numFmtId="0" fontId="75" fillId="0" borderId="0" applyFont="0" applyFill="0" applyBorder="0" applyAlignment="0" applyProtection="0"/>
    <xf numFmtId="0" fontId="72" fillId="0" borderId="0" applyFont="0" applyFill="0" applyBorder="0" applyAlignment="0" applyProtection="0"/>
    <xf numFmtId="0" fontId="72" fillId="0" borderId="0" applyFont="0" applyFill="0" applyBorder="0" applyAlignment="0" applyProtection="0"/>
    <xf numFmtId="185" fontId="72" fillId="0" borderId="0" applyFont="0" applyFill="0" applyBorder="0" applyAlignment="0" applyProtection="0"/>
    <xf numFmtId="0" fontId="72" fillId="0" borderId="0" applyFont="0" applyFill="0" applyBorder="0" applyAlignment="0" applyProtection="0"/>
    <xf numFmtId="0" fontId="72" fillId="0" borderId="0" applyFont="0" applyFill="0" applyBorder="0" applyAlignment="0" applyProtection="0"/>
    <xf numFmtId="0" fontId="72" fillId="0" borderId="0" applyFont="0" applyFill="0" applyBorder="0" applyAlignment="0" applyProtection="0"/>
    <xf numFmtId="0" fontId="72" fillId="0" borderId="0" applyFont="0" applyFill="0" applyBorder="0" applyAlignment="0" applyProtection="0"/>
    <xf numFmtId="0" fontId="72" fillId="0" borderId="0" applyFont="0" applyFill="0" applyBorder="0" applyAlignment="0" applyProtection="0"/>
    <xf numFmtId="0" fontId="72" fillId="0" borderId="0" applyFont="0" applyFill="0" applyBorder="0" applyAlignment="0" applyProtection="0"/>
    <xf numFmtId="185" fontId="72" fillId="0" borderId="0" applyFont="0" applyFill="0" applyBorder="0" applyAlignment="0" applyProtection="0"/>
    <xf numFmtId="0" fontId="72" fillId="0" borderId="0" applyFont="0" applyFill="0" applyBorder="0" applyAlignment="0" applyProtection="0"/>
    <xf numFmtId="0" fontId="72" fillId="0" borderId="0" applyFont="0" applyFill="0" applyBorder="0" applyAlignment="0" applyProtection="0"/>
    <xf numFmtId="0" fontId="72" fillId="0" borderId="0" applyFont="0" applyFill="0" applyBorder="0" applyAlignment="0" applyProtection="0"/>
    <xf numFmtId="0" fontId="72" fillId="0" borderId="0" applyFont="0" applyFill="0" applyBorder="0" applyAlignment="0" applyProtection="0"/>
    <xf numFmtId="0" fontId="72" fillId="0" borderId="0" applyFont="0" applyFill="0" applyBorder="0" applyAlignment="0" applyProtection="0"/>
    <xf numFmtId="185" fontId="72" fillId="0" borderId="0" applyFont="0" applyFill="0" applyBorder="0" applyAlignment="0" applyProtection="0"/>
    <xf numFmtId="185" fontId="72" fillId="0" borderId="0" applyFont="0" applyFill="0" applyBorder="0" applyAlignment="0" applyProtection="0"/>
    <xf numFmtId="0" fontId="72" fillId="0" borderId="0" applyFont="0" applyFill="0" applyBorder="0" applyAlignment="0" applyProtection="0"/>
    <xf numFmtId="0" fontId="72" fillId="0" borderId="0" applyFont="0" applyFill="0" applyBorder="0" applyAlignment="0" applyProtection="0"/>
    <xf numFmtId="0" fontId="72" fillId="0" borderId="0" applyFont="0" applyFill="0" applyBorder="0" applyAlignment="0" applyProtection="0"/>
    <xf numFmtId="185" fontId="72" fillId="0" borderId="0" applyFont="0" applyFill="0" applyBorder="0" applyAlignment="0" applyProtection="0"/>
    <xf numFmtId="0" fontId="72" fillId="0" borderId="0" applyFont="0" applyFill="0" applyBorder="0" applyAlignment="0" applyProtection="0"/>
    <xf numFmtId="0" fontId="72" fillId="0" borderId="0" applyFont="0" applyFill="0" applyBorder="0" applyAlignment="0" applyProtection="0"/>
    <xf numFmtId="0" fontId="72" fillId="0" borderId="0" applyFont="0" applyFill="0" applyBorder="0" applyAlignment="0" applyProtection="0"/>
    <xf numFmtId="185" fontId="72" fillId="0" borderId="0" applyFont="0" applyFill="0" applyBorder="0" applyAlignment="0" applyProtection="0"/>
    <xf numFmtId="185" fontId="72" fillId="0" borderId="0" applyFont="0" applyFill="0" applyBorder="0" applyAlignment="0" applyProtection="0"/>
    <xf numFmtId="0" fontId="72" fillId="0" borderId="0" applyFont="0" applyFill="0" applyBorder="0" applyAlignment="0" applyProtection="0"/>
    <xf numFmtId="0" fontId="72" fillId="0" borderId="0" applyFont="0" applyFill="0" applyBorder="0" applyAlignment="0" applyProtection="0"/>
    <xf numFmtId="0" fontId="72" fillId="0" borderId="0" applyFont="0" applyFill="0" applyBorder="0" applyAlignment="0" applyProtection="0"/>
    <xf numFmtId="0" fontId="72" fillId="0" borderId="0" applyFont="0" applyFill="0" applyBorder="0" applyAlignment="0" applyProtection="0"/>
    <xf numFmtId="185" fontId="72" fillId="0" borderId="0" applyFont="0" applyFill="0" applyBorder="0" applyAlignment="0" applyProtection="0"/>
    <xf numFmtId="0" fontId="72" fillId="0" borderId="0" applyFont="0" applyFill="0" applyBorder="0" applyAlignment="0" applyProtection="0"/>
    <xf numFmtId="185" fontId="72" fillId="0" borderId="0" applyFont="0" applyFill="0" applyBorder="0" applyAlignment="0" applyProtection="0"/>
    <xf numFmtId="185" fontId="72" fillId="0" borderId="0" applyFont="0" applyFill="0" applyBorder="0" applyAlignment="0" applyProtection="0"/>
    <xf numFmtId="224" fontId="75" fillId="0" borderId="0" applyFont="0" applyFill="0" applyBorder="0" applyAlignment="0" applyProtection="0"/>
    <xf numFmtId="210" fontId="75" fillId="0" borderId="0" applyFont="0" applyFill="0" applyBorder="0" applyAlignment="0" applyProtection="0"/>
    <xf numFmtId="201" fontId="38" fillId="0" borderId="0" applyFont="0" applyFill="0" applyBorder="0" applyAlignment="0" applyProtection="0"/>
    <xf numFmtId="181" fontId="23" fillId="0" borderId="0" applyFont="0" applyFill="0" applyBorder="0" applyAlignment="0" applyProtection="0"/>
    <xf numFmtId="201" fontId="38" fillId="0" borderId="0" applyFont="0" applyFill="0" applyBorder="0" applyAlignment="0" applyProtection="0"/>
    <xf numFmtId="181" fontId="23" fillId="0" borderId="0" applyFont="0" applyFill="0" applyBorder="0" applyAlignment="0" applyProtection="0"/>
    <xf numFmtId="185" fontId="72" fillId="0" borderId="0" applyFont="0" applyFill="0" applyBorder="0" applyAlignment="0" applyProtection="0"/>
    <xf numFmtId="185" fontId="72" fillId="0" borderId="0" applyFont="0" applyFill="0" applyBorder="0" applyAlignment="0" applyProtection="0"/>
    <xf numFmtId="193" fontId="23" fillId="0" borderId="0" applyFont="0" applyFill="0" applyBorder="0" applyAlignment="0" applyProtection="0"/>
    <xf numFmtId="0" fontId="23" fillId="0" borderId="0" applyFont="0" applyFill="0" applyBorder="0" applyAlignment="0" applyProtection="0"/>
    <xf numFmtId="181" fontId="23" fillId="0" borderId="0" applyFont="0" applyFill="0" applyBorder="0" applyAlignment="0" applyProtection="0"/>
    <xf numFmtId="0" fontId="23" fillId="0" borderId="0" applyFont="0" applyFill="0" applyBorder="0" applyAlignment="0" applyProtection="0"/>
    <xf numFmtId="181" fontId="23" fillId="0" borderId="0" applyFont="0" applyFill="0" applyBorder="0" applyAlignment="0" applyProtection="0"/>
    <xf numFmtId="181" fontId="23" fillId="0" borderId="0" applyFont="0" applyFill="0" applyBorder="0" applyAlignment="0" applyProtection="0"/>
    <xf numFmtId="0" fontId="23" fillId="0" borderId="0" applyFont="0" applyFill="0" applyBorder="0" applyAlignment="0" applyProtection="0"/>
    <xf numFmtId="181" fontId="23" fillId="0" borderId="0" applyFont="0" applyFill="0" applyBorder="0" applyAlignment="0" applyProtection="0"/>
    <xf numFmtId="181" fontId="23" fillId="0" borderId="0" applyFont="0" applyFill="0" applyBorder="0" applyAlignment="0" applyProtection="0"/>
    <xf numFmtId="0" fontId="23" fillId="0" borderId="0" applyFont="0" applyFill="0" applyBorder="0" applyAlignment="0" applyProtection="0"/>
    <xf numFmtId="0" fontId="23" fillId="0" borderId="0" applyFont="0" applyFill="0" applyBorder="0" applyAlignment="0" applyProtection="0"/>
    <xf numFmtId="181" fontId="23" fillId="0" borderId="0" applyFont="0" applyFill="0" applyBorder="0" applyAlignment="0" applyProtection="0"/>
    <xf numFmtId="181" fontId="23" fillId="0" borderId="0" applyFont="0" applyFill="0" applyBorder="0" applyAlignment="0" applyProtection="0"/>
    <xf numFmtId="0" fontId="23" fillId="0" borderId="0" applyFont="0" applyFill="0" applyBorder="0" applyAlignment="0" applyProtection="0"/>
    <xf numFmtId="0" fontId="23" fillId="0" borderId="0" applyFont="0" applyFill="0" applyBorder="0" applyAlignment="0" applyProtection="0"/>
    <xf numFmtId="0" fontId="23" fillId="0" borderId="0" applyFont="0" applyFill="0" applyBorder="0" applyAlignment="0" applyProtection="0"/>
    <xf numFmtId="0" fontId="23" fillId="0" borderId="0" applyFont="0" applyFill="0" applyBorder="0" applyAlignment="0" applyProtection="0"/>
    <xf numFmtId="0" fontId="23" fillId="0" borderId="0" applyFont="0" applyFill="0" applyBorder="0" applyAlignment="0" applyProtection="0"/>
    <xf numFmtId="181" fontId="23" fillId="0" borderId="0" applyFont="0" applyFill="0" applyBorder="0" applyAlignment="0" applyProtection="0"/>
    <xf numFmtId="181" fontId="23" fillId="0" borderId="0" applyFont="0" applyFill="0" applyBorder="0" applyAlignment="0" applyProtection="0"/>
    <xf numFmtId="185" fontId="72" fillId="0" borderId="0" applyFont="0" applyFill="0" applyBorder="0" applyAlignment="0" applyProtection="0"/>
    <xf numFmtId="182" fontId="76" fillId="0" borderId="0" applyFont="0" applyFill="0" applyBorder="0" applyAlignment="0" applyProtection="0"/>
    <xf numFmtId="225" fontId="76" fillId="0" borderId="0" applyFont="0" applyFill="0" applyBorder="0" applyAlignment="0" applyProtection="0"/>
    <xf numFmtId="226" fontId="76" fillId="0" borderId="0" applyFont="0" applyFill="0" applyBorder="0" applyAlignment="0" applyProtection="0"/>
    <xf numFmtId="225" fontId="76" fillId="0" borderId="0" applyFont="0" applyFill="0" applyBorder="0" applyAlignment="0" applyProtection="0"/>
    <xf numFmtId="226" fontId="76" fillId="0" borderId="0" applyFont="0" applyFill="0" applyBorder="0" applyAlignment="0" applyProtection="0"/>
    <xf numFmtId="210" fontId="75" fillId="0" borderId="0" applyFont="0" applyFill="0" applyBorder="0" applyAlignment="0" applyProtection="0"/>
    <xf numFmtId="181" fontId="23" fillId="0" borderId="0" applyFont="0" applyFill="0" applyBorder="0" applyAlignment="0" applyProtection="0"/>
    <xf numFmtId="203" fontId="23" fillId="0" borderId="0" applyFont="0" applyFill="0" applyBorder="0" applyAlignment="0" applyProtection="0"/>
    <xf numFmtId="0" fontId="23" fillId="0" borderId="0" applyFont="0" applyFill="0" applyBorder="0" applyAlignment="0" applyProtection="0"/>
    <xf numFmtId="0" fontId="23" fillId="0" borderId="0" applyFont="0" applyFill="0" applyBorder="0" applyAlignment="0" applyProtection="0"/>
    <xf numFmtId="0" fontId="23" fillId="0" borderId="0" applyFont="0" applyFill="0" applyBorder="0" applyAlignment="0" applyProtection="0"/>
    <xf numFmtId="0" fontId="23" fillId="0" borderId="0" applyFont="0" applyFill="0" applyBorder="0" applyAlignment="0" applyProtection="0"/>
    <xf numFmtId="0" fontId="23" fillId="0" borderId="0" applyFont="0" applyFill="0" applyBorder="0" applyAlignment="0" applyProtection="0"/>
    <xf numFmtId="0" fontId="23" fillId="0" borderId="0" applyFont="0" applyFill="0" applyBorder="0" applyAlignment="0" applyProtection="0"/>
    <xf numFmtId="0" fontId="23" fillId="0" borderId="0" applyFont="0" applyFill="0" applyBorder="0" applyAlignment="0" applyProtection="0"/>
    <xf numFmtId="0" fontId="23" fillId="0" borderId="0" applyFont="0" applyFill="0" applyBorder="0" applyAlignment="0" applyProtection="0"/>
    <xf numFmtId="0" fontId="23" fillId="0" borderId="0" applyFont="0" applyFill="0" applyBorder="0" applyAlignment="0" applyProtection="0"/>
    <xf numFmtId="0" fontId="23" fillId="0" borderId="0" applyFont="0" applyFill="0" applyBorder="0" applyAlignment="0" applyProtection="0"/>
    <xf numFmtId="0" fontId="23" fillId="0" borderId="0" applyFont="0" applyFill="0" applyBorder="0" applyAlignment="0" applyProtection="0"/>
    <xf numFmtId="203" fontId="23" fillId="0" borderId="0" applyFont="0" applyFill="0" applyBorder="0" applyAlignment="0" applyProtection="0"/>
    <xf numFmtId="203" fontId="23" fillId="0" borderId="0" applyFont="0" applyFill="0" applyBorder="0" applyAlignment="0" applyProtection="0"/>
    <xf numFmtId="0" fontId="23" fillId="0" borderId="0" applyFont="0" applyFill="0" applyBorder="0" applyAlignment="0" applyProtection="0"/>
    <xf numFmtId="0" fontId="23" fillId="0" borderId="0" applyFont="0" applyFill="0" applyBorder="0" applyAlignment="0" applyProtection="0"/>
    <xf numFmtId="0" fontId="23" fillId="0" borderId="0" applyFont="0" applyFill="0" applyBorder="0" applyAlignment="0" applyProtection="0"/>
    <xf numFmtId="0" fontId="23" fillId="0" borderId="0" applyFont="0" applyFill="0" applyBorder="0" applyAlignment="0" applyProtection="0"/>
    <xf numFmtId="0" fontId="23" fillId="0" borderId="0" applyFont="0" applyFill="0" applyBorder="0" applyAlignment="0" applyProtection="0"/>
    <xf numFmtId="0" fontId="23" fillId="0" borderId="0" applyFont="0" applyFill="0" applyBorder="0" applyAlignment="0" applyProtection="0"/>
    <xf numFmtId="0" fontId="23" fillId="0" borderId="0" applyFont="0" applyFill="0" applyBorder="0" applyAlignment="0" applyProtection="0"/>
    <xf numFmtId="0" fontId="23" fillId="0" borderId="0" applyFont="0" applyFill="0" applyBorder="0" applyAlignment="0" applyProtection="0"/>
    <xf numFmtId="0" fontId="23" fillId="0" borderId="0" applyFont="0" applyFill="0" applyBorder="0" applyAlignment="0" applyProtection="0"/>
    <xf numFmtId="203" fontId="23" fillId="0" borderId="0" applyFont="0" applyFill="0" applyBorder="0" applyAlignment="0" applyProtection="0"/>
    <xf numFmtId="0" fontId="23" fillId="0" borderId="0" applyFont="0" applyFill="0" applyBorder="0" applyAlignment="0" applyProtection="0"/>
    <xf numFmtId="0" fontId="23" fillId="0" borderId="0" applyFont="0" applyFill="0" applyBorder="0" applyAlignment="0" applyProtection="0"/>
    <xf numFmtId="0" fontId="23" fillId="0" borderId="0" applyFont="0" applyFill="0" applyBorder="0" applyAlignment="0" applyProtection="0"/>
    <xf numFmtId="0" fontId="23" fillId="0" borderId="0" applyFont="0" applyFill="0" applyBorder="0" applyAlignment="0" applyProtection="0"/>
    <xf numFmtId="0" fontId="23" fillId="0" borderId="0" applyFont="0" applyFill="0" applyBorder="0" applyAlignment="0" applyProtection="0"/>
    <xf numFmtId="0" fontId="23" fillId="0" borderId="0" applyFont="0" applyFill="0" applyBorder="0" applyAlignment="0" applyProtection="0"/>
    <xf numFmtId="0" fontId="23" fillId="0" borderId="0" applyFont="0" applyFill="0" applyBorder="0" applyAlignment="0" applyProtection="0"/>
    <xf numFmtId="0" fontId="23" fillId="0" borderId="0" applyFont="0" applyFill="0" applyBorder="0" applyAlignment="0" applyProtection="0"/>
    <xf numFmtId="0" fontId="23" fillId="0" borderId="0" applyFont="0" applyFill="0" applyBorder="0" applyAlignment="0" applyProtection="0"/>
    <xf numFmtId="0" fontId="23" fillId="0" borderId="0" applyFont="0" applyFill="0" applyBorder="0" applyAlignment="0" applyProtection="0"/>
    <xf numFmtId="0" fontId="23" fillId="0" borderId="0" applyFont="0" applyFill="0" applyBorder="0" applyAlignment="0" applyProtection="0"/>
    <xf numFmtId="203" fontId="23" fillId="0" borderId="0" applyFont="0" applyFill="0" applyBorder="0" applyAlignment="0" applyProtection="0"/>
    <xf numFmtId="203" fontId="23" fillId="0" borderId="0" applyFont="0" applyFill="0" applyBorder="0" applyAlignment="0" applyProtection="0"/>
    <xf numFmtId="0" fontId="23" fillId="0" borderId="0" applyFont="0" applyFill="0" applyBorder="0" applyAlignment="0" applyProtection="0"/>
    <xf numFmtId="0" fontId="23" fillId="0" borderId="0" applyFont="0" applyFill="0" applyBorder="0" applyAlignment="0" applyProtection="0"/>
    <xf numFmtId="0" fontId="23" fillId="0" borderId="0" applyFont="0" applyFill="0" applyBorder="0" applyAlignment="0" applyProtection="0"/>
    <xf numFmtId="0" fontId="23" fillId="0" borderId="0" applyFont="0" applyFill="0" applyBorder="0" applyAlignment="0" applyProtection="0"/>
    <xf numFmtId="0" fontId="23" fillId="0" borderId="0" applyFont="0" applyFill="0" applyBorder="0" applyAlignment="0" applyProtection="0"/>
    <xf numFmtId="0" fontId="23" fillId="0" borderId="0" applyFont="0" applyFill="0" applyBorder="0" applyAlignment="0" applyProtection="0"/>
    <xf numFmtId="0" fontId="23" fillId="0" borderId="0" applyFont="0" applyFill="0" applyBorder="0" applyAlignment="0" applyProtection="0"/>
    <xf numFmtId="0" fontId="23" fillId="0" borderId="0" applyFont="0" applyFill="0" applyBorder="0" applyAlignment="0" applyProtection="0"/>
    <xf numFmtId="0" fontId="23" fillId="0" borderId="0" applyFont="0" applyFill="0" applyBorder="0" applyAlignment="0" applyProtection="0"/>
    <xf numFmtId="211" fontId="38" fillId="0" borderId="0" applyFont="0" applyFill="0" applyBorder="0" applyAlignment="0" applyProtection="0"/>
    <xf numFmtId="0" fontId="72" fillId="0" borderId="0" applyFont="0" applyFill="0" applyBorder="0" applyAlignment="0" applyProtection="0"/>
    <xf numFmtId="0" fontId="72" fillId="0" borderId="0" applyFont="0" applyFill="0" applyBorder="0" applyAlignment="0" applyProtection="0"/>
    <xf numFmtId="185" fontId="72" fillId="0" borderId="0" applyFont="0" applyFill="0" applyBorder="0" applyAlignment="0" applyProtection="0"/>
    <xf numFmtId="0" fontId="72" fillId="0" borderId="0" applyFont="0" applyFill="0" applyBorder="0" applyAlignment="0" applyProtection="0"/>
    <xf numFmtId="0" fontId="72" fillId="0" borderId="0" applyFont="0" applyFill="0" applyBorder="0" applyAlignment="0" applyProtection="0"/>
    <xf numFmtId="185" fontId="72" fillId="0" borderId="0" applyFont="0" applyFill="0" applyBorder="0" applyAlignment="0" applyProtection="0"/>
    <xf numFmtId="185" fontId="72" fillId="0" borderId="0" applyFont="0" applyFill="0" applyBorder="0" applyAlignment="0" applyProtection="0"/>
    <xf numFmtId="0" fontId="72" fillId="0" borderId="0" applyFont="0" applyFill="0" applyBorder="0" applyAlignment="0" applyProtection="0"/>
    <xf numFmtId="0" fontId="72" fillId="0" borderId="0" applyFont="0" applyFill="0" applyBorder="0" applyAlignment="0" applyProtection="0"/>
    <xf numFmtId="0" fontId="72" fillId="0" borderId="0" applyFont="0" applyFill="0" applyBorder="0" applyAlignment="0" applyProtection="0"/>
    <xf numFmtId="0" fontId="72" fillId="0" borderId="0" applyFont="0" applyFill="0" applyBorder="0" applyAlignment="0" applyProtection="0"/>
    <xf numFmtId="0" fontId="72" fillId="0" borderId="0" applyFont="0" applyFill="0" applyBorder="0" applyAlignment="0" applyProtection="0"/>
    <xf numFmtId="0" fontId="72" fillId="0" borderId="0" applyFont="0" applyFill="0" applyBorder="0" applyAlignment="0" applyProtection="0"/>
    <xf numFmtId="0" fontId="72" fillId="0" borderId="0" applyFont="0" applyFill="0" applyBorder="0" applyAlignment="0" applyProtection="0"/>
    <xf numFmtId="0" fontId="72" fillId="0" borderId="0" applyFont="0" applyFill="0" applyBorder="0" applyAlignment="0" applyProtection="0"/>
    <xf numFmtId="0" fontId="72" fillId="0" borderId="0" applyFont="0" applyFill="0" applyBorder="0" applyAlignment="0" applyProtection="0"/>
    <xf numFmtId="185" fontId="72" fillId="0" borderId="0" applyFont="0" applyFill="0" applyBorder="0" applyAlignment="0" applyProtection="0"/>
    <xf numFmtId="185" fontId="72" fillId="0" borderId="0" applyFont="0" applyFill="0" applyBorder="0" applyAlignment="0" applyProtection="0"/>
    <xf numFmtId="185" fontId="72" fillId="0" borderId="0" applyFont="0" applyFill="0" applyBorder="0" applyAlignment="0" applyProtection="0"/>
    <xf numFmtId="181" fontId="23" fillId="0" borderId="0" applyFont="0" applyFill="0" applyBorder="0" applyAlignment="0" applyProtection="0"/>
    <xf numFmtId="199" fontId="23" fillId="0" borderId="0" applyFont="0" applyFill="0" applyBorder="0" applyAlignment="0" applyProtection="0"/>
    <xf numFmtId="199" fontId="23" fillId="0" borderId="0" applyFont="0" applyFill="0" applyBorder="0" applyAlignment="0" applyProtection="0"/>
    <xf numFmtId="186" fontId="45" fillId="0" borderId="0" applyFont="0" applyFill="0" applyBorder="0" applyAlignment="0" applyProtection="0"/>
    <xf numFmtId="0" fontId="23" fillId="0" borderId="0" applyFont="0" applyFill="0" applyBorder="0" applyAlignment="0" applyProtection="0"/>
    <xf numFmtId="181" fontId="23" fillId="0" borderId="0" applyFont="0" applyFill="0" applyBorder="0" applyAlignment="0" applyProtection="0"/>
    <xf numFmtId="0" fontId="23" fillId="0" borderId="0" applyFont="0" applyFill="0" applyBorder="0" applyAlignment="0" applyProtection="0"/>
    <xf numFmtId="181" fontId="23" fillId="0" borderId="0" applyFont="0" applyFill="0" applyBorder="0" applyAlignment="0" applyProtection="0"/>
    <xf numFmtId="181" fontId="23" fillId="0" borderId="0" applyFont="0" applyFill="0" applyBorder="0" applyAlignment="0" applyProtection="0"/>
    <xf numFmtId="0" fontId="23" fillId="0" borderId="0" applyFont="0" applyFill="0" applyBorder="0" applyAlignment="0" applyProtection="0"/>
    <xf numFmtId="181" fontId="23" fillId="0" borderId="0" applyFont="0" applyFill="0" applyBorder="0" applyAlignment="0" applyProtection="0"/>
    <xf numFmtId="181" fontId="23" fillId="0" borderId="0" applyFont="0" applyFill="0" applyBorder="0" applyAlignment="0" applyProtection="0"/>
    <xf numFmtId="0" fontId="23" fillId="0" borderId="0" applyFont="0" applyFill="0" applyBorder="0" applyAlignment="0" applyProtection="0"/>
    <xf numFmtId="0" fontId="23" fillId="0" borderId="0" applyFont="0" applyFill="0" applyBorder="0" applyAlignment="0" applyProtection="0"/>
    <xf numFmtId="181" fontId="23" fillId="0" borderId="0" applyFont="0" applyFill="0" applyBorder="0" applyAlignment="0" applyProtection="0"/>
    <xf numFmtId="181" fontId="23" fillId="0" borderId="0" applyFont="0" applyFill="0" applyBorder="0" applyAlignment="0" applyProtection="0"/>
    <xf numFmtId="0" fontId="23" fillId="0" borderId="0" applyFont="0" applyFill="0" applyBorder="0" applyAlignment="0" applyProtection="0"/>
    <xf numFmtId="181" fontId="23" fillId="0" borderId="0" applyFont="0" applyFill="0" applyBorder="0" applyAlignment="0" applyProtection="0"/>
    <xf numFmtId="0" fontId="23" fillId="0" borderId="0" applyFont="0" applyFill="0" applyBorder="0" applyAlignment="0" applyProtection="0"/>
    <xf numFmtId="181" fontId="23" fillId="0" borderId="0" applyFont="0" applyFill="0" applyBorder="0" applyAlignment="0" applyProtection="0"/>
    <xf numFmtId="181" fontId="23" fillId="0" borderId="0" applyFont="0" applyFill="0" applyBorder="0" applyAlignment="0" applyProtection="0"/>
    <xf numFmtId="181" fontId="23" fillId="0" borderId="0" applyFont="0" applyFill="0" applyBorder="0" applyAlignment="0" applyProtection="0"/>
    <xf numFmtId="0" fontId="23" fillId="0" borderId="0" applyFont="0" applyFill="0" applyBorder="0" applyAlignment="0" applyProtection="0"/>
    <xf numFmtId="0" fontId="23" fillId="0" borderId="0" applyFont="0" applyFill="0" applyBorder="0" applyAlignment="0" applyProtection="0"/>
    <xf numFmtId="0" fontId="23" fillId="0" borderId="0" applyFont="0" applyFill="0" applyBorder="0" applyAlignment="0" applyProtection="0"/>
    <xf numFmtId="0" fontId="23" fillId="0" borderId="0" applyFont="0" applyFill="0" applyBorder="0" applyAlignment="0" applyProtection="0"/>
    <xf numFmtId="181" fontId="23" fillId="0" borderId="0" applyFont="0" applyFill="0" applyBorder="0" applyAlignment="0" applyProtection="0"/>
    <xf numFmtId="181" fontId="23" fillId="0" borderId="0" applyFont="0" applyFill="0" applyBorder="0" applyAlignment="0" applyProtection="0"/>
    <xf numFmtId="181" fontId="23" fillId="0" borderId="0" applyFont="0" applyFill="0" applyBorder="0" applyAlignment="0" applyProtection="0"/>
    <xf numFmtId="0" fontId="23" fillId="0" borderId="0" applyFont="0" applyFill="0" applyBorder="0" applyAlignment="0" applyProtection="0"/>
    <xf numFmtId="181" fontId="23" fillId="0" borderId="0" applyFont="0" applyFill="0" applyBorder="0" applyAlignment="0" applyProtection="0"/>
    <xf numFmtId="0" fontId="23" fillId="0" borderId="0" applyFont="0" applyFill="0" applyBorder="0" applyAlignment="0" applyProtection="0"/>
    <xf numFmtId="181" fontId="23" fillId="0" borderId="0" applyFont="0" applyFill="0" applyBorder="0" applyAlignment="0" applyProtection="0"/>
    <xf numFmtId="181" fontId="23" fillId="0" borderId="0" applyFont="0" applyFill="0" applyBorder="0" applyAlignment="0" applyProtection="0"/>
    <xf numFmtId="0" fontId="23" fillId="0" borderId="0" applyFont="0" applyFill="0" applyBorder="0" applyAlignment="0" applyProtection="0"/>
    <xf numFmtId="181" fontId="23" fillId="0" borderId="0" applyFont="0" applyFill="0" applyBorder="0" applyAlignment="0" applyProtection="0"/>
    <xf numFmtId="181" fontId="23" fillId="0" borderId="0" applyFont="0" applyFill="0" applyBorder="0" applyAlignment="0" applyProtection="0"/>
    <xf numFmtId="0" fontId="23" fillId="0" borderId="0" applyFont="0" applyFill="0" applyBorder="0" applyAlignment="0" applyProtection="0"/>
    <xf numFmtId="0" fontId="23" fillId="0" borderId="0" applyFont="0" applyFill="0" applyBorder="0" applyAlignment="0" applyProtection="0"/>
    <xf numFmtId="181" fontId="23" fillId="0" borderId="0" applyFont="0" applyFill="0" applyBorder="0" applyAlignment="0" applyProtection="0"/>
    <xf numFmtId="181" fontId="23" fillId="0" borderId="0" applyFont="0" applyFill="0" applyBorder="0" applyAlignment="0" applyProtection="0"/>
    <xf numFmtId="0" fontId="23" fillId="0" borderId="0" applyFont="0" applyFill="0" applyBorder="0" applyAlignment="0" applyProtection="0"/>
    <xf numFmtId="181" fontId="23" fillId="0" borderId="0" applyFont="0" applyFill="0" applyBorder="0" applyAlignment="0" applyProtection="0"/>
    <xf numFmtId="0" fontId="23" fillId="0" borderId="0" applyFont="0" applyFill="0" applyBorder="0" applyAlignment="0" applyProtection="0"/>
    <xf numFmtId="181" fontId="23" fillId="0" borderId="0" applyFont="0" applyFill="0" applyBorder="0" applyAlignment="0" applyProtection="0"/>
    <xf numFmtId="181" fontId="23" fillId="0" borderId="0" applyFont="0" applyFill="0" applyBorder="0" applyAlignment="0" applyProtection="0"/>
    <xf numFmtId="181" fontId="23" fillId="0" borderId="0" applyFont="0" applyFill="0" applyBorder="0" applyAlignment="0" applyProtection="0"/>
    <xf numFmtId="0" fontId="23" fillId="0" borderId="0" applyFont="0" applyFill="0" applyBorder="0" applyAlignment="0" applyProtection="0"/>
    <xf numFmtId="0" fontId="23" fillId="0" borderId="0" applyFont="0" applyFill="0" applyBorder="0" applyAlignment="0" applyProtection="0"/>
    <xf numFmtId="0" fontId="23" fillId="0" borderId="0" applyFont="0" applyFill="0" applyBorder="0" applyAlignment="0" applyProtection="0"/>
    <xf numFmtId="0" fontId="23" fillId="0" borderId="0" applyFont="0" applyFill="0" applyBorder="0" applyAlignment="0" applyProtection="0"/>
    <xf numFmtId="181" fontId="23" fillId="0" borderId="0" applyFont="0" applyFill="0" applyBorder="0" applyAlignment="0" applyProtection="0"/>
    <xf numFmtId="181" fontId="23" fillId="0" borderId="0" applyFont="0" applyFill="0" applyBorder="0" applyAlignment="0" applyProtection="0"/>
    <xf numFmtId="0" fontId="23" fillId="0" borderId="0" applyFont="0" applyFill="0" applyBorder="0" applyAlignment="0" applyProtection="0"/>
    <xf numFmtId="181" fontId="23" fillId="0" borderId="0" applyFont="0" applyFill="0" applyBorder="0" applyAlignment="0" applyProtection="0"/>
    <xf numFmtId="0" fontId="23" fillId="0" borderId="0" applyFont="0" applyFill="0" applyBorder="0" applyAlignment="0" applyProtection="0"/>
    <xf numFmtId="181" fontId="23" fillId="0" borderId="0" applyFont="0" applyFill="0" applyBorder="0" applyAlignment="0" applyProtection="0"/>
    <xf numFmtId="181" fontId="23" fillId="0" borderId="0" applyFont="0" applyFill="0" applyBorder="0" applyAlignment="0" applyProtection="0"/>
    <xf numFmtId="0" fontId="23" fillId="0" borderId="0" applyFont="0" applyFill="0" applyBorder="0" applyAlignment="0" applyProtection="0"/>
    <xf numFmtId="181" fontId="23" fillId="0" borderId="0" applyFont="0" applyFill="0" applyBorder="0" applyAlignment="0" applyProtection="0"/>
    <xf numFmtId="181" fontId="23" fillId="0" borderId="0" applyFont="0" applyFill="0" applyBorder="0" applyAlignment="0" applyProtection="0"/>
    <xf numFmtId="0" fontId="23" fillId="0" borderId="0" applyFont="0" applyFill="0" applyBorder="0" applyAlignment="0" applyProtection="0"/>
    <xf numFmtId="0" fontId="23" fillId="0" borderId="0" applyFont="0" applyFill="0" applyBorder="0" applyAlignment="0" applyProtection="0"/>
    <xf numFmtId="181" fontId="23" fillId="0" borderId="0" applyFont="0" applyFill="0" applyBorder="0" applyAlignment="0" applyProtection="0"/>
    <xf numFmtId="181" fontId="23" fillId="0" borderId="0" applyFont="0" applyFill="0" applyBorder="0" applyAlignment="0" applyProtection="0"/>
    <xf numFmtId="0" fontId="23" fillId="0" borderId="0" applyFont="0" applyFill="0" applyBorder="0" applyAlignment="0" applyProtection="0"/>
    <xf numFmtId="0" fontId="23" fillId="0" borderId="0" applyFont="0" applyFill="0" applyBorder="0" applyAlignment="0" applyProtection="0"/>
    <xf numFmtId="0" fontId="23" fillId="0" borderId="0" applyFont="0" applyFill="0" applyBorder="0" applyAlignment="0" applyProtection="0"/>
    <xf numFmtId="0" fontId="23" fillId="0" borderId="0" applyFont="0" applyFill="0" applyBorder="0" applyAlignment="0" applyProtection="0"/>
    <xf numFmtId="0" fontId="23" fillId="0" borderId="0" applyFont="0" applyFill="0" applyBorder="0" applyAlignment="0" applyProtection="0"/>
    <xf numFmtId="181" fontId="23" fillId="0" borderId="0" applyFont="0" applyFill="0" applyBorder="0" applyAlignment="0" applyProtection="0"/>
    <xf numFmtId="181" fontId="23" fillId="0" borderId="0" applyFont="0" applyFill="0" applyBorder="0" applyAlignment="0" applyProtection="0"/>
    <xf numFmtId="0" fontId="72" fillId="0" borderId="0" applyFont="0" applyFill="0" applyBorder="0" applyAlignment="0" applyProtection="0"/>
    <xf numFmtId="186" fontId="45" fillId="0" borderId="0" applyFont="0" applyFill="0" applyBorder="0" applyAlignment="0" applyProtection="0"/>
    <xf numFmtId="186" fontId="45" fillId="0" borderId="0" applyFont="0" applyFill="0" applyBorder="0" applyAlignment="0" applyProtection="0"/>
    <xf numFmtId="206" fontId="38" fillId="0" borderId="0" applyFont="0" applyFill="0" applyBorder="0" applyAlignment="0" applyProtection="0"/>
    <xf numFmtId="206" fontId="38" fillId="0" borderId="0" applyFont="0" applyFill="0" applyBorder="0" applyAlignment="0" applyProtection="0"/>
    <xf numFmtId="190" fontId="23" fillId="0" borderId="0" applyFont="0" applyFill="0" applyBorder="0" applyAlignment="0" applyProtection="0"/>
    <xf numFmtId="190" fontId="76" fillId="0" borderId="0" applyFont="0" applyFill="0" applyBorder="0" applyAlignment="0" applyProtection="0"/>
    <xf numFmtId="185" fontId="72" fillId="0" borderId="0" applyFont="0" applyFill="0" applyBorder="0" applyAlignment="0" applyProtection="0"/>
    <xf numFmtId="227" fontId="23" fillId="0" borderId="0" applyFont="0" applyFill="0" applyBorder="0" applyAlignment="0" applyProtection="0"/>
    <xf numFmtId="181" fontId="23" fillId="0" borderId="0" applyFont="0" applyFill="0" applyBorder="0" applyAlignment="0" applyProtection="0"/>
    <xf numFmtId="181" fontId="23" fillId="0" borderId="0" applyFont="0" applyFill="0" applyBorder="0" applyAlignment="0" applyProtection="0"/>
    <xf numFmtId="181" fontId="23" fillId="0" borderId="0" applyFont="0" applyFill="0" applyBorder="0" applyAlignment="0" applyProtection="0"/>
    <xf numFmtId="181" fontId="23" fillId="0" borderId="0" applyFont="0" applyFill="0" applyBorder="0" applyAlignment="0" applyProtection="0"/>
    <xf numFmtId="181" fontId="23" fillId="0" borderId="0" applyFont="0" applyFill="0" applyBorder="0" applyAlignment="0" applyProtection="0"/>
    <xf numFmtId="186" fontId="45" fillId="0" borderId="0" applyFont="0" applyFill="0" applyBorder="0" applyAlignment="0" applyProtection="0"/>
    <xf numFmtId="185" fontId="72" fillId="0" borderId="0" applyFont="0" applyFill="0" applyBorder="0" applyAlignment="0" applyProtection="0"/>
    <xf numFmtId="185" fontId="72" fillId="0" borderId="0" applyFont="0" applyFill="0" applyBorder="0" applyAlignment="0" applyProtection="0"/>
    <xf numFmtId="182" fontId="76" fillId="0" borderId="0" applyFont="0" applyFill="0" applyBorder="0" applyAlignment="0" applyProtection="0"/>
    <xf numFmtId="225" fontId="76" fillId="0" borderId="0" applyFont="0" applyFill="0" applyBorder="0" applyAlignment="0" applyProtection="0"/>
    <xf numFmtId="226" fontId="76" fillId="0" borderId="0" applyFont="0" applyFill="0" applyBorder="0" applyAlignment="0" applyProtection="0"/>
    <xf numFmtId="225" fontId="76" fillId="0" borderId="0" applyFont="0" applyFill="0" applyBorder="0" applyAlignment="0" applyProtection="0"/>
    <xf numFmtId="226" fontId="76" fillId="0" borderId="0" applyFont="0" applyFill="0" applyBorder="0" applyAlignment="0" applyProtection="0"/>
    <xf numFmtId="197" fontId="38" fillId="0" borderId="0" applyFont="0" applyFill="0" applyBorder="0" applyAlignment="0" applyProtection="0"/>
    <xf numFmtId="0" fontId="72" fillId="0" borderId="0" applyFont="0" applyFill="0" applyBorder="0" applyAlignment="0" applyProtection="0"/>
    <xf numFmtId="185" fontId="72" fillId="0" borderId="0" applyFont="0" applyFill="0" applyBorder="0" applyAlignment="0" applyProtection="0"/>
    <xf numFmtId="0" fontId="72" fillId="0" borderId="0" applyFont="0" applyFill="0" applyBorder="0" applyAlignment="0" applyProtection="0"/>
    <xf numFmtId="185" fontId="72" fillId="0" borderId="0" applyFont="0" applyFill="0" applyBorder="0" applyAlignment="0" applyProtection="0"/>
    <xf numFmtId="185" fontId="72" fillId="0" borderId="0" applyFont="0" applyFill="0" applyBorder="0" applyAlignment="0" applyProtection="0"/>
    <xf numFmtId="0" fontId="72" fillId="0" borderId="0" applyFont="0" applyFill="0" applyBorder="0" applyAlignment="0" applyProtection="0"/>
    <xf numFmtId="0" fontId="72" fillId="0" borderId="0" applyFont="0" applyFill="0" applyBorder="0" applyAlignment="0" applyProtection="0"/>
    <xf numFmtId="181" fontId="23" fillId="0" borderId="0" applyFont="0" applyFill="0" applyBorder="0" applyAlignment="0" applyProtection="0"/>
    <xf numFmtId="181" fontId="23" fillId="0" borderId="0" applyFont="0" applyFill="0" applyBorder="0" applyAlignment="0" applyProtection="0"/>
    <xf numFmtId="181" fontId="23" fillId="0" borderId="0" applyFont="0" applyFill="0" applyBorder="0" applyAlignment="0" applyProtection="0"/>
    <xf numFmtId="181" fontId="23" fillId="0" borderId="0" applyFont="0" applyFill="0" applyBorder="0" applyAlignment="0" applyProtection="0"/>
    <xf numFmtId="181" fontId="23" fillId="0" borderId="0" applyFont="0" applyFill="0" applyBorder="0" applyAlignment="0" applyProtection="0"/>
    <xf numFmtId="0" fontId="38" fillId="0" borderId="0"/>
    <xf numFmtId="41" fontId="23" fillId="0" borderId="0" applyFont="0" applyFill="0" applyBorder="0" applyAlignment="0" applyProtection="0"/>
    <xf numFmtId="228" fontId="77" fillId="0" borderId="0" applyFont="0" applyFill="0" applyBorder="0" applyAlignment="0" applyProtection="0"/>
    <xf numFmtId="0" fontId="98" fillId="0" borderId="0">
      <alignment vertical="center"/>
    </xf>
    <xf numFmtId="0" fontId="16" fillId="0" borderId="0">
      <alignment vertical="center"/>
    </xf>
    <xf numFmtId="0" fontId="23" fillId="0" borderId="0">
      <alignment vertical="center"/>
    </xf>
    <xf numFmtId="0" fontId="99" fillId="0" borderId="0">
      <alignment vertical="center"/>
    </xf>
    <xf numFmtId="0" fontId="23" fillId="0" borderId="0"/>
    <xf numFmtId="0" fontId="16" fillId="0" borderId="0">
      <alignment vertical="center"/>
    </xf>
    <xf numFmtId="9" fontId="15" fillId="0" borderId="0" applyFont="0" applyFill="0" applyBorder="0" applyAlignment="0" applyProtection="0">
      <alignment vertical="center"/>
    </xf>
    <xf numFmtId="0" fontId="15" fillId="0" borderId="0">
      <alignment vertical="center"/>
    </xf>
    <xf numFmtId="41" fontId="15" fillId="0" borderId="0" applyFont="0" applyFill="0" applyBorder="0" applyAlignment="0" applyProtection="0">
      <alignment vertical="center"/>
    </xf>
    <xf numFmtId="9" fontId="98" fillId="0" borderId="0" applyFont="0" applyFill="0" applyBorder="0" applyAlignment="0" applyProtection="0">
      <alignment vertical="center"/>
    </xf>
    <xf numFmtId="0" fontId="41" fillId="0" borderId="0"/>
    <xf numFmtId="9" fontId="16" fillId="0" borderId="0" applyFont="0" applyFill="0" applyBorder="0" applyAlignment="0" applyProtection="0">
      <alignment vertical="center"/>
    </xf>
    <xf numFmtId="9" fontId="16" fillId="0" borderId="0" applyFont="0" applyFill="0" applyBorder="0" applyAlignment="0" applyProtection="0">
      <alignment vertical="center"/>
    </xf>
    <xf numFmtId="41" fontId="16" fillId="0" borderId="0" applyFont="0" applyFill="0" applyBorder="0" applyAlignment="0" applyProtection="0">
      <alignment vertical="center"/>
    </xf>
    <xf numFmtId="41" fontId="16" fillId="0" borderId="0" applyFont="0" applyFill="0" applyBorder="0" applyAlignment="0" applyProtection="0">
      <alignment vertical="center"/>
    </xf>
    <xf numFmtId="0" fontId="14" fillId="0" borderId="0">
      <alignment vertical="center"/>
    </xf>
    <xf numFmtId="0" fontId="13" fillId="0" borderId="0">
      <alignment vertical="center"/>
    </xf>
    <xf numFmtId="41" fontId="98" fillId="0" borderId="0" applyFont="0" applyFill="0" applyBorder="0" applyAlignment="0" applyProtection="0">
      <alignment vertical="center"/>
    </xf>
    <xf numFmtId="9" fontId="13" fillId="0" borderId="0" applyFont="0" applyFill="0" applyBorder="0" applyAlignment="0" applyProtection="0">
      <alignment vertical="center"/>
    </xf>
    <xf numFmtId="0" fontId="12" fillId="0" borderId="0">
      <alignment vertical="center"/>
    </xf>
    <xf numFmtId="9" fontId="12" fillId="0" borderId="0" applyFont="0" applyFill="0" applyBorder="0" applyAlignment="0" applyProtection="0">
      <alignment vertical="center"/>
    </xf>
    <xf numFmtId="41" fontId="12" fillId="0" borderId="0" applyFont="0" applyFill="0" applyBorder="0" applyAlignment="0" applyProtection="0">
      <alignment vertical="center"/>
    </xf>
    <xf numFmtId="0" fontId="11" fillId="0" borderId="0">
      <alignment vertical="center"/>
    </xf>
    <xf numFmtId="9" fontId="98" fillId="0" borderId="0" applyFont="0" applyFill="0" applyBorder="0" applyAlignment="0" applyProtection="0">
      <alignment vertical="center"/>
    </xf>
    <xf numFmtId="41" fontId="98" fillId="0" borderId="0" applyFont="0" applyFill="0" applyBorder="0" applyAlignment="0" applyProtection="0">
      <alignment vertical="center"/>
    </xf>
    <xf numFmtId="0" fontId="10" fillId="0" borderId="0">
      <alignment vertical="center"/>
    </xf>
    <xf numFmtId="41" fontId="10" fillId="0" borderId="0" applyFont="0" applyFill="0" applyBorder="0" applyAlignment="0" applyProtection="0">
      <alignment vertical="center"/>
    </xf>
    <xf numFmtId="0" fontId="9" fillId="0" borderId="0">
      <alignment vertical="center"/>
    </xf>
    <xf numFmtId="41" fontId="9" fillId="0" borderId="0" applyFont="0" applyFill="0" applyBorder="0" applyAlignment="0" applyProtection="0">
      <alignment vertical="center"/>
    </xf>
    <xf numFmtId="0" fontId="9" fillId="0" borderId="0">
      <alignment vertical="center"/>
    </xf>
    <xf numFmtId="0" fontId="9" fillId="0" borderId="0">
      <alignment vertical="center"/>
    </xf>
    <xf numFmtId="9" fontId="8" fillId="0" borderId="0" applyFont="0" applyFill="0" applyBorder="0" applyAlignment="0" applyProtection="0">
      <alignment vertical="center"/>
    </xf>
    <xf numFmtId="0" fontId="8" fillId="0" borderId="0">
      <alignment vertical="center"/>
    </xf>
    <xf numFmtId="41" fontId="8" fillId="0" borderId="0" applyFont="0" applyFill="0" applyBorder="0" applyAlignment="0" applyProtection="0">
      <alignment vertical="center"/>
    </xf>
    <xf numFmtId="0" fontId="7" fillId="0" borderId="0">
      <alignment vertical="center"/>
    </xf>
    <xf numFmtId="9" fontId="7" fillId="0" borderId="0" applyFont="0" applyFill="0" applyBorder="0" applyAlignment="0" applyProtection="0">
      <alignment vertical="center"/>
    </xf>
    <xf numFmtId="41" fontId="7" fillId="0" borderId="0" applyFont="0" applyFill="0" applyBorder="0" applyAlignment="0" applyProtection="0">
      <alignment vertical="center"/>
    </xf>
    <xf numFmtId="0" fontId="6" fillId="0" borderId="0">
      <alignment vertical="center"/>
    </xf>
    <xf numFmtId="0" fontId="5"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2" fillId="0" borderId="0">
      <alignment vertical="center"/>
    </xf>
    <xf numFmtId="0" fontId="1" fillId="0" borderId="0">
      <alignment vertical="center"/>
    </xf>
  </cellStyleXfs>
  <cellXfs count="2643">
    <xf numFmtId="0" fontId="0" fillId="0" borderId="0" xfId="0">
      <alignment vertical="center"/>
    </xf>
    <xf numFmtId="0" fontId="19"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lignment vertical="center"/>
    </xf>
    <xf numFmtId="0" fontId="28" fillId="0" borderId="0" xfId="0" applyFont="1" applyAlignment="1">
      <alignment vertical="center"/>
    </xf>
    <xf numFmtId="0" fontId="29" fillId="0" borderId="0" xfId="0" applyFont="1" applyAlignment="1">
      <alignment horizontal="center" vertical="center"/>
    </xf>
    <xf numFmtId="0" fontId="29" fillId="0" borderId="0" xfId="0" applyFont="1" applyAlignment="1">
      <alignment vertical="center"/>
    </xf>
    <xf numFmtId="0" fontId="95" fillId="0" borderId="0" xfId="0" applyFont="1">
      <alignment vertical="center"/>
    </xf>
    <xf numFmtId="0" fontId="29" fillId="0" borderId="0" xfId="0" applyFont="1" applyFill="1" applyBorder="1" applyAlignment="1">
      <alignment horizontal="center" vertical="center"/>
    </xf>
    <xf numFmtId="0" fontId="29" fillId="0" borderId="0" xfId="0" applyFont="1" applyAlignment="1">
      <alignment horizontal="left" vertical="center"/>
    </xf>
    <xf numFmtId="0" fontId="28" fillId="0" borderId="0" xfId="0" applyFont="1" applyAlignment="1">
      <alignment horizontal="center" vertical="center"/>
    </xf>
    <xf numFmtId="0" fontId="29" fillId="3" borderId="11" xfId="0" applyFont="1" applyFill="1" applyBorder="1" applyAlignment="1">
      <alignment horizontal="center" vertical="center"/>
    </xf>
    <xf numFmtId="9" fontId="29" fillId="3" borderId="13" xfId="0" applyNumberFormat="1" applyFont="1" applyFill="1" applyBorder="1" applyAlignment="1">
      <alignment horizontal="center" vertical="center"/>
    </xf>
    <xf numFmtId="9" fontId="29" fillId="3" borderId="9" xfId="0" applyNumberFormat="1" applyFont="1" applyFill="1" applyBorder="1" applyAlignment="1">
      <alignment horizontal="center" vertical="center"/>
    </xf>
    <xf numFmtId="0" fontId="96" fillId="0" borderId="0" xfId="0" applyFont="1">
      <alignment vertical="center"/>
    </xf>
    <xf numFmtId="176" fontId="29" fillId="0" borderId="0" xfId="2452" applyNumberFormat="1" applyFont="1">
      <alignment vertical="center"/>
    </xf>
    <xf numFmtId="176" fontId="29" fillId="0" borderId="0" xfId="2452" applyNumberFormat="1" applyFont="1" applyAlignment="1">
      <alignment vertical="center"/>
    </xf>
    <xf numFmtId="176" fontId="29" fillId="3" borderId="15" xfId="0" applyNumberFormat="1" applyFont="1" applyFill="1" applyBorder="1" applyAlignment="1">
      <alignment horizontal="center" vertical="center"/>
    </xf>
    <xf numFmtId="176" fontId="29" fillId="3" borderId="7" xfId="0" applyNumberFormat="1" applyFont="1" applyFill="1" applyBorder="1" applyAlignment="1">
      <alignment horizontal="center" vertical="center"/>
    </xf>
    <xf numFmtId="176" fontId="29" fillId="3" borderId="16" xfId="0" applyNumberFormat="1" applyFont="1" applyFill="1" applyBorder="1" applyAlignment="1">
      <alignment horizontal="center" vertical="center"/>
    </xf>
    <xf numFmtId="176" fontId="29" fillId="4" borderId="17" xfId="2452" applyNumberFormat="1" applyFont="1" applyFill="1" applyBorder="1" applyAlignment="1">
      <alignment horizontal="right" vertical="center"/>
    </xf>
    <xf numFmtId="176" fontId="29" fillId="4" borderId="13" xfId="2452" applyNumberFormat="1" applyFont="1" applyFill="1" applyBorder="1" applyAlignment="1">
      <alignment horizontal="right" vertical="center"/>
    </xf>
    <xf numFmtId="176" fontId="29" fillId="4" borderId="18" xfId="2452" applyNumberFormat="1" applyFont="1" applyFill="1" applyBorder="1" applyAlignment="1">
      <alignment horizontal="right" vertical="center"/>
    </xf>
    <xf numFmtId="176" fontId="29" fillId="4" borderId="19" xfId="2452" applyNumberFormat="1" applyFont="1" applyFill="1" applyBorder="1" applyAlignment="1">
      <alignment horizontal="right" vertical="center"/>
    </xf>
    <xf numFmtId="176" fontId="29" fillId="4" borderId="4" xfId="2452" applyNumberFormat="1" applyFont="1" applyFill="1" applyBorder="1" applyAlignment="1">
      <alignment horizontal="right" vertical="center"/>
    </xf>
    <xf numFmtId="176" fontId="29" fillId="4" borderId="11" xfId="2452" applyNumberFormat="1" applyFont="1" applyFill="1" applyBorder="1" applyAlignment="1">
      <alignment horizontal="right" vertical="center"/>
    </xf>
    <xf numFmtId="176" fontId="30" fillId="0" borderId="0" xfId="2452" applyNumberFormat="1" applyFont="1" applyBorder="1" applyAlignment="1">
      <alignment horizontal="left" vertical="center"/>
    </xf>
    <xf numFmtId="176" fontId="29" fillId="0" borderId="0" xfId="2452" applyNumberFormat="1" applyFont="1" applyBorder="1" applyAlignment="1">
      <alignment horizontal="left" vertical="center"/>
    </xf>
    <xf numFmtId="176" fontId="29" fillId="0" borderId="0" xfId="2452" applyNumberFormat="1" applyFont="1" applyFill="1" applyBorder="1" applyAlignment="1">
      <alignment horizontal="left" vertical="center"/>
    </xf>
    <xf numFmtId="0" fontId="29" fillId="0" borderId="0" xfId="0" applyFont="1" applyFill="1" applyAlignment="1">
      <alignment vertical="center"/>
    </xf>
    <xf numFmtId="0" fontId="30" fillId="0" borderId="0" xfId="0" applyFont="1" applyAlignment="1">
      <alignment vertical="center"/>
    </xf>
    <xf numFmtId="0" fontId="29" fillId="0" borderId="0" xfId="0" applyFont="1" applyFill="1" applyAlignment="1">
      <alignment horizontal="center" vertical="center"/>
    </xf>
    <xf numFmtId="176" fontId="31" fillId="0" borderId="0" xfId="2452" applyNumberFormat="1" applyFont="1">
      <alignment vertical="center"/>
    </xf>
    <xf numFmtId="176" fontId="29" fillId="4" borderId="8" xfId="2452" applyNumberFormat="1" applyFont="1" applyFill="1" applyBorder="1" applyAlignment="1">
      <alignment horizontal="right" vertical="center"/>
    </xf>
    <xf numFmtId="176" fontId="29" fillId="4" borderId="9" xfId="2452" applyNumberFormat="1" applyFont="1" applyFill="1" applyBorder="1" applyAlignment="1">
      <alignment horizontal="right" vertical="center"/>
    </xf>
    <xf numFmtId="0" fontId="33" fillId="0" borderId="0" xfId="0" applyFont="1" applyAlignment="1">
      <alignment horizontal="left" vertical="center"/>
    </xf>
    <xf numFmtId="176" fontId="29" fillId="0" borderId="0" xfId="0" applyNumberFormat="1" applyFont="1" applyAlignment="1">
      <alignment vertical="center"/>
    </xf>
    <xf numFmtId="9" fontId="29" fillId="3" borderId="7" xfId="0" applyNumberFormat="1" applyFont="1" applyFill="1" applyBorder="1" applyAlignment="1">
      <alignment horizontal="center" vertical="center"/>
    </xf>
    <xf numFmtId="9" fontId="29" fillId="3" borderId="4" xfId="0" applyNumberFormat="1" applyFont="1" applyFill="1" applyBorder="1" applyAlignment="1">
      <alignment horizontal="center" vertical="center"/>
    </xf>
    <xf numFmtId="177" fontId="29" fillId="0" borderId="16" xfId="0" applyNumberFormat="1" applyFont="1" applyBorder="1" applyAlignment="1">
      <alignment horizontal="center" vertical="center"/>
    </xf>
    <xf numFmtId="9" fontId="29" fillId="0" borderId="0" xfId="0" applyNumberFormat="1" applyFont="1" applyFill="1" applyBorder="1" applyAlignment="1">
      <alignment horizontal="center" vertical="center"/>
    </xf>
    <xf numFmtId="176" fontId="29" fillId="0" borderId="0" xfId="0" applyNumberFormat="1" applyFont="1" applyFill="1" applyBorder="1" applyAlignment="1">
      <alignment horizontal="center" vertical="center"/>
    </xf>
    <xf numFmtId="0" fontId="28" fillId="0" borderId="0" xfId="0" applyFont="1" applyFill="1" applyAlignment="1">
      <alignment horizontal="left" vertical="center"/>
    </xf>
    <xf numFmtId="0" fontId="31" fillId="0" borderId="0" xfId="2453" applyFont="1" applyFill="1" applyAlignment="1">
      <alignment vertical="center"/>
    </xf>
    <xf numFmtId="0" fontId="36" fillId="0" borderId="0" xfId="2453" applyFont="1" applyAlignment="1">
      <alignment vertical="center"/>
    </xf>
    <xf numFmtId="0" fontId="29" fillId="0" borderId="0" xfId="2453" applyFont="1" applyFill="1" applyAlignment="1">
      <alignment horizontal="center" vertical="center"/>
    </xf>
    <xf numFmtId="0" fontId="33" fillId="0" borderId="0" xfId="2453" applyFont="1" applyFill="1" applyAlignment="1">
      <alignment horizontal="left" vertical="center"/>
    </xf>
    <xf numFmtId="0" fontId="29" fillId="0" borderId="0" xfId="2453" applyFont="1" applyFill="1" applyAlignment="1">
      <alignment vertical="center"/>
    </xf>
    <xf numFmtId="0" fontId="94" fillId="0" borderId="0" xfId="2453" applyFont="1" applyFill="1" applyAlignment="1">
      <alignment vertical="center"/>
    </xf>
    <xf numFmtId="0" fontId="28" fillId="0" borderId="0" xfId="2453" applyFont="1" applyFill="1" applyAlignment="1">
      <alignment vertical="center"/>
    </xf>
    <xf numFmtId="0" fontId="34" fillId="0" borderId="0" xfId="2453" applyFont="1" applyFill="1" applyAlignment="1">
      <alignment vertical="center"/>
    </xf>
    <xf numFmtId="0" fontId="29" fillId="0" borderId="0" xfId="2453" applyFont="1" applyFill="1" applyAlignment="1">
      <alignment horizontal="left" vertical="center"/>
    </xf>
    <xf numFmtId="0" fontId="34" fillId="0" borderId="0" xfId="2453" applyFont="1" applyAlignment="1">
      <alignment vertical="center"/>
    </xf>
    <xf numFmtId="0" fontId="28" fillId="0" borderId="0" xfId="2453" applyFont="1" applyFill="1" applyAlignment="1">
      <alignment horizontal="center" vertical="center"/>
    </xf>
    <xf numFmtId="0" fontId="28" fillId="3" borderId="31" xfId="2453" applyFont="1" applyFill="1" applyBorder="1" applyAlignment="1">
      <alignment horizontal="center" vertical="center"/>
    </xf>
    <xf numFmtId="0" fontId="99" fillId="0" borderId="0" xfId="2453">
      <alignment vertical="center"/>
    </xf>
    <xf numFmtId="176" fontId="29" fillId="0" borderId="0" xfId="2452" applyNumberFormat="1" applyFont="1" applyFill="1">
      <alignment vertical="center"/>
    </xf>
    <xf numFmtId="176" fontId="29" fillId="3" borderId="32" xfId="2452" applyNumberFormat="1" applyFont="1" applyFill="1" applyBorder="1" applyAlignment="1">
      <alignment horizontal="center" vertical="center" wrapText="1"/>
    </xf>
    <xf numFmtId="176" fontId="29" fillId="3" borderId="16" xfId="2452" applyNumberFormat="1" applyFont="1" applyFill="1" applyBorder="1" applyAlignment="1">
      <alignment horizontal="center" vertical="center"/>
    </xf>
    <xf numFmtId="176" fontId="30" fillId="0" borderId="0" xfId="2452" applyNumberFormat="1" applyFont="1" applyFill="1" applyBorder="1" applyAlignment="1">
      <alignment horizontal="left" vertical="center"/>
    </xf>
    <xf numFmtId="176" fontId="29" fillId="0" borderId="0" xfId="2452" applyNumberFormat="1" applyFont="1" applyFill="1" applyBorder="1" applyAlignment="1">
      <alignment horizontal="center" vertical="center"/>
    </xf>
    <xf numFmtId="0" fontId="30" fillId="0" borderId="0" xfId="2453" applyFont="1" applyFill="1" applyAlignment="1">
      <alignment vertical="center"/>
    </xf>
    <xf numFmtId="0" fontId="30" fillId="0" borderId="0" xfId="2453" applyFont="1" applyFill="1" applyAlignment="1">
      <alignment horizontal="center" vertical="center"/>
    </xf>
    <xf numFmtId="0" fontId="31" fillId="0" borderId="0" xfId="2450" applyFont="1" applyAlignment="1">
      <alignment vertical="center"/>
    </xf>
    <xf numFmtId="0" fontId="33" fillId="0" borderId="0" xfId="2450" applyFont="1" applyAlignment="1">
      <alignment horizontal="left" vertical="center"/>
    </xf>
    <xf numFmtId="0" fontId="29" fillId="0" borderId="0" xfId="2450" applyFont="1" applyAlignment="1">
      <alignment horizontal="center" vertical="center"/>
    </xf>
    <xf numFmtId="0" fontId="29" fillId="0" borderId="0" xfId="2450" applyFont="1" applyAlignment="1">
      <alignment vertical="center"/>
    </xf>
    <xf numFmtId="0" fontId="28" fillId="0" borderId="0" xfId="2450" applyFont="1" applyAlignment="1">
      <alignment vertical="center"/>
    </xf>
    <xf numFmtId="9" fontId="29" fillId="0" borderId="7" xfId="2450" applyNumberFormat="1" applyFont="1" applyFill="1" applyBorder="1" applyAlignment="1">
      <alignment horizontal="center" vertical="center"/>
    </xf>
    <xf numFmtId="9" fontId="29" fillId="0" borderId="4" xfId="2450" applyNumberFormat="1" applyFont="1" applyBorder="1" applyAlignment="1">
      <alignment horizontal="center" vertical="center"/>
    </xf>
    <xf numFmtId="0" fontId="27" fillId="0" borderId="0" xfId="2450" applyFont="1">
      <alignment vertical="center"/>
    </xf>
    <xf numFmtId="176" fontId="29" fillId="0" borderId="0" xfId="2452" applyNumberFormat="1" applyFont="1" applyAlignment="1">
      <alignment horizontal="center" vertical="center"/>
    </xf>
    <xf numFmtId="177" fontId="27" fillId="3" borderId="35" xfId="2452" applyNumberFormat="1" applyFont="1" applyFill="1" applyBorder="1" applyAlignment="1">
      <alignment horizontal="center" vertical="center"/>
    </xf>
    <xf numFmtId="177" fontId="27" fillId="3" borderId="37" xfId="2452" applyNumberFormat="1" applyFont="1" applyFill="1" applyBorder="1" applyAlignment="1">
      <alignment horizontal="center" vertical="center"/>
    </xf>
    <xf numFmtId="0" fontId="28" fillId="0" borderId="0" xfId="2453" applyFont="1" applyAlignment="1">
      <alignment vertical="center"/>
    </xf>
    <xf numFmtId="0" fontId="29" fillId="0" borderId="0" xfId="2453" applyFont="1" applyAlignment="1">
      <alignment horizontal="center" vertical="center"/>
    </xf>
    <xf numFmtId="0" fontId="29" fillId="0" borderId="0" xfId="2453" applyFont="1" applyAlignment="1">
      <alignment vertical="center"/>
    </xf>
    <xf numFmtId="0" fontId="30" fillId="0" borderId="0" xfId="2453" applyFont="1" applyAlignment="1">
      <alignment vertical="center"/>
    </xf>
    <xf numFmtId="0" fontId="78" fillId="0" borderId="0" xfId="2455" applyFont="1">
      <alignment vertical="center"/>
    </xf>
    <xf numFmtId="0" fontId="80" fillId="0" borderId="0" xfId="2455" applyFont="1">
      <alignment vertical="center"/>
    </xf>
    <xf numFmtId="0" fontId="81" fillId="0" borderId="0" xfId="2455" applyFont="1">
      <alignment vertical="center"/>
    </xf>
    <xf numFmtId="0" fontId="22" fillId="0" borderId="0" xfId="2455" applyFont="1" applyAlignment="1">
      <alignment vertical="center"/>
    </xf>
    <xf numFmtId="0" fontId="82" fillId="0" borderId="0" xfId="2455" applyFont="1" applyAlignment="1">
      <alignment vertical="center"/>
    </xf>
    <xf numFmtId="0" fontId="78" fillId="0" borderId="0" xfId="2455" applyFont="1" applyFill="1">
      <alignment vertical="center"/>
    </xf>
    <xf numFmtId="0" fontId="29" fillId="3" borderId="38" xfId="0" applyFont="1" applyFill="1" applyBorder="1" applyAlignment="1">
      <alignment vertical="center"/>
    </xf>
    <xf numFmtId="0" fontId="29" fillId="3" borderId="0" xfId="0" applyFont="1" applyFill="1" applyBorder="1" applyAlignment="1">
      <alignment horizontal="center" vertical="center"/>
    </xf>
    <xf numFmtId="0" fontId="29" fillId="3" borderId="0" xfId="0" applyFont="1" applyFill="1" applyBorder="1" applyAlignment="1">
      <alignment vertical="center"/>
    </xf>
    <xf numFmtId="0" fontId="29" fillId="3" borderId="39" xfId="0" applyFont="1" applyFill="1" applyBorder="1" applyAlignment="1">
      <alignment vertical="center"/>
    </xf>
    <xf numFmtId="0" fontId="30" fillId="3" borderId="40" xfId="0" applyFont="1" applyFill="1" applyBorder="1" applyAlignment="1">
      <alignment vertical="center"/>
    </xf>
    <xf numFmtId="0" fontId="29" fillId="3" borderId="5" xfId="0" applyFont="1" applyFill="1" applyBorder="1" applyAlignment="1">
      <alignment horizontal="center" vertical="center"/>
    </xf>
    <xf numFmtId="0" fontId="29" fillId="3" borderId="5" xfId="0" applyFont="1" applyFill="1" applyBorder="1" applyAlignment="1">
      <alignment vertical="center"/>
    </xf>
    <xf numFmtId="0" fontId="29" fillId="3" borderId="32" xfId="0" applyFont="1" applyFill="1" applyBorder="1" applyAlignment="1">
      <alignment vertical="center"/>
    </xf>
    <xf numFmtId="0" fontId="86" fillId="0" borderId="0" xfId="0" applyFont="1" applyAlignment="1">
      <alignment vertical="center"/>
    </xf>
    <xf numFmtId="0" fontId="86" fillId="3" borderId="41" xfId="0" applyFont="1" applyFill="1" applyBorder="1" applyAlignment="1">
      <alignment vertical="center"/>
    </xf>
    <xf numFmtId="0" fontId="86" fillId="3" borderId="42" xfId="0" applyFont="1" applyFill="1" applyBorder="1" applyAlignment="1">
      <alignment horizontal="center" vertical="center"/>
    </xf>
    <xf numFmtId="0" fontId="86" fillId="3" borderId="42" xfId="0" applyFont="1" applyFill="1" applyBorder="1" applyAlignment="1">
      <alignment vertical="center"/>
    </xf>
    <xf numFmtId="0" fontId="86" fillId="3" borderId="43" xfId="0" applyFont="1" applyFill="1" applyBorder="1" applyAlignment="1">
      <alignment vertical="center"/>
    </xf>
    <xf numFmtId="0" fontId="97" fillId="0" borderId="0" xfId="0" applyFont="1">
      <alignment vertical="center"/>
    </xf>
    <xf numFmtId="0" fontId="86" fillId="3" borderId="38" xfId="0" applyFont="1" applyFill="1" applyBorder="1" applyAlignment="1">
      <alignment vertical="center"/>
    </xf>
    <xf numFmtId="0" fontId="86" fillId="3" borderId="0" xfId="0" applyFont="1" applyFill="1" applyBorder="1" applyAlignment="1">
      <alignment horizontal="center" vertical="center"/>
    </xf>
    <xf numFmtId="0" fontId="86" fillId="3" borderId="0" xfId="0" applyFont="1" applyFill="1" applyBorder="1" applyAlignment="1">
      <alignment vertical="center"/>
    </xf>
    <xf numFmtId="0" fontId="86" fillId="3" borderId="39" xfId="0" applyFont="1" applyFill="1" applyBorder="1" applyAlignment="1">
      <alignment vertical="center"/>
    </xf>
    <xf numFmtId="0" fontId="94" fillId="0" borderId="0" xfId="2453" applyFont="1">
      <alignment vertical="center"/>
    </xf>
    <xf numFmtId="176" fontId="29" fillId="3" borderId="24" xfId="2452" applyNumberFormat="1" applyFont="1" applyFill="1" applyBorder="1" applyAlignment="1">
      <alignment horizontal="center" vertical="center" wrapText="1"/>
    </xf>
    <xf numFmtId="176" fontId="29" fillId="4" borderId="44" xfId="2452" applyNumberFormat="1" applyFont="1" applyFill="1" applyBorder="1" applyAlignment="1">
      <alignment horizontal="right" vertical="center"/>
    </xf>
    <xf numFmtId="9" fontId="29" fillId="3" borderId="11" xfId="2452" applyNumberFormat="1" applyFont="1" applyFill="1" applyBorder="1" applyAlignment="1">
      <alignment horizontal="center" vertical="center"/>
    </xf>
    <xf numFmtId="176" fontId="29" fillId="4" borderId="6" xfId="2452" applyNumberFormat="1" applyFont="1" applyFill="1" applyBorder="1" applyAlignment="1">
      <alignment horizontal="right" vertical="center"/>
    </xf>
    <xf numFmtId="9" fontId="29" fillId="3" borderId="19" xfId="2453" applyNumberFormat="1" applyFont="1" applyFill="1" applyBorder="1" applyAlignment="1">
      <alignment horizontal="center" vertical="center"/>
    </xf>
    <xf numFmtId="41" fontId="29" fillId="0" borderId="0" xfId="219" applyFont="1" applyAlignment="1">
      <alignment vertical="center"/>
    </xf>
    <xf numFmtId="9" fontId="29" fillId="0" borderId="7" xfId="2450" applyNumberFormat="1" applyFont="1" applyBorder="1" applyAlignment="1">
      <alignment horizontal="center" vertical="center"/>
    </xf>
    <xf numFmtId="0" fontId="87" fillId="0" borderId="0" xfId="2450" applyFont="1" applyAlignment="1">
      <alignment horizontal="center" vertical="center"/>
    </xf>
    <xf numFmtId="0" fontId="87" fillId="0" borderId="0" xfId="2450" applyFont="1" applyAlignment="1">
      <alignment vertical="center"/>
    </xf>
    <xf numFmtId="176" fontId="29" fillId="0" borderId="0" xfId="2453" applyNumberFormat="1" applyFont="1" applyAlignment="1">
      <alignment vertical="center"/>
    </xf>
    <xf numFmtId="176" fontId="29" fillId="3" borderId="24" xfId="0" applyNumberFormat="1" applyFont="1" applyFill="1" applyBorder="1" applyAlignment="1">
      <alignment horizontal="center" vertical="center"/>
    </xf>
    <xf numFmtId="176" fontId="29" fillId="4" borderId="17" xfId="0" applyNumberFormat="1" applyFont="1" applyFill="1" applyBorder="1" applyAlignment="1">
      <alignment horizontal="right" vertical="center"/>
    </xf>
    <xf numFmtId="176" fontId="29" fillId="4" borderId="13" xfId="0" applyNumberFormat="1" applyFont="1" applyFill="1" applyBorder="1" applyAlignment="1">
      <alignment horizontal="right" vertical="center"/>
    </xf>
    <xf numFmtId="176" fontId="29" fillId="4" borderId="18" xfId="0" applyNumberFormat="1" applyFont="1" applyFill="1" applyBorder="1" applyAlignment="1">
      <alignment horizontal="right" vertical="center"/>
    </xf>
    <xf numFmtId="176" fontId="29" fillId="4" borderId="44" xfId="0" applyNumberFormat="1" applyFont="1" applyFill="1" applyBorder="1" applyAlignment="1">
      <alignment horizontal="right" vertical="center"/>
    </xf>
    <xf numFmtId="9" fontId="27" fillId="3" borderId="19" xfId="0" applyNumberFormat="1" applyFont="1" applyFill="1" applyBorder="1" applyAlignment="1">
      <alignment horizontal="center" vertical="center"/>
    </xf>
    <xf numFmtId="177" fontId="29" fillId="0" borderId="19" xfId="0" applyNumberFormat="1" applyFont="1" applyBorder="1" applyAlignment="1">
      <alignment horizontal="center" vertical="center"/>
    </xf>
    <xf numFmtId="177" fontId="29" fillId="0" borderId="11" xfId="0" applyNumberFormat="1" applyFont="1" applyBorder="1" applyAlignment="1">
      <alignment horizontal="center" vertical="center"/>
    </xf>
    <xf numFmtId="177" fontId="29" fillId="0" borderId="6" xfId="0" applyNumberFormat="1" applyFont="1" applyBorder="1" applyAlignment="1">
      <alignment horizontal="center" vertical="center"/>
    </xf>
    <xf numFmtId="176" fontId="29" fillId="4" borderId="19" xfId="0" applyNumberFormat="1" applyFont="1" applyFill="1" applyBorder="1" applyAlignment="1">
      <alignment horizontal="right" vertical="center"/>
    </xf>
    <xf numFmtId="176" fontId="29" fillId="4" borderId="4" xfId="0" applyNumberFormat="1" applyFont="1" applyFill="1" applyBorder="1" applyAlignment="1">
      <alignment horizontal="right" vertical="center"/>
    </xf>
    <xf numFmtId="176" fontId="29" fillId="4" borderId="11" xfId="0" applyNumberFormat="1" applyFont="1" applyFill="1" applyBorder="1" applyAlignment="1">
      <alignment horizontal="right" vertical="center"/>
    </xf>
    <xf numFmtId="177" fontId="29" fillId="0" borderId="19" xfId="0" applyNumberFormat="1" applyFont="1" applyFill="1" applyBorder="1" applyAlignment="1">
      <alignment horizontal="center" vertical="center"/>
    </xf>
    <xf numFmtId="177" fontId="29" fillId="0" borderId="11" xfId="0" applyNumberFormat="1" applyFont="1" applyFill="1" applyBorder="1" applyAlignment="1">
      <alignment horizontal="center" vertical="center"/>
    </xf>
    <xf numFmtId="9" fontId="27" fillId="3" borderId="15" xfId="0" applyNumberFormat="1" applyFont="1" applyFill="1" applyBorder="1" applyAlignment="1">
      <alignment horizontal="center" vertical="center"/>
    </xf>
    <xf numFmtId="0" fontId="31" fillId="0" borderId="0" xfId="0" applyFont="1" applyAlignment="1">
      <alignment vertical="center"/>
    </xf>
    <xf numFmtId="0" fontId="29" fillId="3" borderId="51" xfId="0" applyFont="1" applyFill="1" applyBorder="1" applyAlignment="1">
      <alignment horizontal="center" vertical="center"/>
    </xf>
    <xf numFmtId="0" fontId="27" fillId="0" borderId="13" xfId="0" applyFont="1" applyFill="1" applyBorder="1" applyAlignment="1">
      <alignment horizontal="center" vertical="center"/>
    </xf>
    <xf numFmtId="0" fontId="85" fillId="0" borderId="0" xfId="0" applyFont="1" applyAlignment="1">
      <alignment vertical="center"/>
    </xf>
    <xf numFmtId="0" fontId="21" fillId="0" borderId="0" xfId="0" applyFont="1" applyAlignment="1">
      <alignment vertical="center"/>
    </xf>
    <xf numFmtId="0" fontId="28" fillId="0" borderId="0" xfId="0" applyFont="1" applyBorder="1" applyAlignment="1">
      <alignment vertical="center"/>
    </xf>
    <xf numFmtId="0" fontId="30" fillId="0" borderId="0" xfId="0" applyFont="1" applyBorder="1" applyAlignment="1">
      <alignment vertical="center"/>
    </xf>
    <xf numFmtId="0" fontId="20" fillId="0" borderId="0" xfId="0" applyFont="1" applyFill="1" applyAlignment="1">
      <alignment vertical="center"/>
    </xf>
    <xf numFmtId="0" fontId="88" fillId="0" borderId="0" xfId="2450" applyFont="1" applyAlignment="1">
      <alignment vertical="center"/>
    </xf>
    <xf numFmtId="0" fontId="33" fillId="0" borderId="0" xfId="2450" applyFont="1" applyFill="1" applyAlignment="1">
      <alignment horizontal="left" vertical="center"/>
    </xf>
    <xf numFmtId="0" fontId="29" fillId="0" borderId="0" xfId="2450" applyFont="1" applyFill="1" applyAlignment="1">
      <alignment horizontal="center" vertical="center"/>
    </xf>
    <xf numFmtId="0" fontId="29" fillId="0" borderId="0" xfId="2450" applyFont="1" applyFill="1" applyAlignment="1">
      <alignment vertical="center"/>
    </xf>
    <xf numFmtId="0" fontId="29" fillId="0" borderId="25" xfId="2450" applyFont="1" applyBorder="1" applyAlignment="1">
      <alignment horizontal="center" vertical="center"/>
    </xf>
    <xf numFmtId="0" fontId="29" fillId="0" borderId="16" xfId="2450" applyFont="1" applyBorder="1" applyAlignment="1">
      <alignment horizontal="center" vertical="center"/>
    </xf>
    <xf numFmtId="0" fontId="91" fillId="0" borderId="0" xfId="2450" applyFont="1">
      <alignment vertical="center"/>
    </xf>
    <xf numFmtId="0" fontId="98" fillId="0" borderId="0" xfId="2450">
      <alignment vertical="center"/>
    </xf>
    <xf numFmtId="176" fontId="88" fillId="0" borderId="0" xfId="2452" applyNumberFormat="1" applyFont="1">
      <alignment vertical="center"/>
    </xf>
    <xf numFmtId="176" fontId="20" fillId="0" borderId="0" xfId="2452" applyNumberFormat="1" applyFont="1">
      <alignment vertical="center"/>
    </xf>
    <xf numFmtId="176" fontId="20" fillId="0" borderId="0" xfId="2452" applyNumberFormat="1" applyFont="1" applyAlignment="1">
      <alignment horizontal="center" vertical="center"/>
    </xf>
    <xf numFmtId="176" fontId="20" fillId="0" borderId="0" xfId="2452" applyNumberFormat="1" applyFont="1" applyFill="1">
      <alignment vertical="center"/>
    </xf>
    <xf numFmtId="176" fontId="29" fillId="4" borderId="30" xfId="2452" applyNumberFormat="1" applyFont="1" applyFill="1" applyBorder="1" applyAlignment="1">
      <alignment horizontal="right" vertical="center"/>
    </xf>
    <xf numFmtId="176" fontId="29" fillId="4" borderId="54" xfId="2452" applyNumberFormat="1" applyFont="1" applyFill="1" applyBorder="1" applyAlignment="1">
      <alignment horizontal="right" vertical="center"/>
    </xf>
    <xf numFmtId="176" fontId="29" fillId="4" borderId="14" xfId="2452" applyNumberFormat="1" applyFont="1" applyFill="1" applyBorder="1" applyAlignment="1">
      <alignment horizontal="right" vertical="center"/>
    </xf>
    <xf numFmtId="176" fontId="29" fillId="4" borderId="23" xfId="2452" applyNumberFormat="1" applyFont="1" applyFill="1" applyBorder="1" applyAlignment="1">
      <alignment horizontal="right" vertical="center"/>
    </xf>
    <xf numFmtId="176" fontId="29" fillId="4" borderId="27" xfId="2452" applyNumberFormat="1" applyFont="1" applyFill="1" applyBorder="1" applyAlignment="1">
      <alignment horizontal="right" vertical="center"/>
    </xf>
    <xf numFmtId="0" fontId="30" fillId="0" borderId="0" xfId="0" applyFont="1" applyFill="1" applyAlignment="1">
      <alignment vertical="center"/>
    </xf>
    <xf numFmtId="0" fontId="30" fillId="0" borderId="0" xfId="0" applyFont="1" applyFill="1" applyAlignment="1">
      <alignment horizontal="center" vertical="center"/>
    </xf>
    <xf numFmtId="0" fontId="85" fillId="0" borderId="0" xfId="0" applyFont="1" applyFill="1" applyAlignment="1">
      <alignment vertical="center"/>
    </xf>
    <xf numFmtId="176" fontId="30" fillId="0" borderId="0" xfId="2452" applyNumberFormat="1" applyFont="1" applyAlignment="1">
      <alignment horizontal="left" vertical="center" wrapText="1"/>
    </xf>
    <xf numFmtId="176" fontId="20" fillId="0" borderId="0" xfId="2452" applyNumberFormat="1" applyFont="1" applyAlignment="1">
      <alignment vertical="center"/>
    </xf>
    <xf numFmtId="177" fontId="29" fillId="0" borderId="15" xfId="0" applyNumberFormat="1" applyFont="1" applyBorder="1" applyAlignment="1">
      <alignment horizontal="center" vertical="center"/>
    </xf>
    <xf numFmtId="177" fontId="29" fillId="0" borderId="24" xfId="0" applyNumberFormat="1" applyFont="1" applyBorder="1" applyAlignment="1">
      <alignment horizontal="center" vertical="center"/>
    </xf>
    <xf numFmtId="9" fontId="29" fillId="0" borderId="6" xfId="0" applyNumberFormat="1" applyFont="1" applyBorder="1" applyAlignment="1">
      <alignment horizontal="center" vertical="center"/>
    </xf>
    <xf numFmtId="9" fontId="29" fillId="0" borderId="11" xfId="0" applyNumberFormat="1" applyFont="1" applyBorder="1" applyAlignment="1">
      <alignment horizontal="center" vertical="center"/>
    </xf>
    <xf numFmtId="9" fontId="29" fillId="0" borderId="20" xfId="0" quotePrefix="1" applyNumberFormat="1" applyFont="1" applyBorder="1" applyAlignment="1">
      <alignment horizontal="center" vertical="center"/>
    </xf>
    <xf numFmtId="9" fontId="29" fillId="0" borderId="24" xfId="0" quotePrefix="1" applyNumberFormat="1" applyFont="1" applyBorder="1" applyAlignment="1">
      <alignment horizontal="center" vertical="center"/>
    </xf>
    <xf numFmtId="176" fontId="29" fillId="4" borderId="8" xfId="0" applyNumberFormat="1" applyFont="1" applyFill="1" applyBorder="1" applyAlignment="1">
      <alignment horizontal="right" vertical="center"/>
    </xf>
    <xf numFmtId="9" fontId="27" fillId="3" borderId="20" xfId="0" applyNumberFormat="1" applyFont="1" applyFill="1" applyBorder="1" applyAlignment="1">
      <alignment horizontal="center" vertical="center"/>
    </xf>
    <xf numFmtId="177" fontId="29" fillId="0" borderId="9" xfId="0" applyNumberFormat="1" applyFont="1" applyBorder="1" applyAlignment="1">
      <alignment horizontal="center" vertical="center"/>
    </xf>
    <xf numFmtId="176" fontId="29" fillId="4" borderId="6" xfId="0" applyNumberFormat="1" applyFont="1" applyFill="1" applyBorder="1" applyAlignment="1">
      <alignment horizontal="right" vertical="center"/>
    </xf>
    <xf numFmtId="176" fontId="29" fillId="4" borderId="9" xfId="0" applyNumberFormat="1" applyFont="1" applyFill="1" applyBorder="1" applyAlignment="1">
      <alignment horizontal="right" vertical="center"/>
    </xf>
    <xf numFmtId="177" fontId="29" fillId="0" borderId="22" xfId="0" applyNumberFormat="1" applyFont="1" applyBorder="1" applyAlignment="1">
      <alignment horizontal="center" vertical="center"/>
    </xf>
    <xf numFmtId="177" fontId="29" fillId="0" borderId="15" xfId="2452" applyNumberFormat="1" applyFont="1" applyFill="1" applyBorder="1" applyAlignment="1">
      <alignment horizontal="center" vertical="center"/>
    </xf>
    <xf numFmtId="177" fontId="29" fillId="0" borderId="7" xfId="2452" applyNumberFormat="1" applyFont="1" applyFill="1" applyBorder="1" applyAlignment="1">
      <alignment horizontal="center" vertical="center"/>
    </xf>
    <xf numFmtId="177" fontId="29" fillId="0" borderId="16" xfId="2452" applyNumberFormat="1" applyFont="1" applyFill="1" applyBorder="1" applyAlignment="1">
      <alignment horizontal="center" vertical="center"/>
    </xf>
    <xf numFmtId="0" fontId="27" fillId="0" borderId="0" xfId="0" applyFont="1" applyAlignment="1">
      <alignment vertical="center"/>
    </xf>
    <xf numFmtId="0" fontId="27" fillId="0" borderId="0" xfId="2451" applyFont="1">
      <alignment vertical="center"/>
    </xf>
    <xf numFmtId="0" fontId="27" fillId="0" borderId="0" xfId="2451" applyFont="1" applyAlignment="1">
      <alignment horizontal="left" vertical="center"/>
    </xf>
    <xf numFmtId="177" fontId="27" fillId="3" borderId="21" xfId="0" applyNumberFormat="1" applyFont="1" applyFill="1" applyBorder="1" applyAlignment="1">
      <alignment horizontal="center" vertical="center"/>
    </xf>
    <xf numFmtId="176" fontId="29" fillId="3" borderId="12" xfId="2452" applyNumberFormat="1" applyFont="1" applyFill="1" applyBorder="1" applyAlignment="1">
      <alignment horizontal="center" vertical="center"/>
    </xf>
    <xf numFmtId="176" fontId="29" fillId="3" borderId="56" xfId="2452" applyNumberFormat="1" applyFont="1" applyFill="1" applyBorder="1" applyAlignment="1">
      <alignment horizontal="center" vertical="center" wrapText="1"/>
    </xf>
    <xf numFmtId="9" fontId="29" fillId="3" borderId="11" xfId="2453" applyNumberFormat="1" applyFont="1" applyFill="1" applyBorder="1" applyAlignment="1">
      <alignment horizontal="center" vertical="center"/>
    </xf>
    <xf numFmtId="177" fontId="29" fillId="0" borderId="19" xfId="2452" applyNumberFormat="1" applyFont="1" applyFill="1" applyBorder="1" applyAlignment="1">
      <alignment horizontal="center" vertical="center"/>
    </xf>
    <xf numFmtId="177" fontId="29" fillId="0" borderId="9" xfId="2452" applyNumberFormat="1" applyFont="1" applyFill="1" applyBorder="1" applyAlignment="1">
      <alignment horizontal="center" vertical="center"/>
    </xf>
    <xf numFmtId="177" fontId="29" fillId="0" borderId="11" xfId="2452" applyNumberFormat="1" applyFont="1" applyFill="1" applyBorder="1" applyAlignment="1">
      <alignment horizontal="center" vertical="center"/>
    </xf>
    <xf numFmtId="177" fontId="29" fillId="0" borderId="4" xfId="2452" applyNumberFormat="1" applyFont="1" applyFill="1" applyBorder="1" applyAlignment="1">
      <alignment horizontal="center" vertical="center"/>
    </xf>
    <xf numFmtId="177" fontId="29" fillId="0" borderId="6" xfId="2452" applyNumberFormat="1" applyFont="1" applyFill="1" applyBorder="1" applyAlignment="1">
      <alignment horizontal="center" vertical="center"/>
    </xf>
    <xf numFmtId="176" fontId="29" fillId="3" borderId="22" xfId="2452" applyNumberFormat="1" applyFont="1" applyFill="1" applyBorder="1" applyAlignment="1">
      <alignment horizontal="center" vertical="center" wrapText="1"/>
    </xf>
    <xf numFmtId="177" fontId="29" fillId="0" borderId="22" xfId="2452" applyNumberFormat="1" applyFont="1" applyFill="1" applyBorder="1" applyAlignment="1">
      <alignment horizontal="center" vertical="center"/>
    </xf>
    <xf numFmtId="177" fontId="29" fillId="0" borderId="24" xfId="2452" applyNumberFormat="1" applyFont="1" applyFill="1" applyBorder="1" applyAlignment="1">
      <alignment horizontal="center" vertical="center"/>
    </xf>
    <xf numFmtId="176" fontId="29" fillId="4" borderId="49" xfId="0" applyNumberFormat="1" applyFont="1" applyFill="1" applyBorder="1" applyAlignment="1">
      <alignment horizontal="right" vertical="center"/>
    </xf>
    <xf numFmtId="176" fontId="29" fillId="4" borderId="3" xfId="0" applyNumberFormat="1" applyFont="1" applyFill="1" applyBorder="1" applyAlignment="1">
      <alignment horizontal="right" vertical="center"/>
    </xf>
    <xf numFmtId="177" fontId="29" fillId="0" borderId="3" xfId="0" applyNumberFormat="1" applyFont="1" applyBorder="1" applyAlignment="1">
      <alignment horizontal="center" vertical="center"/>
    </xf>
    <xf numFmtId="177" fontId="29" fillId="0" borderId="56" xfId="0" applyNumberFormat="1" applyFont="1" applyBorder="1" applyAlignment="1">
      <alignment horizontal="center" vertical="center"/>
    </xf>
    <xf numFmtId="176" fontId="29" fillId="3" borderId="59" xfId="0" applyNumberFormat="1" applyFont="1" applyFill="1" applyBorder="1" applyAlignment="1">
      <alignment horizontal="center" vertical="center" wrapText="1"/>
    </xf>
    <xf numFmtId="9" fontId="29" fillId="3" borderId="11" xfId="0" applyNumberFormat="1" applyFont="1" applyFill="1" applyBorder="1" applyAlignment="1">
      <alignment horizontal="center" vertical="center"/>
    </xf>
    <xf numFmtId="0" fontId="29" fillId="3" borderId="9" xfId="2450" quotePrefix="1" applyFont="1" applyFill="1" applyBorder="1" applyAlignment="1">
      <alignment horizontal="center" vertical="center"/>
    </xf>
    <xf numFmtId="9" fontId="29" fillId="3" borderId="16" xfId="2452" applyNumberFormat="1" applyFont="1" applyFill="1" applyBorder="1" applyAlignment="1">
      <alignment horizontal="center" vertical="center"/>
    </xf>
    <xf numFmtId="0" fontId="29" fillId="5" borderId="65" xfId="2450" applyFont="1" applyFill="1" applyBorder="1" applyAlignment="1">
      <alignment horizontal="center" vertical="center"/>
    </xf>
    <xf numFmtId="0" fontId="29" fillId="5" borderId="92" xfId="2450" applyFont="1" applyFill="1" applyBorder="1" applyAlignment="1">
      <alignment horizontal="center" vertical="center"/>
    </xf>
    <xf numFmtId="0" fontId="27" fillId="5" borderId="4" xfId="2450" applyFont="1" applyFill="1" applyBorder="1" applyAlignment="1">
      <alignment horizontal="center" vertical="center"/>
    </xf>
    <xf numFmtId="9" fontId="27" fillId="5" borderId="4" xfId="2450" applyNumberFormat="1" applyFont="1" applyFill="1" applyBorder="1" applyAlignment="1">
      <alignment horizontal="center" vertical="center"/>
    </xf>
    <xf numFmtId="0" fontId="27" fillId="0" borderId="4" xfId="2450" applyFont="1" applyBorder="1" applyAlignment="1">
      <alignment horizontal="center" vertical="center"/>
    </xf>
    <xf numFmtId="0" fontId="27" fillId="0" borderId="11" xfId="2450" applyFont="1" applyBorder="1" applyAlignment="1">
      <alignment horizontal="center" vertical="center"/>
    </xf>
    <xf numFmtId="0" fontId="20" fillId="0" borderId="0" xfId="2452" applyNumberFormat="1" applyFont="1" applyAlignment="1">
      <alignment horizontal="center" vertical="center"/>
    </xf>
    <xf numFmtId="176" fontId="29" fillId="3" borderId="15" xfId="2457" applyNumberFormat="1" applyFont="1" applyFill="1" applyBorder="1" applyAlignment="1">
      <alignment horizontal="center" vertical="center"/>
    </xf>
    <xf numFmtId="176" fontId="29" fillId="3" borderId="16" xfId="2457" applyNumberFormat="1" applyFont="1" applyFill="1" applyBorder="1" applyAlignment="1">
      <alignment horizontal="center" vertical="center"/>
    </xf>
    <xf numFmtId="0" fontId="27" fillId="3" borderId="19" xfId="2452" applyNumberFormat="1" applyFont="1" applyFill="1" applyBorder="1" applyAlignment="1">
      <alignment horizontal="center" vertical="center"/>
    </xf>
    <xf numFmtId="0" fontId="30" fillId="0" borderId="0" xfId="2452" applyNumberFormat="1" applyFont="1" applyBorder="1" applyAlignment="1">
      <alignment horizontal="left" vertical="center"/>
    </xf>
    <xf numFmtId="0" fontId="29" fillId="0" borderId="0" xfId="2452" applyNumberFormat="1" applyFont="1" applyBorder="1" applyAlignment="1">
      <alignment horizontal="left" vertical="center"/>
    </xf>
    <xf numFmtId="0" fontId="29" fillId="0" borderId="0" xfId="2452" applyNumberFormat="1" applyFont="1" applyAlignment="1">
      <alignment horizontal="center" vertical="center"/>
    </xf>
    <xf numFmtId="0" fontId="30" fillId="0" borderId="0" xfId="2452" applyNumberFormat="1" applyFont="1" applyAlignment="1">
      <alignment horizontal="left" vertical="center" wrapText="1"/>
    </xf>
    <xf numFmtId="0" fontId="29" fillId="0" borderId="0" xfId="2452" applyNumberFormat="1" applyFont="1" applyAlignment="1">
      <alignment vertical="center"/>
    </xf>
    <xf numFmtId="0" fontId="20" fillId="0" borderId="0" xfId="2452" applyNumberFormat="1" applyFont="1" applyAlignment="1">
      <alignment vertical="center"/>
    </xf>
    <xf numFmtId="0" fontId="29" fillId="3" borderId="38" xfId="0" applyFont="1" applyFill="1" applyBorder="1" applyAlignment="1">
      <alignment vertical="center"/>
    </xf>
    <xf numFmtId="0" fontId="29" fillId="0" borderId="0" xfId="0" applyFont="1" applyBorder="1" applyAlignment="1">
      <alignment horizontal="center" vertical="center"/>
    </xf>
    <xf numFmtId="177" fontId="27" fillId="3" borderId="20" xfId="0" applyNumberFormat="1" applyFont="1" applyFill="1" applyBorder="1" applyAlignment="1">
      <alignment horizontal="center" vertical="center"/>
    </xf>
    <xf numFmtId="0" fontId="102" fillId="0" borderId="0" xfId="0" applyFont="1">
      <alignment vertical="center"/>
    </xf>
    <xf numFmtId="0" fontId="29" fillId="3" borderId="15" xfId="2452" applyNumberFormat="1" applyFont="1" applyFill="1" applyBorder="1" applyAlignment="1">
      <alignment horizontal="center" vertical="center" wrapText="1"/>
    </xf>
    <xf numFmtId="0" fontId="27" fillId="0" borderId="0" xfId="0" applyFont="1">
      <alignment vertical="center"/>
    </xf>
    <xf numFmtId="177" fontId="29" fillId="0" borderId="46" xfId="2452" applyNumberFormat="1" applyFont="1" applyFill="1" applyBorder="1" applyAlignment="1">
      <alignment horizontal="center" vertical="center"/>
    </xf>
    <xf numFmtId="177" fontId="29" fillId="0" borderId="12" xfId="2452" applyNumberFormat="1" applyFont="1" applyFill="1" applyBorder="1" applyAlignment="1">
      <alignment horizontal="center" vertical="center"/>
    </xf>
    <xf numFmtId="177" fontId="29" fillId="0" borderId="10" xfId="2452" applyNumberFormat="1" applyFont="1" applyFill="1" applyBorder="1" applyAlignment="1">
      <alignment horizontal="center" vertical="center"/>
    </xf>
    <xf numFmtId="177" fontId="29" fillId="0" borderId="60" xfId="2452" applyNumberFormat="1" applyFont="1" applyFill="1" applyBorder="1" applyAlignment="1">
      <alignment horizontal="center" vertical="center"/>
    </xf>
    <xf numFmtId="177" fontId="29" fillId="0" borderId="25" xfId="2452" applyNumberFormat="1" applyFont="1" applyFill="1" applyBorder="1" applyAlignment="1">
      <alignment horizontal="center" vertical="center"/>
    </xf>
    <xf numFmtId="0" fontId="29" fillId="3" borderId="94" xfId="0" applyFont="1" applyFill="1" applyBorder="1" applyAlignment="1">
      <alignment horizontal="center" vertical="center"/>
    </xf>
    <xf numFmtId="9" fontId="29" fillId="0" borderId="96" xfId="0" quotePrefix="1" applyNumberFormat="1" applyFont="1" applyBorder="1" applyAlignment="1">
      <alignment horizontal="center" vertical="center"/>
    </xf>
    <xf numFmtId="177" fontId="27" fillId="3" borderId="11" xfId="2452" applyNumberFormat="1" applyFont="1" applyFill="1" applyBorder="1" applyAlignment="1">
      <alignment horizontal="center" vertical="center"/>
    </xf>
    <xf numFmtId="0" fontId="108" fillId="0" borderId="0" xfId="0" applyFont="1">
      <alignment vertical="center"/>
    </xf>
    <xf numFmtId="9" fontId="29" fillId="3" borderId="22" xfId="0" applyNumberFormat="1" applyFont="1" applyFill="1" applyBorder="1" applyAlignment="1">
      <alignment horizontal="center" vertical="center"/>
    </xf>
    <xf numFmtId="177" fontId="29" fillId="2" borderId="7" xfId="2459" applyNumberFormat="1" applyFont="1" applyFill="1" applyBorder="1" applyAlignment="1">
      <alignment horizontal="center" vertical="center"/>
    </xf>
    <xf numFmtId="177" fontId="29" fillId="2" borderId="16" xfId="2459" applyNumberFormat="1" applyFont="1" applyFill="1" applyBorder="1" applyAlignment="1">
      <alignment horizontal="center" vertical="center"/>
    </xf>
    <xf numFmtId="9" fontId="29" fillId="3" borderId="8" xfId="0" applyNumberFormat="1" applyFont="1" applyFill="1" applyBorder="1" applyAlignment="1">
      <alignment horizontal="center" vertical="center"/>
    </xf>
    <xf numFmtId="177" fontId="29" fillId="0" borderId="0" xfId="2459" applyNumberFormat="1" applyFont="1" applyFill="1" applyBorder="1" applyAlignment="1">
      <alignment horizontal="center" vertical="center"/>
    </xf>
    <xf numFmtId="176" fontId="29" fillId="3" borderId="15" xfId="2452" applyNumberFormat="1" applyFont="1" applyFill="1" applyBorder="1" applyAlignment="1">
      <alignment horizontal="center" vertical="center" wrapText="1"/>
    </xf>
    <xf numFmtId="9" fontId="29" fillId="3" borderId="14" xfId="2452" applyNumberFormat="1" applyFont="1" applyFill="1" applyBorder="1" applyAlignment="1">
      <alignment horizontal="center" vertical="center"/>
    </xf>
    <xf numFmtId="0" fontId="29" fillId="3" borderId="18" xfId="0" applyFont="1" applyFill="1" applyBorder="1" applyAlignment="1">
      <alignment horizontal="center" vertical="center"/>
    </xf>
    <xf numFmtId="0" fontId="20" fillId="0" borderId="0" xfId="2450" applyFont="1" applyAlignment="1">
      <alignment horizontal="center" vertical="center"/>
    </xf>
    <xf numFmtId="0" fontId="29" fillId="3" borderId="20" xfId="0" applyFont="1" applyFill="1" applyBorder="1" applyAlignment="1">
      <alignment horizontal="center" vertical="center"/>
    </xf>
    <xf numFmtId="0" fontId="27" fillId="0" borderId="11" xfId="0" applyFont="1" applyFill="1" applyBorder="1" applyAlignment="1">
      <alignment horizontal="center" vertical="center"/>
    </xf>
    <xf numFmtId="0" fontId="106" fillId="0" borderId="0" xfId="2453" applyFont="1">
      <alignment vertical="center"/>
    </xf>
    <xf numFmtId="9" fontId="27" fillId="0" borderId="7" xfId="2453" applyNumberFormat="1" applyFont="1" applyBorder="1" applyAlignment="1">
      <alignment horizontal="center" vertical="center"/>
    </xf>
    <xf numFmtId="0" fontId="102" fillId="0" borderId="0" xfId="0" applyFont="1" applyAlignment="1">
      <alignment vertical="center"/>
    </xf>
    <xf numFmtId="0" fontId="29" fillId="2" borderId="0" xfId="2451" applyFont="1" applyFill="1" applyAlignment="1">
      <alignment horizontal="center" vertical="center"/>
    </xf>
    <xf numFmtId="0" fontId="33" fillId="2" borderId="0" xfId="2451" applyFont="1" applyFill="1" applyAlignment="1">
      <alignment horizontal="left" vertical="center"/>
    </xf>
    <xf numFmtId="0" fontId="28" fillId="2" borderId="0" xfId="2451" applyFont="1" applyFill="1" applyAlignment="1">
      <alignment horizontal="center" vertical="center"/>
    </xf>
    <xf numFmtId="177" fontId="28" fillId="0" borderId="0" xfId="2459" applyNumberFormat="1" applyFont="1" applyFill="1" applyBorder="1" applyAlignment="1">
      <alignment horizontal="center" vertical="center"/>
    </xf>
    <xf numFmtId="0" fontId="37" fillId="0" borderId="0" xfId="2451" applyFont="1">
      <alignment vertical="center"/>
    </xf>
    <xf numFmtId="9" fontId="29" fillId="3" borderId="18" xfId="0" applyNumberFormat="1" applyFont="1" applyFill="1" applyBorder="1" applyAlignment="1">
      <alignment horizontal="center" vertical="center"/>
    </xf>
    <xf numFmtId="177" fontId="29" fillId="2" borderId="15" xfId="2459" applyNumberFormat="1" applyFont="1" applyFill="1" applyBorder="1" applyAlignment="1">
      <alignment horizontal="center" vertical="center"/>
    </xf>
    <xf numFmtId="9" fontId="29" fillId="3" borderId="14" xfId="2459" applyFont="1" applyFill="1" applyBorder="1" applyAlignment="1">
      <alignment horizontal="center" vertical="center"/>
    </xf>
    <xf numFmtId="176" fontId="29" fillId="4" borderId="28" xfId="0" applyNumberFormat="1" applyFont="1" applyFill="1" applyBorder="1" applyAlignment="1">
      <alignment horizontal="right" vertical="center"/>
    </xf>
    <xf numFmtId="176" fontId="29" fillId="4" borderId="29" xfId="0" applyNumberFormat="1" applyFont="1" applyFill="1" applyBorder="1" applyAlignment="1">
      <alignment horizontal="right" vertical="center"/>
    </xf>
    <xf numFmtId="176" fontId="29" fillId="4" borderId="63" xfId="0" applyNumberFormat="1" applyFont="1" applyFill="1" applyBorder="1" applyAlignment="1">
      <alignment horizontal="right" vertical="center"/>
    </xf>
    <xf numFmtId="176" fontId="29" fillId="4" borderId="30" xfId="0" applyNumberFormat="1" applyFont="1" applyFill="1" applyBorder="1" applyAlignment="1">
      <alignment horizontal="right" vertical="center"/>
    </xf>
    <xf numFmtId="176" fontId="29" fillId="4" borderId="23" xfId="0" applyNumberFormat="1" applyFont="1" applyFill="1" applyBorder="1" applyAlignment="1">
      <alignment horizontal="right" vertical="center"/>
    </xf>
    <xf numFmtId="176" fontId="29" fillId="4" borderId="14" xfId="0" applyNumberFormat="1" applyFont="1" applyFill="1" applyBorder="1" applyAlignment="1">
      <alignment horizontal="right" vertical="center"/>
    </xf>
    <xf numFmtId="176" fontId="29" fillId="7" borderId="19" xfId="0" applyNumberFormat="1" applyFont="1" applyFill="1" applyBorder="1" applyAlignment="1">
      <alignment horizontal="right" vertical="center"/>
    </xf>
    <xf numFmtId="176" fontId="29" fillId="7" borderId="4" xfId="0" applyNumberFormat="1" applyFont="1" applyFill="1" applyBorder="1" applyAlignment="1">
      <alignment horizontal="right" vertical="center"/>
    </xf>
    <xf numFmtId="176" fontId="29" fillId="7" borderId="11" xfId="0" applyNumberFormat="1" applyFont="1" applyFill="1" applyBorder="1" applyAlignment="1">
      <alignment horizontal="right" vertical="center"/>
    </xf>
    <xf numFmtId="177" fontId="27" fillId="5" borderId="16" xfId="2452" applyNumberFormat="1" applyFont="1" applyFill="1" applyBorder="1" applyAlignment="1">
      <alignment horizontal="center" vertical="center"/>
    </xf>
    <xf numFmtId="9" fontId="29" fillId="0" borderId="22" xfId="2450" applyNumberFormat="1" applyFont="1" applyFill="1" applyBorder="1" applyAlignment="1">
      <alignment horizontal="center" vertical="center"/>
    </xf>
    <xf numFmtId="9" fontId="29" fillId="0" borderId="16" xfId="2450" applyNumberFormat="1" applyFont="1" applyFill="1" applyBorder="1" applyAlignment="1">
      <alignment horizontal="center" vertical="center"/>
    </xf>
    <xf numFmtId="0" fontId="111" fillId="0" borderId="0" xfId="2450" applyFont="1" applyAlignment="1">
      <alignment horizontal="left" vertical="center"/>
    </xf>
    <xf numFmtId="0" fontId="112" fillId="0" borderId="0" xfId="2450" applyFont="1" applyAlignment="1">
      <alignment horizontal="center" vertical="center"/>
    </xf>
    <xf numFmtId="0" fontId="112" fillId="0" borderId="0" xfId="2450" applyFont="1" applyAlignment="1">
      <alignment vertical="center"/>
    </xf>
    <xf numFmtId="9" fontId="29" fillId="0" borderId="6" xfId="2450" applyNumberFormat="1" applyFont="1" applyBorder="1" applyAlignment="1">
      <alignment horizontal="center" vertical="center"/>
    </xf>
    <xf numFmtId="9" fontId="29" fillId="0" borderId="9" xfId="2450" applyNumberFormat="1" applyFont="1" applyBorder="1" applyAlignment="1">
      <alignment horizontal="center" vertical="center"/>
    </xf>
    <xf numFmtId="10" fontId="101" fillId="3" borderId="16" xfId="2452" applyNumberFormat="1" applyFont="1" applyFill="1" applyBorder="1" applyAlignment="1">
      <alignment horizontal="center" vertical="center"/>
    </xf>
    <xf numFmtId="177" fontId="27" fillId="3" borderId="4" xfId="2452" applyNumberFormat="1" applyFont="1" applyFill="1" applyBorder="1" applyAlignment="1">
      <alignment horizontal="center" vertical="center"/>
    </xf>
    <xf numFmtId="177" fontId="101" fillId="3" borderId="7" xfId="2452" applyNumberFormat="1" applyFont="1" applyFill="1" applyBorder="1" applyAlignment="1">
      <alignment horizontal="center" vertical="center"/>
    </xf>
    <xf numFmtId="177" fontId="27" fillId="3" borderId="7" xfId="2452" applyNumberFormat="1" applyFont="1" applyFill="1" applyBorder="1" applyAlignment="1">
      <alignment horizontal="center" vertical="center"/>
    </xf>
    <xf numFmtId="177" fontId="29" fillId="0" borderId="0" xfId="2452" applyNumberFormat="1" applyFont="1" applyFill="1" applyBorder="1" applyAlignment="1">
      <alignment horizontal="left" vertical="center"/>
    </xf>
    <xf numFmtId="9" fontId="29" fillId="0" borderId="96" xfId="2450" applyNumberFormat="1" applyFont="1" applyBorder="1" applyAlignment="1">
      <alignment horizontal="center" vertical="center"/>
    </xf>
    <xf numFmtId="0" fontId="30" fillId="6" borderId="39" xfId="2450" applyFont="1" applyFill="1" applyBorder="1" applyAlignment="1">
      <alignment vertical="center"/>
    </xf>
    <xf numFmtId="0" fontId="30" fillId="6" borderId="0" xfId="2450" applyFont="1" applyFill="1" applyBorder="1" applyAlignment="1">
      <alignment vertical="center"/>
    </xf>
    <xf numFmtId="0" fontId="29" fillId="6" borderId="0" xfId="2450" applyFont="1" applyFill="1" applyBorder="1" applyAlignment="1">
      <alignment vertical="center"/>
    </xf>
    <xf numFmtId="0" fontId="29" fillId="6" borderId="34" xfId="2450" quotePrefix="1" applyFont="1" applyFill="1" applyBorder="1" applyAlignment="1">
      <alignment vertical="center"/>
    </xf>
    <xf numFmtId="0" fontId="30" fillId="6" borderId="47" xfId="2450" applyFont="1" applyFill="1" applyBorder="1" applyAlignment="1">
      <alignment vertical="center"/>
    </xf>
    <xf numFmtId="0" fontId="30" fillId="6" borderId="45" xfId="2450" applyFont="1" applyFill="1" applyBorder="1" applyAlignment="1">
      <alignment vertical="center"/>
    </xf>
    <xf numFmtId="0" fontId="29" fillId="6" borderId="10" xfId="2450" applyFont="1" applyFill="1" applyBorder="1" applyAlignment="1">
      <alignment vertical="center"/>
    </xf>
    <xf numFmtId="0" fontId="29" fillId="8" borderId="12" xfId="2452" applyNumberFormat="1" applyFont="1" applyFill="1" applyBorder="1" applyAlignment="1">
      <alignment horizontal="center" vertical="center" wrapText="1"/>
    </xf>
    <xf numFmtId="176" fontId="99" fillId="0" borderId="0" xfId="2453" applyNumberFormat="1">
      <alignment vertical="center"/>
    </xf>
    <xf numFmtId="9" fontId="27" fillId="3" borderId="6" xfId="2452" applyNumberFormat="1" applyFont="1" applyFill="1" applyBorder="1" applyAlignment="1">
      <alignment horizontal="center" vertical="center"/>
    </xf>
    <xf numFmtId="9" fontId="27" fillId="3" borderId="24" xfId="2452" applyNumberFormat="1" applyFont="1" applyFill="1" applyBorder="1" applyAlignment="1">
      <alignment horizontal="center" vertical="center"/>
    </xf>
    <xf numFmtId="9" fontId="29" fillId="3" borderId="23" xfId="2461" applyFont="1" applyFill="1" applyBorder="1" applyAlignment="1">
      <alignment horizontal="center" vertical="center"/>
    </xf>
    <xf numFmtId="177" fontId="29" fillId="0" borderId="15" xfId="2461" applyNumberFormat="1" applyFont="1" applyFill="1" applyBorder="1" applyAlignment="1">
      <alignment horizontal="center" vertical="center"/>
    </xf>
    <xf numFmtId="177" fontId="29" fillId="0" borderId="22" xfId="2461" applyNumberFormat="1" applyFont="1" applyFill="1" applyBorder="1" applyAlignment="1">
      <alignment horizontal="center" vertical="center"/>
    </xf>
    <xf numFmtId="177" fontId="29" fillId="0" borderId="16" xfId="2461" applyNumberFormat="1" applyFont="1" applyFill="1" applyBorder="1" applyAlignment="1">
      <alignment horizontal="center" vertical="center"/>
    </xf>
    <xf numFmtId="177" fontId="29" fillId="0" borderId="7" xfId="2461" applyNumberFormat="1" applyFont="1" applyFill="1" applyBorder="1" applyAlignment="1">
      <alignment horizontal="center" vertical="center"/>
    </xf>
    <xf numFmtId="177" fontId="29" fillId="0" borderId="24" xfId="2461" applyNumberFormat="1" applyFont="1" applyFill="1" applyBorder="1" applyAlignment="1">
      <alignment horizontal="center" vertical="center"/>
    </xf>
    <xf numFmtId="177" fontId="29" fillId="2" borderId="19" xfId="2461" applyNumberFormat="1" applyFont="1" applyFill="1" applyBorder="1" applyAlignment="1">
      <alignment horizontal="center" vertical="center"/>
    </xf>
    <xf numFmtId="177" fontId="29" fillId="2" borderId="4" xfId="2461" applyNumberFormat="1" applyFont="1" applyFill="1" applyBorder="1" applyAlignment="1">
      <alignment horizontal="center" vertical="center"/>
    </xf>
    <xf numFmtId="177" fontId="29" fillId="2" borderId="6" xfId="2461" applyNumberFormat="1" applyFont="1" applyFill="1" applyBorder="1" applyAlignment="1">
      <alignment horizontal="center" vertical="center"/>
    </xf>
    <xf numFmtId="177" fontId="29" fillId="2" borderId="15" xfId="2461" applyNumberFormat="1" applyFont="1" applyFill="1" applyBorder="1" applyAlignment="1">
      <alignment horizontal="center" vertical="center"/>
    </xf>
    <xf numFmtId="177" fontId="29" fillId="2" borderId="7" xfId="2461" applyNumberFormat="1" applyFont="1" applyFill="1" applyBorder="1" applyAlignment="1">
      <alignment horizontal="center" vertical="center"/>
    </xf>
    <xf numFmtId="177" fontId="29" fillId="2" borderId="16" xfId="2461" applyNumberFormat="1" applyFont="1" applyFill="1" applyBorder="1" applyAlignment="1">
      <alignment horizontal="center" vertical="center"/>
    </xf>
    <xf numFmtId="176" fontId="29" fillId="3" borderId="7" xfId="2457" applyNumberFormat="1" applyFont="1" applyFill="1" applyBorder="1" applyAlignment="1">
      <alignment horizontal="center" vertical="center" wrapText="1"/>
    </xf>
    <xf numFmtId="0" fontId="29" fillId="0" borderId="20" xfId="0" applyFont="1" applyBorder="1" applyAlignment="1">
      <alignment horizontal="center" vertical="center"/>
    </xf>
    <xf numFmtId="0" fontId="29" fillId="3" borderId="13" xfId="0" applyFont="1" applyFill="1" applyBorder="1" applyAlignment="1">
      <alignment horizontal="center" vertical="center"/>
    </xf>
    <xf numFmtId="9" fontId="29" fillId="0" borderId="16" xfId="0" quotePrefix="1" applyNumberFormat="1" applyFont="1" applyBorder="1" applyAlignment="1">
      <alignment horizontal="center" vertical="center"/>
    </xf>
    <xf numFmtId="176" fontId="29" fillId="2" borderId="114" xfId="0" applyNumberFormat="1" applyFont="1" applyFill="1" applyBorder="1" applyAlignment="1">
      <alignment horizontal="center" vertical="center"/>
    </xf>
    <xf numFmtId="176" fontId="28" fillId="2" borderId="59" xfId="0" applyNumberFormat="1" applyFont="1" applyFill="1" applyBorder="1" applyAlignment="1">
      <alignment horizontal="center" vertical="center"/>
    </xf>
    <xf numFmtId="176" fontId="28" fillId="2" borderId="109" xfId="0" applyNumberFormat="1" applyFont="1" applyFill="1" applyBorder="1" applyAlignment="1">
      <alignment horizontal="center" vertical="center"/>
    </xf>
    <xf numFmtId="176" fontId="28" fillId="2" borderId="74" xfId="0" applyNumberFormat="1" applyFont="1" applyFill="1" applyBorder="1" applyAlignment="1">
      <alignment horizontal="center" vertical="center"/>
    </xf>
    <xf numFmtId="176" fontId="28" fillId="2" borderId="114" xfId="0" applyNumberFormat="1" applyFont="1" applyFill="1" applyBorder="1" applyAlignment="1">
      <alignment horizontal="center" vertical="center"/>
    </xf>
    <xf numFmtId="176" fontId="29" fillId="6" borderId="98" xfId="0" applyNumberFormat="1" applyFont="1" applyFill="1" applyBorder="1" applyAlignment="1">
      <alignment horizontal="center" vertical="center"/>
    </xf>
    <xf numFmtId="176" fontId="29" fillId="6" borderId="107" xfId="0" applyNumberFormat="1" applyFont="1" applyFill="1" applyBorder="1" applyAlignment="1">
      <alignment horizontal="center" vertical="center"/>
    </xf>
    <xf numFmtId="176" fontId="29" fillId="6" borderId="59" xfId="0" applyNumberFormat="1" applyFont="1" applyFill="1" applyBorder="1" applyAlignment="1">
      <alignment horizontal="center" vertical="center"/>
    </xf>
    <xf numFmtId="176" fontId="29" fillId="6" borderId="109" xfId="0" applyNumberFormat="1" applyFont="1" applyFill="1" applyBorder="1" applyAlignment="1">
      <alignment horizontal="center" vertical="center"/>
    </xf>
    <xf numFmtId="177" fontId="107" fillId="3" borderId="19" xfId="2452" applyNumberFormat="1" applyFont="1" applyFill="1" applyBorder="1" applyAlignment="1">
      <alignment horizontal="center" vertical="center"/>
    </xf>
    <xf numFmtId="177" fontId="107" fillId="5" borderId="15" xfId="2452" applyNumberFormat="1" applyFont="1" applyFill="1" applyBorder="1" applyAlignment="1">
      <alignment horizontal="center" vertical="center"/>
    </xf>
    <xf numFmtId="0" fontId="107" fillId="0" borderId="0" xfId="2453" applyFont="1" applyFill="1" applyAlignment="1">
      <alignment vertical="center"/>
    </xf>
    <xf numFmtId="0" fontId="88" fillId="0" borderId="0" xfId="2450" applyFont="1" applyFill="1" applyAlignment="1">
      <alignment vertical="center"/>
    </xf>
    <xf numFmtId="0" fontId="108" fillId="0" borderId="0" xfId="0" applyFont="1" applyFill="1" applyAlignment="1">
      <alignment vertical="center"/>
    </xf>
    <xf numFmtId="0" fontId="31" fillId="0" borderId="0" xfId="2450" applyFont="1" applyFill="1" applyAlignment="1">
      <alignment vertical="center"/>
    </xf>
    <xf numFmtId="0" fontId="31" fillId="0" borderId="0" xfId="0" applyFont="1" applyFill="1" applyAlignment="1">
      <alignment vertical="center"/>
    </xf>
    <xf numFmtId="0" fontId="96" fillId="0" borderId="0" xfId="0" applyFont="1" applyFill="1">
      <alignment vertical="center"/>
    </xf>
    <xf numFmtId="0" fontId="0" fillId="0" borderId="0" xfId="0" applyFill="1">
      <alignment vertical="center"/>
    </xf>
    <xf numFmtId="9" fontId="29" fillId="5" borderId="11" xfId="2452" applyNumberFormat="1" applyFont="1" applyFill="1" applyBorder="1" applyAlignment="1">
      <alignment horizontal="center" vertical="center"/>
    </xf>
    <xf numFmtId="0" fontId="29" fillId="3" borderId="95" xfId="0" applyFont="1" applyFill="1" applyBorder="1" applyAlignment="1">
      <alignment horizontal="center" vertical="center"/>
    </xf>
    <xf numFmtId="9" fontId="29" fillId="8" borderId="26" xfId="2452" applyNumberFormat="1" applyFont="1" applyFill="1" applyBorder="1" applyAlignment="1">
      <alignment horizontal="center" vertical="center"/>
    </xf>
    <xf numFmtId="177" fontId="29" fillId="3" borderId="4" xfId="2452" applyNumberFormat="1" applyFont="1" applyFill="1" applyBorder="1" applyAlignment="1">
      <alignment horizontal="center" vertical="center"/>
    </xf>
    <xf numFmtId="177" fontId="29" fillId="3" borderId="7" xfId="2452" applyNumberFormat="1" applyFont="1" applyFill="1" applyBorder="1" applyAlignment="1">
      <alignment horizontal="center" vertical="center"/>
    </xf>
    <xf numFmtId="176" fontId="113" fillId="0" borderId="0" xfId="2452" applyNumberFormat="1" applyFont="1" applyFill="1" applyBorder="1" applyAlignment="1">
      <alignment horizontal="left" vertical="center"/>
    </xf>
    <xf numFmtId="0" fontId="29" fillId="0" borderId="0" xfId="2450" applyFont="1" applyBorder="1" applyAlignment="1">
      <alignment vertical="center"/>
    </xf>
    <xf numFmtId="0" fontId="28" fillId="0" borderId="0" xfId="2453" applyFont="1" applyFill="1" applyBorder="1" applyAlignment="1">
      <alignment vertical="center"/>
    </xf>
    <xf numFmtId="9" fontId="29" fillId="0" borderId="4" xfId="2450" applyNumberFormat="1" applyFont="1" applyFill="1" applyBorder="1" applyAlignment="1">
      <alignment horizontal="center" vertical="center"/>
    </xf>
    <xf numFmtId="177" fontId="29" fillId="0" borderId="4" xfId="2450" applyNumberFormat="1" applyFont="1" applyFill="1" applyBorder="1" applyAlignment="1">
      <alignment horizontal="center" vertical="center"/>
    </xf>
    <xf numFmtId="9" fontId="28" fillId="5" borderId="4" xfId="2450" applyNumberFormat="1" applyFont="1" applyFill="1" applyBorder="1" applyAlignment="1">
      <alignment horizontal="center" vertical="center"/>
    </xf>
    <xf numFmtId="9" fontId="28" fillId="5" borderId="11" xfId="2450" applyNumberFormat="1" applyFont="1" applyFill="1" applyBorder="1" applyAlignment="1">
      <alignment horizontal="center" vertical="center"/>
    </xf>
    <xf numFmtId="0" fontId="28" fillId="5" borderId="92" xfId="2450" applyFont="1" applyFill="1" applyBorder="1" applyAlignment="1">
      <alignment horizontal="center" vertical="center"/>
    </xf>
    <xf numFmtId="0" fontId="28" fillId="5" borderId="54" xfId="2450" applyFont="1" applyFill="1" applyBorder="1" applyAlignment="1">
      <alignment horizontal="center" vertical="center"/>
    </xf>
    <xf numFmtId="9" fontId="29" fillId="0" borderId="93" xfId="2450" applyNumberFormat="1" applyFont="1" applyFill="1" applyBorder="1" applyAlignment="1">
      <alignment horizontal="center" vertical="center"/>
    </xf>
    <xf numFmtId="0" fontId="28" fillId="5" borderId="94" xfId="2450" quotePrefix="1" applyFont="1" applyFill="1" applyBorder="1" applyAlignment="1">
      <alignment horizontal="center" vertical="center"/>
    </xf>
    <xf numFmtId="0" fontId="28" fillId="5" borderId="9" xfId="2450" quotePrefix="1" applyFont="1" applyFill="1" applyBorder="1" applyAlignment="1">
      <alignment horizontal="center" vertical="center"/>
    </xf>
    <xf numFmtId="0" fontId="28" fillId="5" borderId="11" xfId="2450" quotePrefix="1" applyFont="1" applyFill="1" applyBorder="1" applyAlignment="1">
      <alignment horizontal="center" vertical="center"/>
    </xf>
    <xf numFmtId="9" fontId="28" fillId="5" borderId="15" xfId="2450" applyNumberFormat="1" applyFont="1" applyFill="1" applyBorder="1" applyAlignment="1">
      <alignment horizontal="center" vertical="center"/>
    </xf>
    <xf numFmtId="9" fontId="29" fillId="0" borderId="46" xfId="2450" applyNumberFormat="1" applyFont="1" applyFill="1" applyBorder="1" applyAlignment="1">
      <alignment horizontal="center" vertical="center"/>
    </xf>
    <xf numFmtId="9" fontId="27" fillId="0" borderId="0" xfId="2450" applyNumberFormat="1" applyFont="1">
      <alignment vertical="center"/>
    </xf>
    <xf numFmtId="9" fontId="29" fillId="0" borderId="0" xfId="2450" applyNumberFormat="1" applyFont="1" applyFill="1" applyBorder="1" applyAlignment="1">
      <alignment vertical="center"/>
    </xf>
    <xf numFmtId="229" fontId="27" fillId="0" borderId="0" xfId="2450" applyNumberFormat="1" applyFont="1">
      <alignment vertical="center"/>
    </xf>
    <xf numFmtId="176" fontId="29" fillId="8" borderId="26" xfId="2452" applyNumberFormat="1" applyFont="1" applyFill="1" applyBorder="1" applyAlignment="1">
      <alignment horizontal="center" vertical="center"/>
    </xf>
    <xf numFmtId="9" fontId="29" fillId="8" borderId="79" xfId="2452" applyNumberFormat="1" applyFont="1" applyFill="1" applyBorder="1" applyAlignment="1">
      <alignment horizontal="center" vertical="center"/>
    </xf>
    <xf numFmtId="177" fontId="29" fillId="0" borderId="16" xfId="216" applyNumberFormat="1" applyFont="1" applyFill="1" applyBorder="1" applyAlignment="1">
      <alignment horizontal="center" vertical="center"/>
    </xf>
    <xf numFmtId="177" fontId="29" fillId="0" borderId="7" xfId="216" applyNumberFormat="1" applyFont="1" applyFill="1" applyBorder="1" applyAlignment="1">
      <alignment horizontal="center" vertical="center"/>
    </xf>
    <xf numFmtId="0" fontId="29" fillId="6" borderId="44" xfId="2450" quotePrefix="1" applyFont="1" applyFill="1" applyBorder="1" applyAlignment="1">
      <alignment vertical="center"/>
    </xf>
    <xf numFmtId="0" fontId="30" fillId="6" borderId="49" xfId="2450" applyFont="1" applyFill="1" applyBorder="1" applyAlignment="1">
      <alignment vertical="center"/>
    </xf>
    <xf numFmtId="0" fontId="30" fillId="6" borderId="58" xfId="2450" applyFont="1" applyFill="1" applyBorder="1" applyAlignment="1">
      <alignment vertical="center"/>
    </xf>
    <xf numFmtId="177" fontId="29" fillId="3" borderId="11" xfId="2461" applyNumberFormat="1" applyFont="1" applyFill="1" applyBorder="1" applyAlignment="1">
      <alignment horizontal="center" vertical="center"/>
    </xf>
    <xf numFmtId="177" fontId="29" fillId="3" borderId="16" xfId="2461" applyNumberFormat="1" applyFont="1" applyFill="1" applyBorder="1" applyAlignment="1">
      <alignment horizontal="center" vertical="center"/>
    </xf>
    <xf numFmtId="0" fontId="114" fillId="0" borderId="0" xfId="0" applyFont="1">
      <alignment vertical="center"/>
    </xf>
    <xf numFmtId="0" fontId="115" fillId="0" borderId="0" xfId="2450" applyFont="1" applyAlignment="1">
      <alignment horizontal="left" vertical="center"/>
    </xf>
    <xf numFmtId="0" fontId="116" fillId="0" borderId="0" xfId="2450" applyFont="1" applyFill="1" applyAlignment="1">
      <alignment vertical="center"/>
    </xf>
    <xf numFmtId="0" fontId="116" fillId="0" borderId="0" xfId="2450" applyFont="1" applyAlignment="1">
      <alignment vertical="center"/>
    </xf>
    <xf numFmtId="0" fontId="118" fillId="0" borderId="0" xfId="2450" applyFont="1" applyAlignment="1">
      <alignment horizontal="center" vertical="center"/>
    </xf>
    <xf numFmtId="0" fontId="119" fillId="0" borderId="0" xfId="2450" applyFont="1" applyAlignment="1">
      <alignment horizontal="left" vertical="center"/>
    </xf>
    <xf numFmtId="0" fontId="118" fillId="0" borderId="0" xfId="2450" applyFont="1" applyAlignment="1">
      <alignment vertical="center"/>
    </xf>
    <xf numFmtId="0" fontId="118" fillId="0" borderId="0" xfId="2453" applyFont="1" applyFill="1" applyAlignment="1">
      <alignment vertical="center"/>
    </xf>
    <xf numFmtId="0" fontId="120" fillId="0" borderId="0" xfId="2453" applyFont="1" applyFill="1" applyAlignment="1">
      <alignment vertical="center"/>
    </xf>
    <xf numFmtId="0" fontId="118" fillId="0" borderId="0" xfId="2453" applyFont="1" applyFill="1" applyAlignment="1">
      <alignment horizontal="center" vertical="center"/>
    </xf>
    <xf numFmtId="0" fontId="118" fillId="0" borderId="0" xfId="2453" applyFont="1" applyFill="1" applyBorder="1" applyAlignment="1">
      <alignment horizontal="left" vertical="center"/>
    </xf>
    <xf numFmtId="0" fontId="118" fillId="0" borderId="0" xfId="2453" applyFont="1" applyFill="1" applyBorder="1" applyAlignment="1">
      <alignment vertical="center"/>
    </xf>
    <xf numFmtId="0" fontId="118" fillId="0" borderId="0" xfId="2453" applyFont="1" applyFill="1" applyAlignment="1">
      <alignment horizontal="left" vertical="center"/>
    </xf>
    <xf numFmtId="0" fontId="120" fillId="0" borderId="0" xfId="2453" applyFont="1" applyFill="1" applyAlignment="1">
      <alignment horizontal="left" vertical="center"/>
    </xf>
    <xf numFmtId="0" fontId="120" fillId="0" borderId="0" xfId="2453" applyFont="1" applyFill="1" applyAlignment="1">
      <alignment horizontal="center" vertical="center"/>
    </xf>
    <xf numFmtId="9" fontId="123" fillId="5" borderId="94" xfId="2453" applyNumberFormat="1" applyFont="1" applyFill="1" applyBorder="1" applyAlignment="1">
      <alignment horizontal="center" vertical="center"/>
    </xf>
    <xf numFmtId="9" fontId="118" fillId="0" borderId="7" xfId="2461" applyFont="1" applyFill="1" applyBorder="1" applyAlignment="1">
      <alignment horizontal="center" vertical="center"/>
    </xf>
    <xf numFmtId="9" fontId="118" fillId="0" borderId="24" xfId="2461" applyFont="1" applyFill="1" applyBorder="1" applyAlignment="1">
      <alignment horizontal="center" vertical="center"/>
    </xf>
    <xf numFmtId="9" fontId="125" fillId="0" borderId="96" xfId="2461" applyFont="1" applyFill="1" applyBorder="1" applyAlignment="1">
      <alignment horizontal="center" vertical="center"/>
    </xf>
    <xf numFmtId="0" fontId="33" fillId="0" borderId="0" xfId="2450" applyFont="1" applyAlignment="1">
      <alignment horizontal="center" vertical="center"/>
    </xf>
    <xf numFmtId="176" fontId="29" fillId="3" borderId="16" xfId="2453" applyNumberFormat="1" applyFont="1" applyFill="1" applyBorder="1" applyAlignment="1">
      <alignment horizontal="center" vertical="center" wrapText="1"/>
    </xf>
    <xf numFmtId="176" fontId="29" fillId="4" borderId="30" xfId="2453" applyNumberFormat="1" applyFont="1" applyFill="1" applyBorder="1" applyAlignment="1">
      <alignment horizontal="right" vertical="center"/>
    </xf>
    <xf numFmtId="176" fontId="29" fillId="4" borderId="23" xfId="2453" applyNumberFormat="1" applyFont="1" applyFill="1" applyBorder="1" applyAlignment="1">
      <alignment horizontal="right" vertical="center"/>
    </xf>
    <xf numFmtId="176" fontId="29" fillId="4" borderId="14" xfId="2453" applyNumberFormat="1" applyFont="1" applyFill="1" applyBorder="1" applyAlignment="1">
      <alignment horizontal="right" vertical="center"/>
    </xf>
    <xf numFmtId="176" fontId="29" fillId="4" borderId="54" xfId="2453" applyNumberFormat="1" applyFont="1" applyFill="1" applyBorder="1" applyAlignment="1">
      <alignment horizontal="right" vertical="center"/>
    </xf>
    <xf numFmtId="9" fontId="29" fillId="5" borderId="11" xfId="2453" applyNumberFormat="1" applyFont="1" applyFill="1" applyBorder="1" applyAlignment="1">
      <alignment horizontal="center" vertical="center"/>
    </xf>
    <xf numFmtId="9" fontId="29" fillId="2" borderId="19" xfId="216" applyNumberFormat="1" applyFont="1" applyFill="1" applyBorder="1" applyAlignment="1">
      <alignment horizontal="center" vertical="center"/>
    </xf>
    <xf numFmtId="9" fontId="29" fillId="2" borderId="4" xfId="216" applyNumberFormat="1" applyFont="1" applyFill="1" applyBorder="1" applyAlignment="1">
      <alignment horizontal="center" vertical="center"/>
    </xf>
    <xf numFmtId="9" fontId="29" fillId="2" borderId="11" xfId="216" applyNumberFormat="1" applyFont="1" applyFill="1" applyBorder="1" applyAlignment="1">
      <alignment horizontal="center" vertical="center"/>
    </xf>
    <xf numFmtId="9" fontId="29" fillId="2" borderId="9" xfId="216" applyNumberFormat="1" applyFont="1" applyFill="1" applyBorder="1" applyAlignment="1">
      <alignment horizontal="center" vertical="center"/>
    </xf>
    <xf numFmtId="176" fontId="29" fillId="4" borderId="19" xfId="2453" applyNumberFormat="1" applyFont="1" applyFill="1" applyBorder="1" applyAlignment="1">
      <alignment horizontal="right" vertical="center"/>
    </xf>
    <xf numFmtId="176" fontId="29" fillId="4" borderId="4" xfId="2453" applyNumberFormat="1" applyFont="1" applyFill="1" applyBorder="1" applyAlignment="1">
      <alignment horizontal="right" vertical="center"/>
    </xf>
    <xf numFmtId="176" fontId="29" fillId="4" borderId="11" xfId="2453" applyNumberFormat="1" applyFont="1" applyFill="1" applyBorder="1" applyAlignment="1">
      <alignment horizontal="right" vertical="center"/>
    </xf>
    <xf numFmtId="176" fontId="29" fillId="4" borderId="9" xfId="2453" applyNumberFormat="1" applyFont="1" applyFill="1" applyBorder="1" applyAlignment="1">
      <alignment horizontal="right" vertical="center"/>
    </xf>
    <xf numFmtId="9" fontId="29" fillId="5" borderId="16" xfId="2453" applyNumberFormat="1" applyFont="1" applyFill="1" applyBorder="1" applyAlignment="1">
      <alignment horizontal="center" vertical="center"/>
    </xf>
    <xf numFmtId="9" fontId="29" fillId="0" borderId="19" xfId="216" applyNumberFormat="1" applyFont="1" applyFill="1" applyBorder="1" applyAlignment="1">
      <alignment horizontal="center" vertical="center"/>
    </xf>
    <xf numFmtId="9" fontId="29" fillId="0" borderId="4" xfId="216" applyNumberFormat="1" applyFont="1" applyFill="1" applyBorder="1" applyAlignment="1">
      <alignment horizontal="center" vertical="center"/>
    </xf>
    <xf numFmtId="9" fontId="29" fillId="5" borderId="25" xfId="2453" applyNumberFormat="1" applyFont="1" applyFill="1" applyBorder="1" applyAlignment="1">
      <alignment horizontal="center" vertical="center"/>
    </xf>
    <xf numFmtId="9" fontId="29" fillId="0" borderId="15" xfId="216" applyNumberFormat="1" applyFont="1" applyFill="1" applyBorder="1" applyAlignment="1">
      <alignment horizontal="center" vertical="center"/>
    </xf>
    <xf numFmtId="9" fontId="29" fillId="0" borderId="7" xfId="216" applyNumberFormat="1" applyFont="1" applyFill="1" applyBorder="1" applyAlignment="1">
      <alignment horizontal="center" vertical="center"/>
    </xf>
    <xf numFmtId="9" fontId="29" fillId="2" borderId="7" xfId="216" applyNumberFormat="1" applyFont="1" applyFill="1" applyBorder="1" applyAlignment="1">
      <alignment horizontal="center" vertical="center"/>
    </xf>
    <xf numFmtId="9" fontId="29" fillId="2" borderId="16" xfId="216" applyNumberFormat="1" applyFont="1" applyFill="1" applyBorder="1" applyAlignment="1">
      <alignment horizontal="center" vertical="center"/>
    </xf>
    <xf numFmtId="9" fontId="29" fillId="2" borderId="15" xfId="216" applyNumberFormat="1" applyFont="1" applyFill="1" applyBorder="1" applyAlignment="1">
      <alignment horizontal="center" vertical="center"/>
    </xf>
    <xf numFmtId="9" fontId="29" fillId="2" borderId="22" xfId="216" applyNumberFormat="1" applyFont="1" applyFill="1" applyBorder="1" applyAlignment="1">
      <alignment horizontal="center" vertical="center"/>
    </xf>
    <xf numFmtId="9" fontId="29" fillId="0" borderId="11" xfId="216" applyNumberFormat="1" applyFont="1" applyFill="1" applyBorder="1" applyAlignment="1">
      <alignment horizontal="center" vertical="center"/>
    </xf>
    <xf numFmtId="9" fontId="29" fillId="0" borderId="9" xfId="216" applyNumberFormat="1" applyFont="1" applyFill="1" applyBorder="1" applyAlignment="1">
      <alignment horizontal="center" vertical="center"/>
    </xf>
    <xf numFmtId="9" fontId="29" fillId="0" borderId="16" xfId="216" applyNumberFormat="1" applyFont="1" applyFill="1" applyBorder="1" applyAlignment="1">
      <alignment horizontal="center" vertical="center"/>
    </xf>
    <xf numFmtId="9" fontId="29" fillId="0" borderId="22" xfId="216" applyNumberFormat="1" applyFont="1" applyFill="1" applyBorder="1" applyAlignment="1">
      <alignment horizontal="center" vertical="center"/>
    </xf>
    <xf numFmtId="9" fontId="101" fillId="5" borderId="7" xfId="2453" applyNumberFormat="1" applyFont="1" applyFill="1" applyBorder="1" applyAlignment="1">
      <alignment horizontal="center" vertical="center"/>
    </xf>
    <xf numFmtId="10" fontId="101" fillId="5" borderId="7" xfId="2453" applyNumberFormat="1" applyFont="1" applyFill="1" applyBorder="1" applyAlignment="1">
      <alignment horizontal="center" vertical="center"/>
    </xf>
    <xf numFmtId="177" fontId="101" fillId="5" borderId="16" xfId="2453" applyNumberFormat="1" applyFont="1" applyFill="1" applyBorder="1" applyAlignment="1">
      <alignment horizontal="center" vertical="center"/>
    </xf>
    <xf numFmtId="177" fontId="29" fillId="2" borderId="15" xfId="216" applyNumberFormat="1" applyFont="1" applyFill="1" applyBorder="1" applyAlignment="1">
      <alignment horizontal="center" vertical="center"/>
    </xf>
    <xf numFmtId="177" fontId="29" fillId="2" borderId="7" xfId="216" applyNumberFormat="1" applyFont="1" applyFill="1" applyBorder="1" applyAlignment="1">
      <alignment horizontal="center" vertical="center"/>
    </xf>
    <xf numFmtId="177" fontId="29" fillId="2" borderId="16" xfId="216" applyNumberFormat="1" applyFont="1" applyFill="1" applyBorder="1" applyAlignment="1">
      <alignment horizontal="center" vertical="center"/>
    </xf>
    <xf numFmtId="177" fontId="29" fillId="2" borderId="22" xfId="216" applyNumberFormat="1" applyFont="1" applyFill="1" applyBorder="1" applyAlignment="1">
      <alignment horizontal="center" vertical="center"/>
    </xf>
    <xf numFmtId="0" fontId="107" fillId="0" borderId="0" xfId="2453" applyFont="1" applyAlignment="1">
      <alignment vertical="center"/>
    </xf>
    <xf numFmtId="0" fontId="107" fillId="0" borderId="0" xfId="2453" applyFont="1" applyAlignment="1">
      <alignment horizontal="center" vertical="center"/>
    </xf>
    <xf numFmtId="176" fontId="107" fillId="0" borderId="0" xfId="2453" applyNumberFormat="1" applyFont="1" applyAlignment="1">
      <alignment vertical="center"/>
    </xf>
    <xf numFmtId="9" fontId="29" fillId="0" borderId="9" xfId="0" quotePrefix="1" applyNumberFormat="1" applyFont="1" applyBorder="1" applyAlignment="1">
      <alignment horizontal="center" vertical="center"/>
    </xf>
    <xf numFmtId="0" fontId="28" fillId="3" borderId="92" xfId="2453" applyFont="1" applyFill="1" applyBorder="1" applyAlignment="1">
      <alignment horizontal="center" vertical="center"/>
    </xf>
    <xf numFmtId="0" fontId="29" fillId="2" borderId="93" xfId="2453" applyFont="1" applyFill="1" applyBorder="1" applyAlignment="1">
      <alignment horizontal="center" vertical="center"/>
    </xf>
    <xf numFmtId="0" fontId="27" fillId="0" borderId="94" xfId="2453" applyNumberFormat="1" applyFont="1" applyBorder="1" applyAlignment="1">
      <alignment horizontal="center" vertical="center"/>
    </xf>
    <xf numFmtId="9" fontId="27" fillId="0" borderId="24" xfId="2453" applyNumberFormat="1" applyFont="1" applyBorder="1" applyAlignment="1">
      <alignment horizontal="center" vertical="center"/>
    </xf>
    <xf numFmtId="9" fontId="27" fillId="0" borderId="96" xfId="2453" applyNumberFormat="1" applyFont="1" applyBorder="1" applyAlignment="1">
      <alignment horizontal="center" vertical="center"/>
    </xf>
    <xf numFmtId="0" fontId="28" fillId="5" borderId="60" xfId="2450" applyFont="1" applyFill="1" applyBorder="1" applyAlignment="1">
      <alignment horizontal="center" vertical="center"/>
    </xf>
    <xf numFmtId="9" fontId="29" fillId="0" borderId="12" xfId="2450" applyNumberFormat="1" applyFont="1" applyFill="1" applyBorder="1" applyAlignment="1">
      <alignment horizontal="center" vertical="center"/>
    </xf>
    <xf numFmtId="9" fontId="29" fillId="0" borderId="96" xfId="2450" applyNumberFormat="1" applyFont="1" applyFill="1" applyBorder="1" applyAlignment="1">
      <alignment horizontal="center" vertical="center"/>
    </xf>
    <xf numFmtId="0" fontId="29" fillId="3" borderId="94" xfId="2450" applyFont="1" applyFill="1" applyBorder="1" applyAlignment="1">
      <alignment horizontal="center" vertical="center"/>
    </xf>
    <xf numFmtId="0" fontId="29" fillId="3" borderId="19" xfId="2452" applyNumberFormat="1" applyFont="1" applyFill="1" applyBorder="1" applyAlignment="1">
      <alignment horizontal="center" vertical="center"/>
    </xf>
    <xf numFmtId="177" fontId="107" fillId="3" borderId="35" xfId="2452" applyNumberFormat="1" applyFont="1" applyFill="1" applyBorder="1" applyAlignment="1">
      <alignment horizontal="center" vertical="center"/>
    </xf>
    <xf numFmtId="177" fontId="107" fillId="3" borderId="37" xfId="2452" applyNumberFormat="1" applyFont="1" applyFill="1" applyBorder="1" applyAlignment="1">
      <alignment horizontal="center" vertical="center"/>
    </xf>
    <xf numFmtId="9" fontId="107" fillId="3" borderId="15" xfId="2452" applyNumberFormat="1" applyFont="1" applyFill="1" applyBorder="1" applyAlignment="1">
      <alignment horizontal="center" vertical="center"/>
    </xf>
    <xf numFmtId="0" fontId="107" fillId="3" borderId="15" xfId="2452" applyNumberFormat="1" applyFont="1" applyFill="1" applyBorder="1" applyAlignment="1">
      <alignment horizontal="center" vertical="center"/>
    </xf>
    <xf numFmtId="176" fontId="107" fillId="7" borderId="13" xfId="2453" applyNumberFormat="1" applyFont="1" applyFill="1" applyBorder="1" applyAlignment="1">
      <alignment horizontal="center" vertical="center"/>
    </xf>
    <xf numFmtId="176" fontId="107" fillId="7" borderId="18" xfId="2453" applyNumberFormat="1" applyFont="1" applyFill="1" applyBorder="1" applyAlignment="1">
      <alignment horizontal="center" vertical="center"/>
    </xf>
    <xf numFmtId="9" fontId="27" fillId="5" borderId="16" xfId="2452" applyNumberFormat="1" applyFont="1" applyFill="1" applyBorder="1" applyAlignment="1">
      <alignment horizontal="center" vertical="center"/>
    </xf>
    <xf numFmtId="9" fontId="27" fillId="3" borderId="7" xfId="2452" applyNumberFormat="1" applyFont="1" applyFill="1" applyBorder="1" applyAlignment="1">
      <alignment horizontal="center" vertical="center"/>
    </xf>
    <xf numFmtId="9" fontId="27" fillId="3" borderId="16" xfId="2452" applyNumberFormat="1" applyFont="1" applyFill="1" applyBorder="1" applyAlignment="1">
      <alignment horizontal="center" vertical="center"/>
    </xf>
    <xf numFmtId="9" fontId="27" fillId="3" borderId="11" xfId="2452" applyNumberFormat="1" applyFont="1" applyFill="1" applyBorder="1" applyAlignment="1">
      <alignment horizontal="center" vertical="center"/>
    </xf>
    <xf numFmtId="176" fontId="29" fillId="3" borderId="16" xfId="2452" applyNumberFormat="1" applyFont="1" applyFill="1" applyBorder="1" applyAlignment="1">
      <alignment horizontal="center" vertical="center" wrapText="1"/>
    </xf>
    <xf numFmtId="176" fontId="29" fillId="8" borderId="12" xfId="2452" applyNumberFormat="1" applyFont="1" applyFill="1" applyBorder="1" applyAlignment="1">
      <alignment horizontal="center" vertical="center" wrapText="1"/>
    </xf>
    <xf numFmtId="0" fontId="29" fillId="8" borderId="25" xfId="2452" applyNumberFormat="1" applyFont="1" applyFill="1" applyBorder="1" applyAlignment="1">
      <alignment horizontal="center" vertical="center" wrapText="1"/>
    </xf>
    <xf numFmtId="177" fontId="29" fillId="8" borderId="26" xfId="2461" applyNumberFormat="1" applyFont="1" applyFill="1" applyBorder="1" applyAlignment="1">
      <alignment horizontal="center" vertical="center"/>
    </xf>
    <xf numFmtId="176" fontId="29" fillId="3" borderId="25" xfId="2452" applyNumberFormat="1" applyFont="1" applyFill="1" applyBorder="1" applyAlignment="1">
      <alignment horizontal="center" vertical="center"/>
    </xf>
    <xf numFmtId="177" fontId="29" fillId="8" borderId="26" xfId="2452" applyNumberFormat="1" applyFont="1" applyFill="1" applyBorder="1" applyAlignment="1">
      <alignment horizontal="center" vertical="center"/>
    </xf>
    <xf numFmtId="176" fontId="30" fillId="0" borderId="0" xfId="2452" applyNumberFormat="1" applyFont="1" applyBorder="1" applyAlignment="1">
      <alignment horizontal="center" vertical="center"/>
    </xf>
    <xf numFmtId="176" fontId="29" fillId="3" borderId="7" xfId="2452" applyNumberFormat="1" applyFont="1" applyFill="1" applyBorder="1" applyAlignment="1">
      <alignment horizontal="center" vertical="center"/>
    </xf>
    <xf numFmtId="9" fontId="29" fillId="3" borderId="7" xfId="2459" applyFont="1" applyFill="1" applyBorder="1" applyAlignment="1">
      <alignment horizontal="center" vertical="center"/>
    </xf>
    <xf numFmtId="177" fontId="29" fillId="8" borderId="31" xfId="2461" applyNumberFormat="1" applyFont="1" applyFill="1" applyBorder="1" applyAlignment="1">
      <alignment horizontal="center" vertical="center" wrapText="1"/>
    </xf>
    <xf numFmtId="0" fontId="31" fillId="0" borderId="0" xfId="2451" applyFont="1" applyBorder="1" applyAlignment="1">
      <alignment vertical="center"/>
    </xf>
    <xf numFmtId="176" fontId="29" fillId="2" borderId="47" xfId="0" applyNumberFormat="1" applyFont="1" applyFill="1" applyBorder="1" applyAlignment="1">
      <alignment horizontal="center" vertical="center"/>
    </xf>
    <xf numFmtId="41" fontId="29" fillId="4" borderId="19" xfId="2463" applyFont="1" applyFill="1" applyBorder="1" applyAlignment="1">
      <alignment horizontal="center" vertical="center"/>
    </xf>
    <xf numFmtId="41" fontId="29" fillId="4" borderId="14" xfId="2463" applyFont="1" applyFill="1" applyBorder="1" applyAlignment="1">
      <alignment horizontal="center" vertical="center"/>
    </xf>
    <xf numFmtId="41" fontId="29" fillId="4" borderId="9" xfId="2463" applyFont="1" applyFill="1" applyBorder="1" applyAlignment="1">
      <alignment horizontal="center" vertical="center"/>
    </xf>
    <xf numFmtId="41" fontId="29" fillId="4" borderId="11" xfId="2463" applyFont="1" applyFill="1" applyBorder="1" applyAlignment="1">
      <alignment horizontal="center" vertical="center"/>
    </xf>
    <xf numFmtId="176" fontId="29" fillId="2" borderId="123" xfId="0" applyNumberFormat="1" applyFont="1" applyFill="1" applyBorder="1" applyAlignment="1">
      <alignment horizontal="center" vertical="center"/>
    </xf>
    <xf numFmtId="176" fontId="29" fillId="2" borderId="39" xfId="0" applyNumberFormat="1" applyFont="1" applyFill="1" applyBorder="1" applyAlignment="1">
      <alignment horizontal="center" vertical="center"/>
    </xf>
    <xf numFmtId="41" fontId="29" fillId="4" borderId="17" xfId="2463" applyFont="1" applyFill="1" applyBorder="1" applyAlignment="1">
      <alignment horizontal="center" vertical="center"/>
    </xf>
    <xf numFmtId="41" fontId="29" fillId="4" borderId="8" xfId="2463" applyFont="1" applyFill="1" applyBorder="1" applyAlignment="1">
      <alignment horizontal="center" vertical="center"/>
    </xf>
    <xf numFmtId="176" fontId="29" fillId="3" borderId="84" xfId="0" applyNumberFormat="1" applyFont="1" applyFill="1" applyBorder="1" applyAlignment="1">
      <alignment horizontal="center" vertical="center" wrapText="1"/>
    </xf>
    <xf numFmtId="176" fontId="29" fillId="4" borderId="54" xfId="0" applyNumberFormat="1" applyFont="1" applyFill="1" applyBorder="1" applyAlignment="1">
      <alignment horizontal="right" vertical="center"/>
    </xf>
    <xf numFmtId="0" fontId="99" fillId="0" borderId="0" xfId="2453" applyAlignment="1">
      <alignment horizontal="center" vertical="center"/>
    </xf>
    <xf numFmtId="9" fontId="29" fillId="8" borderId="7" xfId="2461" applyNumberFormat="1" applyFont="1" applyFill="1" applyBorder="1" applyAlignment="1">
      <alignment horizontal="center" vertical="center"/>
    </xf>
    <xf numFmtId="176" fontId="29" fillId="8" borderId="7" xfId="2452" applyNumberFormat="1" applyFont="1" applyFill="1" applyBorder="1" applyAlignment="1">
      <alignment horizontal="center" vertical="center" wrapText="1"/>
    </xf>
    <xf numFmtId="176" fontId="29" fillId="8" borderId="24" xfId="2452" applyNumberFormat="1" applyFont="1" applyFill="1" applyBorder="1" applyAlignment="1">
      <alignment horizontal="center" vertical="center" wrapText="1"/>
    </xf>
    <xf numFmtId="0" fontId="129" fillId="0" borderId="0" xfId="2453" applyFont="1">
      <alignment vertical="center"/>
    </xf>
    <xf numFmtId="0" fontId="29" fillId="5" borderId="18" xfId="2450" applyFont="1" applyFill="1" applyBorder="1" applyAlignment="1">
      <alignment horizontal="center" vertical="center"/>
    </xf>
    <xf numFmtId="9" fontId="29" fillId="0" borderId="96" xfId="2461" applyNumberFormat="1" applyFont="1" applyFill="1" applyBorder="1" applyAlignment="1">
      <alignment horizontal="center" vertical="center"/>
    </xf>
    <xf numFmtId="9" fontId="29" fillId="0" borderId="11" xfId="2461" applyNumberFormat="1" applyFont="1" applyFill="1" applyBorder="1" applyAlignment="1">
      <alignment horizontal="center" vertical="center"/>
    </xf>
    <xf numFmtId="223" fontId="27" fillId="0" borderId="0" xfId="2463" applyNumberFormat="1" applyFont="1">
      <alignment vertical="center"/>
    </xf>
    <xf numFmtId="177" fontId="101" fillId="3" borderId="21" xfId="2452" applyNumberFormat="1" applyFont="1" applyFill="1" applyBorder="1" applyAlignment="1">
      <alignment horizontal="center" vertical="center"/>
    </xf>
    <xf numFmtId="176" fontId="29" fillId="8" borderId="23" xfId="2453" applyNumberFormat="1" applyFont="1" applyFill="1" applyBorder="1" applyAlignment="1">
      <alignment horizontal="center" vertical="center"/>
    </xf>
    <xf numFmtId="41" fontId="20" fillId="0" borderId="0" xfId="2463" applyFont="1">
      <alignment vertical="center"/>
    </xf>
    <xf numFmtId="41" fontId="30" fillId="0" borderId="0" xfId="2463" applyFont="1" applyFill="1" applyAlignment="1">
      <alignment vertical="center"/>
    </xf>
    <xf numFmtId="41" fontId="29" fillId="0" borderId="0" xfId="2463" applyFont="1" applyFill="1" applyAlignment="1">
      <alignment vertical="center"/>
    </xf>
    <xf numFmtId="41" fontId="29" fillId="0" borderId="0" xfId="2463" applyFont="1" applyAlignment="1">
      <alignment vertical="center"/>
    </xf>
    <xf numFmtId="9" fontId="118" fillId="0" borderId="22" xfId="2453" applyNumberFormat="1" applyFont="1" applyFill="1" applyBorder="1" applyAlignment="1">
      <alignment horizontal="center" vertical="center"/>
    </xf>
    <xf numFmtId="0" fontId="27" fillId="0" borderId="0" xfId="2451" applyFont="1" applyBorder="1">
      <alignment vertical="center"/>
    </xf>
    <xf numFmtId="176" fontId="28" fillId="2" borderId="98" xfId="0" applyNumberFormat="1" applyFont="1" applyFill="1" applyBorder="1" applyAlignment="1">
      <alignment horizontal="center" vertical="center"/>
    </xf>
    <xf numFmtId="176" fontId="28" fillId="2" borderId="107" xfId="0" applyNumberFormat="1" applyFont="1" applyFill="1" applyBorder="1" applyAlignment="1">
      <alignment horizontal="center" vertical="center"/>
    </xf>
    <xf numFmtId="0" fontId="27" fillId="0" borderId="0" xfId="2451" applyFont="1" applyFill="1" applyBorder="1">
      <alignment vertical="center"/>
    </xf>
    <xf numFmtId="0" fontId="37" fillId="0" borderId="0" xfId="0" applyFont="1">
      <alignment vertical="center"/>
    </xf>
    <xf numFmtId="9" fontId="29" fillId="0" borderId="94" xfId="0" applyNumberFormat="1" applyFont="1" applyBorder="1" applyAlignment="1">
      <alignment horizontal="center" vertical="center"/>
    </xf>
    <xf numFmtId="41" fontId="29" fillId="4" borderId="30" xfId="2463" applyFont="1" applyFill="1" applyBorder="1" applyAlignment="1">
      <alignment horizontal="center" vertical="center"/>
    </xf>
    <xf numFmtId="41" fontId="29" fillId="4" borderId="23" xfId="2463" applyFont="1" applyFill="1" applyBorder="1" applyAlignment="1">
      <alignment horizontal="center" vertical="center"/>
    </xf>
    <xf numFmtId="41" fontId="29" fillId="4" borderId="54" xfId="2463" applyFont="1" applyFill="1" applyBorder="1" applyAlignment="1">
      <alignment horizontal="center" vertical="center"/>
    </xf>
    <xf numFmtId="9" fontId="118" fillId="0" borderId="21" xfId="2461" applyFont="1" applyBorder="1" applyAlignment="1">
      <alignment horizontal="center" vertical="center"/>
    </xf>
    <xf numFmtId="9" fontId="29" fillId="0" borderId="0" xfId="2459" applyFont="1" applyFill="1" applyAlignment="1">
      <alignment vertical="center"/>
    </xf>
    <xf numFmtId="0" fontId="29" fillId="0" borderId="0" xfId="2450" applyFont="1" applyFill="1" applyBorder="1" applyAlignment="1">
      <alignment horizontal="center" vertical="center"/>
    </xf>
    <xf numFmtId="176" fontId="29" fillId="3" borderId="23" xfId="2452" applyNumberFormat="1" applyFont="1" applyFill="1" applyBorder="1" applyAlignment="1">
      <alignment horizontal="center" vertical="center" wrapText="1"/>
    </xf>
    <xf numFmtId="9" fontId="29" fillId="3" borderId="23" xfId="2452" applyNumberFormat="1" applyFont="1" applyFill="1" applyBorder="1" applyAlignment="1">
      <alignment horizontal="center" vertical="center"/>
    </xf>
    <xf numFmtId="0" fontId="29" fillId="0" borderId="7" xfId="2450" applyFont="1" applyBorder="1" applyAlignment="1">
      <alignment horizontal="center" vertical="center"/>
    </xf>
    <xf numFmtId="0" fontId="29" fillId="3" borderId="6" xfId="0" applyFont="1" applyFill="1" applyBorder="1" applyAlignment="1">
      <alignment horizontal="center" vertical="center"/>
    </xf>
    <xf numFmtId="9" fontId="29" fillId="3" borderId="27" xfId="0" applyNumberFormat="1" applyFont="1" applyFill="1" applyBorder="1" applyAlignment="1">
      <alignment horizontal="center" vertical="center"/>
    </xf>
    <xf numFmtId="9" fontId="29" fillId="3" borderId="14" xfId="0" applyNumberFormat="1" applyFont="1" applyFill="1" applyBorder="1" applyAlignment="1">
      <alignment horizontal="center" vertical="center"/>
    </xf>
    <xf numFmtId="0" fontId="29" fillId="0" borderId="12" xfId="2450" applyFont="1" applyBorder="1" applyAlignment="1">
      <alignment horizontal="center" vertical="center"/>
    </xf>
    <xf numFmtId="177" fontId="27" fillId="3" borderId="6" xfId="2452" applyNumberFormat="1" applyFont="1" applyFill="1" applyBorder="1" applyAlignment="1">
      <alignment horizontal="center" vertical="center"/>
    </xf>
    <xf numFmtId="0" fontId="29" fillId="0" borderId="0" xfId="2450" applyFont="1" applyBorder="1" applyAlignment="1">
      <alignment horizontal="center" vertical="center"/>
    </xf>
    <xf numFmtId="9" fontId="29" fillId="3" borderId="7" xfId="2461" applyFont="1" applyFill="1" applyBorder="1" applyAlignment="1">
      <alignment horizontal="center" vertical="center"/>
    </xf>
    <xf numFmtId="177" fontId="29" fillId="2" borderId="3" xfId="2461" applyNumberFormat="1" applyFont="1" applyFill="1" applyBorder="1" applyAlignment="1">
      <alignment horizontal="center" vertical="center"/>
    </xf>
    <xf numFmtId="177" fontId="29" fillId="2" borderId="56" xfId="2461" applyNumberFormat="1" applyFont="1" applyFill="1" applyBorder="1" applyAlignment="1">
      <alignment horizontal="center" vertical="center"/>
    </xf>
    <xf numFmtId="177" fontId="29" fillId="2" borderId="24" xfId="2461" applyNumberFormat="1" applyFont="1" applyFill="1" applyBorder="1" applyAlignment="1">
      <alignment horizontal="center" vertical="center"/>
    </xf>
    <xf numFmtId="9" fontId="29" fillId="0" borderId="52" xfId="2461" applyFont="1" applyBorder="1" applyAlignment="1">
      <alignment horizontal="center" vertical="center"/>
    </xf>
    <xf numFmtId="0" fontId="105" fillId="0" borderId="0" xfId="0" applyFont="1" applyAlignment="1">
      <alignment vertical="center"/>
    </xf>
    <xf numFmtId="177" fontId="27" fillId="0" borderId="9" xfId="0" applyNumberFormat="1" applyFont="1" applyFill="1" applyBorder="1" applyAlignment="1">
      <alignment horizontal="center" vertical="center"/>
    </xf>
    <xf numFmtId="177" fontId="27" fillId="0" borderId="4" xfId="0" applyNumberFormat="1" applyFont="1" applyFill="1" applyBorder="1" applyAlignment="1">
      <alignment horizontal="center" vertical="center"/>
    </xf>
    <xf numFmtId="177" fontId="27" fillId="0" borderId="11" xfId="0" applyNumberFormat="1" applyFont="1" applyFill="1" applyBorder="1" applyAlignment="1">
      <alignment horizontal="center" vertical="center"/>
    </xf>
    <xf numFmtId="0" fontId="27" fillId="0" borderId="8" xfId="0" applyFont="1" applyFill="1" applyBorder="1" applyAlignment="1">
      <alignment horizontal="center" vertical="center"/>
    </xf>
    <xf numFmtId="0" fontId="132" fillId="0" borderId="0" xfId="2453" applyFont="1">
      <alignment vertical="center"/>
    </xf>
    <xf numFmtId="9" fontId="29" fillId="0" borderId="0" xfId="2459" applyFont="1" applyFill="1" applyAlignment="1">
      <alignment horizontal="center" vertical="center"/>
    </xf>
    <xf numFmtId="3" fontId="29" fillId="3" borderId="4" xfId="2452" applyNumberFormat="1" applyFont="1" applyFill="1" applyBorder="1" applyAlignment="1">
      <alignment horizontal="center" vertical="center"/>
    </xf>
    <xf numFmtId="0" fontId="28" fillId="5" borderId="55" xfId="2450" applyFont="1" applyFill="1" applyBorder="1" applyAlignment="1">
      <alignment horizontal="center" vertical="center"/>
    </xf>
    <xf numFmtId="0" fontId="28" fillId="5" borderId="27" xfId="2450" applyFont="1" applyFill="1" applyBorder="1" applyAlignment="1">
      <alignment horizontal="center" vertical="center"/>
    </xf>
    <xf numFmtId="0" fontId="29" fillId="0" borderId="0" xfId="2450" applyFont="1" applyFill="1" applyBorder="1" applyAlignment="1">
      <alignment horizontal="center" vertical="center"/>
    </xf>
    <xf numFmtId="0" fontId="29" fillId="6" borderId="45" xfId="2450" applyFont="1" applyFill="1" applyBorder="1" applyAlignment="1">
      <alignment vertical="center"/>
    </xf>
    <xf numFmtId="0" fontId="29" fillId="6" borderId="49" xfId="2450" applyFont="1" applyFill="1" applyBorder="1" applyAlignment="1">
      <alignment vertical="center"/>
    </xf>
    <xf numFmtId="176" fontId="29" fillId="2" borderId="58" xfId="0" applyNumberFormat="1" applyFont="1" applyFill="1" applyBorder="1" applyAlignment="1">
      <alignment horizontal="center" vertical="center"/>
    </xf>
    <xf numFmtId="176" fontId="29" fillId="2" borderId="105" xfId="0" applyNumberFormat="1" applyFont="1" applyFill="1" applyBorder="1" applyAlignment="1">
      <alignment horizontal="center" vertical="center"/>
    </xf>
    <xf numFmtId="9" fontId="29" fillId="3" borderId="16" xfId="0" applyNumberFormat="1" applyFont="1" applyFill="1" applyBorder="1" applyAlignment="1">
      <alignment horizontal="center" vertical="center"/>
    </xf>
    <xf numFmtId="176" fontId="29" fillId="3" borderId="108" xfId="0" applyNumberFormat="1" applyFont="1" applyFill="1" applyBorder="1" applyAlignment="1">
      <alignment horizontal="center" vertical="center" wrapText="1"/>
    </xf>
    <xf numFmtId="0" fontId="28" fillId="5" borderId="13" xfId="2450" applyFont="1" applyFill="1" applyBorder="1" applyAlignment="1">
      <alignment horizontal="center" vertical="center"/>
    </xf>
    <xf numFmtId="0" fontId="28" fillId="5" borderId="18" xfId="2450" applyFont="1" applyFill="1" applyBorder="1" applyAlignment="1">
      <alignment horizontal="center" vertical="center"/>
    </xf>
    <xf numFmtId="177" fontId="29" fillId="8" borderId="31" xfId="2452" applyNumberFormat="1" applyFont="1" applyFill="1" applyBorder="1" applyAlignment="1">
      <alignment horizontal="center" vertical="center" wrapText="1"/>
    </xf>
    <xf numFmtId="177" fontId="29" fillId="2" borderId="26" xfId="2453" applyNumberFormat="1" applyFont="1" applyFill="1" applyBorder="1" applyAlignment="1">
      <alignment horizontal="center" vertical="center"/>
    </xf>
    <xf numFmtId="0" fontId="27" fillId="0" borderId="4" xfId="2453" applyNumberFormat="1" applyFont="1" applyBorder="1" applyAlignment="1">
      <alignment horizontal="center" vertical="center"/>
    </xf>
    <xf numFmtId="0" fontId="27" fillId="0" borderId="6" xfId="2453" applyNumberFormat="1" applyFont="1" applyBorder="1" applyAlignment="1">
      <alignment horizontal="center" vertical="center"/>
    </xf>
    <xf numFmtId="0" fontId="29" fillId="5" borderId="4" xfId="0" applyFont="1" applyFill="1" applyBorder="1" applyAlignment="1">
      <alignment horizontal="center" vertical="center" wrapText="1"/>
    </xf>
    <xf numFmtId="0" fontId="29" fillId="5" borderId="12" xfId="0" applyFont="1" applyFill="1" applyBorder="1" applyAlignment="1">
      <alignment horizontal="center" vertical="center" wrapText="1"/>
    </xf>
    <xf numFmtId="9" fontId="29" fillId="3" borderId="15" xfId="0" applyNumberFormat="1" applyFont="1" applyFill="1" applyBorder="1" applyAlignment="1">
      <alignment horizontal="center" vertical="center"/>
    </xf>
    <xf numFmtId="0" fontId="28" fillId="3" borderId="13" xfId="2453" applyFont="1" applyFill="1" applyBorder="1" applyAlignment="1">
      <alignment horizontal="center" vertical="center" wrapText="1"/>
    </xf>
    <xf numFmtId="0" fontId="28" fillId="3" borderId="18" xfId="2453" applyFont="1" applyFill="1" applyBorder="1" applyAlignment="1">
      <alignment horizontal="center" vertical="center"/>
    </xf>
    <xf numFmtId="9" fontId="29" fillId="2" borderId="131" xfId="2453" applyNumberFormat="1" applyFont="1" applyFill="1" applyBorder="1" applyAlignment="1">
      <alignment horizontal="center" vertical="center"/>
    </xf>
    <xf numFmtId="9" fontId="29" fillId="2" borderId="48" xfId="2453" applyNumberFormat="1" applyFont="1" applyFill="1" applyBorder="1" applyAlignment="1">
      <alignment horizontal="center" vertical="center"/>
    </xf>
    <xf numFmtId="9" fontId="29" fillId="2" borderId="26" xfId="2453" applyNumberFormat="1" applyFont="1" applyFill="1" applyBorder="1" applyAlignment="1">
      <alignment horizontal="center" vertical="center" wrapText="1"/>
    </xf>
    <xf numFmtId="9" fontId="29" fillId="2" borderId="68" xfId="2453" applyNumberFormat="1" applyFont="1" applyFill="1" applyBorder="1" applyAlignment="1">
      <alignment horizontal="center" vertical="center"/>
    </xf>
    <xf numFmtId="177" fontId="29" fillId="0" borderId="7" xfId="2450" applyNumberFormat="1" applyFont="1" applyFill="1" applyBorder="1" applyAlignment="1">
      <alignment horizontal="center" vertical="center"/>
    </xf>
    <xf numFmtId="9" fontId="29" fillId="0" borderId="132" xfId="2450" applyNumberFormat="1" applyFont="1" applyFill="1" applyBorder="1" applyAlignment="1">
      <alignment horizontal="center" vertical="center"/>
    </xf>
    <xf numFmtId="0" fontId="87" fillId="0" borderId="0" xfId="0" applyFont="1" applyFill="1" applyAlignment="1">
      <alignment vertical="center"/>
    </xf>
    <xf numFmtId="0" fontId="89" fillId="0" borderId="0" xfId="0" applyFont="1" applyFill="1" applyAlignment="1">
      <alignment vertical="center"/>
    </xf>
    <xf numFmtId="0" fontId="87" fillId="0" borderId="0" xfId="0" applyFont="1" applyFill="1" applyAlignment="1">
      <alignment horizontal="center" vertical="center"/>
    </xf>
    <xf numFmtId="9" fontId="101" fillId="3" borderId="7" xfId="2461" applyFont="1" applyFill="1" applyBorder="1" applyAlignment="1">
      <alignment horizontal="center" vertical="center"/>
    </xf>
    <xf numFmtId="41" fontId="29" fillId="4" borderId="44" xfId="2463" applyFont="1" applyFill="1" applyBorder="1" applyAlignment="1">
      <alignment horizontal="center" vertical="center"/>
    </xf>
    <xf numFmtId="41" fontId="29" fillId="4" borderId="6" xfId="2463" applyFont="1" applyFill="1" applyBorder="1" applyAlignment="1">
      <alignment horizontal="center" vertical="center"/>
    </xf>
    <xf numFmtId="9" fontId="29" fillId="3" borderId="7" xfId="2461" applyFont="1" applyFill="1" applyBorder="1" applyAlignment="1">
      <alignment horizontal="center" vertical="center" wrapText="1"/>
    </xf>
    <xf numFmtId="9" fontId="101" fillId="3" borderId="24" xfId="2461" applyFont="1" applyFill="1" applyBorder="1" applyAlignment="1">
      <alignment horizontal="center" vertical="center"/>
    </xf>
    <xf numFmtId="177" fontId="29" fillId="3" borderId="24" xfId="2461" applyNumberFormat="1" applyFont="1" applyFill="1" applyBorder="1" applyAlignment="1">
      <alignment horizontal="center" vertical="center"/>
    </xf>
    <xf numFmtId="0" fontId="29" fillId="5" borderId="19" xfId="0" applyFont="1" applyFill="1" applyBorder="1" applyAlignment="1">
      <alignment horizontal="center" vertical="center"/>
    </xf>
    <xf numFmtId="177" fontId="29" fillId="2" borderId="11" xfId="2461" applyNumberFormat="1" applyFont="1" applyFill="1" applyBorder="1" applyAlignment="1">
      <alignment horizontal="center" vertical="center"/>
    </xf>
    <xf numFmtId="0" fontId="101" fillId="5" borderId="19" xfId="0" applyFont="1" applyFill="1" applyBorder="1" applyAlignment="1">
      <alignment horizontal="center" vertical="center"/>
    </xf>
    <xf numFmtId="0" fontId="101" fillId="5" borderId="15" xfId="0" applyFont="1" applyFill="1" applyBorder="1" applyAlignment="1">
      <alignment horizontal="center" vertical="center"/>
    </xf>
    <xf numFmtId="9" fontId="28" fillId="5" borderId="6" xfId="2450" applyNumberFormat="1" applyFont="1" applyFill="1" applyBorder="1" applyAlignment="1">
      <alignment horizontal="center" vertical="center"/>
    </xf>
    <xf numFmtId="9" fontId="28" fillId="5" borderId="94" xfId="2450" applyNumberFormat="1" applyFont="1" applyFill="1" applyBorder="1" applyAlignment="1">
      <alignment horizontal="center" vertical="center"/>
    </xf>
    <xf numFmtId="9" fontId="28" fillId="5" borderId="9" xfId="2450" applyNumberFormat="1" applyFont="1" applyFill="1" applyBorder="1" applyAlignment="1">
      <alignment horizontal="center" vertical="center"/>
    </xf>
    <xf numFmtId="9" fontId="29" fillId="0" borderId="24" xfId="2450" applyNumberFormat="1" applyFont="1" applyFill="1" applyBorder="1" applyAlignment="1">
      <alignment horizontal="center" vertical="center"/>
    </xf>
    <xf numFmtId="0" fontId="28" fillId="5" borderId="133" xfId="2450" applyFont="1" applyFill="1" applyBorder="1" applyAlignment="1">
      <alignment horizontal="center" vertical="center"/>
    </xf>
    <xf numFmtId="9" fontId="29" fillId="0" borderId="134" xfId="2450" applyNumberFormat="1" applyFont="1" applyFill="1" applyBorder="1" applyAlignment="1">
      <alignment horizontal="center" vertical="center"/>
    </xf>
    <xf numFmtId="41" fontId="29" fillId="0" borderId="0" xfId="2453" applyNumberFormat="1" applyFont="1" applyAlignment="1">
      <alignment vertical="center"/>
    </xf>
    <xf numFmtId="0" fontId="27" fillId="3" borderId="15" xfId="2452" applyNumberFormat="1" applyFont="1" applyFill="1" applyBorder="1" applyAlignment="1">
      <alignment horizontal="center" vertical="center"/>
    </xf>
    <xf numFmtId="0" fontId="27" fillId="0" borderId="0" xfId="0" applyFont="1" applyAlignment="1"/>
    <xf numFmtId="176" fontId="29" fillId="3" borderId="12" xfId="2452" applyNumberFormat="1" applyFont="1" applyFill="1" applyBorder="1" applyAlignment="1">
      <alignment horizontal="center" vertical="center" wrapText="1"/>
    </xf>
    <xf numFmtId="0" fontId="29" fillId="3" borderId="10" xfId="0" applyFont="1" applyFill="1" applyBorder="1" applyAlignment="1">
      <alignment horizontal="center" vertical="center"/>
    </xf>
    <xf numFmtId="177" fontId="29" fillId="0" borderId="0" xfId="2461" applyNumberFormat="1" applyFont="1" applyAlignment="1">
      <alignment vertical="center"/>
    </xf>
    <xf numFmtId="9" fontId="29" fillId="0" borderId="0" xfId="2461" applyFont="1" applyAlignment="1">
      <alignment vertical="center"/>
    </xf>
    <xf numFmtId="9" fontId="29" fillId="3" borderId="11" xfId="2467" applyNumberFormat="1" applyFont="1" applyFill="1" applyBorder="1" applyAlignment="1">
      <alignment horizontal="center" vertical="center"/>
    </xf>
    <xf numFmtId="9" fontId="33" fillId="0" borderId="0" xfId="2473" applyFont="1" applyAlignment="1">
      <alignment horizontal="left" vertical="center"/>
    </xf>
    <xf numFmtId="9" fontId="29" fillId="3" borderId="56" xfId="2473" applyFont="1" applyFill="1" applyBorder="1" applyAlignment="1">
      <alignment horizontal="center" vertical="center" wrapText="1"/>
    </xf>
    <xf numFmtId="9" fontId="29" fillId="3" borderId="7" xfId="2473" applyFont="1" applyFill="1" applyBorder="1" applyAlignment="1">
      <alignment horizontal="center" vertical="center" wrapText="1"/>
    </xf>
    <xf numFmtId="9" fontId="29" fillId="3" borderId="16" xfId="2473" applyFont="1" applyFill="1" applyBorder="1" applyAlignment="1">
      <alignment horizontal="center" vertical="center" wrapText="1"/>
    </xf>
    <xf numFmtId="9" fontId="29" fillId="3" borderId="24" xfId="2461" applyFont="1" applyFill="1" applyBorder="1" applyAlignment="1">
      <alignment horizontal="center" vertical="center" wrapText="1"/>
    </xf>
    <xf numFmtId="9" fontId="29" fillId="3" borderId="4" xfId="2473" applyFont="1" applyFill="1" applyBorder="1" applyAlignment="1">
      <alignment horizontal="center" vertical="center"/>
    </xf>
    <xf numFmtId="9" fontId="29" fillId="3" borderId="6" xfId="2473" applyFont="1" applyFill="1" applyBorder="1" applyAlignment="1">
      <alignment horizontal="center" vertical="center"/>
    </xf>
    <xf numFmtId="9" fontId="29" fillId="3" borderId="11" xfId="2473" applyFont="1" applyFill="1" applyBorder="1" applyAlignment="1">
      <alignment horizontal="center" vertical="center"/>
    </xf>
    <xf numFmtId="177" fontId="29" fillId="3" borderId="6" xfId="2473" applyNumberFormat="1" applyFont="1" applyFill="1" applyBorder="1" applyAlignment="1">
      <alignment horizontal="center" vertical="center"/>
    </xf>
    <xf numFmtId="9" fontId="29" fillId="3" borderId="7" xfId="2473" applyFont="1" applyFill="1" applyBorder="1" applyAlignment="1">
      <alignment horizontal="center" vertical="center"/>
    </xf>
    <xf numFmtId="9" fontId="29" fillId="3" borderId="16" xfId="2473" applyFont="1" applyFill="1" applyBorder="1" applyAlignment="1">
      <alignment horizontal="center" vertical="center"/>
    </xf>
    <xf numFmtId="9" fontId="29" fillId="0" borderId="0" xfId="2473" applyFont="1" applyBorder="1" applyAlignment="1">
      <alignment vertical="center"/>
    </xf>
    <xf numFmtId="9" fontId="29" fillId="0" borderId="0" xfId="2473" applyFont="1" applyBorder="1" applyAlignment="1">
      <alignment horizontal="center" vertical="center"/>
    </xf>
    <xf numFmtId="9" fontId="28" fillId="0" borderId="0" xfId="2473" applyFont="1" applyBorder="1" applyAlignment="1">
      <alignment vertical="center"/>
    </xf>
    <xf numFmtId="9" fontId="30" fillId="0" borderId="0" xfId="2473" applyFont="1" applyBorder="1" applyAlignment="1">
      <alignment vertical="center"/>
    </xf>
    <xf numFmtId="9" fontId="29" fillId="0" borderId="0" xfId="2473" applyFont="1" applyAlignment="1">
      <alignment vertical="center"/>
    </xf>
    <xf numFmtId="9" fontId="29" fillId="0" borderId="0" xfId="2473" applyFont="1" applyAlignment="1">
      <alignment horizontal="center" vertical="center"/>
    </xf>
    <xf numFmtId="9" fontId="30" fillId="0" borderId="0" xfId="2473" applyFont="1" applyAlignment="1">
      <alignment vertical="center"/>
    </xf>
    <xf numFmtId="9" fontId="20" fillId="0" borderId="0" xfId="2473" applyFont="1" applyAlignment="1">
      <alignment vertical="center"/>
    </xf>
    <xf numFmtId="9" fontId="20" fillId="0" borderId="0" xfId="2473" applyFont="1" applyAlignment="1">
      <alignment horizontal="center" vertical="center"/>
    </xf>
    <xf numFmtId="176" fontId="29" fillId="4" borderId="27" xfId="2453" applyNumberFormat="1" applyFont="1" applyFill="1" applyBorder="1" applyAlignment="1">
      <alignment horizontal="right" vertical="center"/>
    </xf>
    <xf numFmtId="9" fontId="29" fillId="2" borderId="6" xfId="216" applyNumberFormat="1" applyFont="1" applyFill="1" applyBorder="1" applyAlignment="1">
      <alignment horizontal="center" vertical="center"/>
    </xf>
    <xf numFmtId="176" fontId="29" fillId="4" borderId="6" xfId="2453" applyNumberFormat="1" applyFont="1" applyFill="1" applyBorder="1" applyAlignment="1">
      <alignment horizontal="right" vertical="center"/>
    </xf>
    <xf numFmtId="9" fontId="29" fillId="0" borderId="24" xfId="216" applyNumberFormat="1" applyFont="1" applyFill="1" applyBorder="1" applyAlignment="1">
      <alignment horizontal="center" vertical="center"/>
    </xf>
    <xf numFmtId="9" fontId="29" fillId="2" borderId="24" xfId="216" applyNumberFormat="1" applyFont="1" applyFill="1" applyBorder="1" applyAlignment="1">
      <alignment horizontal="center" vertical="center"/>
    </xf>
    <xf numFmtId="9" fontId="29" fillId="0" borderId="6" xfId="216" applyNumberFormat="1" applyFont="1" applyFill="1" applyBorder="1" applyAlignment="1">
      <alignment horizontal="center" vertical="center"/>
    </xf>
    <xf numFmtId="177" fontId="29" fillId="2" borderId="24" xfId="216" applyNumberFormat="1" applyFont="1" applyFill="1" applyBorder="1" applyAlignment="1">
      <alignment horizontal="center" vertical="center"/>
    </xf>
    <xf numFmtId="0" fontId="29" fillId="0" borderId="24" xfId="0" applyFont="1" applyFill="1" applyBorder="1" applyAlignment="1">
      <alignment horizontal="center" vertical="center"/>
    </xf>
    <xf numFmtId="10" fontId="29" fillId="3" borderId="7" xfId="2461" applyNumberFormat="1" applyFont="1" applyFill="1" applyBorder="1" applyAlignment="1">
      <alignment horizontal="center" vertical="center"/>
    </xf>
    <xf numFmtId="176" fontId="29" fillId="3" borderId="7" xfId="2457" applyNumberFormat="1" applyFont="1" applyFill="1" applyBorder="1" applyAlignment="1">
      <alignment horizontal="center" vertical="center"/>
    </xf>
    <xf numFmtId="176" fontId="29" fillId="3" borderId="22" xfId="2457" applyNumberFormat="1" applyFont="1" applyFill="1" applyBorder="1" applyAlignment="1">
      <alignment horizontal="center" vertical="center"/>
    </xf>
    <xf numFmtId="0" fontId="29" fillId="3" borderId="44" xfId="0" quotePrefix="1" applyNumberFormat="1" applyFont="1" applyFill="1" applyBorder="1" applyAlignment="1">
      <alignment horizontal="center" vertical="center"/>
    </xf>
    <xf numFmtId="9" fontId="29" fillId="0" borderId="46" xfId="2461" applyNumberFormat="1" applyFont="1" applyFill="1" applyBorder="1" applyAlignment="1">
      <alignment horizontal="center" vertical="center"/>
    </xf>
    <xf numFmtId="9" fontId="29" fillId="0" borderId="12" xfId="2461" applyNumberFormat="1" applyFont="1" applyFill="1" applyBorder="1" applyAlignment="1">
      <alignment horizontal="center" vertical="center"/>
    </xf>
    <xf numFmtId="9" fontId="29" fillId="0" borderId="13" xfId="2461" applyNumberFormat="1" applyFont="1" applyFill="1" applyBorder="1" applyAlignment="1">
      <alignment horizontal="center" vertical="center"/>
    </xf>
    <xf numFmtId="9" fontId="29" fillId="0" borderId="6" xfId="2461" applyNumberFormat="1" applyFont="1" applyFill="1" applyBorder="1" applyAlignment="1">
      <alignment horizontal="center" vertical="center"/>
    </xf>
    <xf numFmtId="9" fontId="29" fillId="0" borderId="94" xfId="2461" applyNumberFormat="1" applyFont="1" applyFill="1" applyBorder="1" applyAlignment="1">
      <alignment horizontal="center" vertical="center"/>
    </xf>
    <xf numFmtId="9" fontId="29" fillId="0" borderId="58" xfId="2461" applyNumberFormat="1" applyFont="1" applyFill="1" applyBorder="1" applyAlignment="1">
      <alignment horizontal="center" vertical="center"/>
    </xf>
    <xf numFmtId="0" fontId="29" fillId="3" borderId="53" xfId="0" applyFont="1" applyFill="1" applyBorder="1" applyAlignment="1">
      <alignment horizontal="center" vertical="center"/>
    </xf>
    <xf numFmtId="9" fontId="29" fillId="0" borderId="7" xfId="2461" applyNumberFormat="1" applyFont="1" applyFill="1" applyBorder="1" applyAlignment="1">
      <alignment horizontal="center" vertical="center"/>
    </xf>
    <xf numFmtId="9" fontId="29" fillId="0" borderId="24" xfId="2461" applyNumberFormat="1" applyFont="1" applyFill="1" applyBorder="1" applyAlignment="1">
      <alignment horizontal="center" vertical="center"/>
    </xf>
    <xf numFmtId="9" fontId="29" fillId="0" borderId="32" xfId="2461" applyNumberFormat="1" applyFont="1" applyFill="1" applyBorder="1" applyAlignment="1">
      <alignment horizontal="center" vertical="center"/>
    </xf>
    <xf numFmtId="41" fontId="29" fillId="4" borderId="17" xfId="2474" applyFont="1" applyFill="1" applyBorder="1" applyAlignment="1">
      <alignment horizontal="center" vertical="center"/>
    </xf>
    <xf numFmtId="41" fontId="29" fillId="4" borderId="4" xfId="2463" applyFont="1" applyFill="1" applyBorder="1" applyAlignment="1">
      <alignment horizontal="center" vertical="center"/>
    </xf>
    <xf numFmtId="41" fontId="29" fillId="4" borderId="30" xfId="2474" applyFont="1" applyFill="1" applyBorder="1" applyAlignment="1">
      <alignment horizontal="center" vertical="center"/>
    </xf>
    <xf numFmtId="177" fontId="101" fillId="3" borderId="4" xfId="2452" applyNumberFormat="1" applyFont="1" applyFill="1" applyBorder="1" applyAlignment="1">
      <alignment horizontal="center" vertical="center"/>
    </xf>
    <xf numFmtId="177" fontId="101" fillId="3" borderId="11" xfId="2452" applyNumberFormat="1" applyFont="1" applyFill="1" applyBorder="1" applyAlignment="1">
      <alignment horizontal="center" vertical="center"/>
    </xf>
    <xf numFmtId="3" fontId="101" fillId="3" borderId="7" xfId="2452" applyNumberFormat="1" applyFont="1" applyFill="1" applyBorder="1" applyAlignment="1">
      <alignment horizontal="center" vertical="center"/>
    </xf>
    <xf numFmtId="177" fontId="101" fillId="3" borderId="16" xfId="2467" applyNumberFormat="1" applyFont="1" applyFill="1" applyBorder="1" applyAlignment="1">
      <alignment horizontal="center" vertical="center"/>
    </xf>
    <xf numFmtId="0" fontId="28" fillId="3" borderId="14" xfId="2453" applyFont="1" applyFill="1" applyBorder="1" applyAlignment="1">
      <alignment horizontal="center" vertical="center"/>
    </xf>
    <xf numFmtId="0" fontId="28" fillId="5" borderId="19" xfId="2450" applyFont="1" applyFill="1" applyBorder="1" applyAlignment="1">
      <alignment horizontal="center" vertical="center"/>
    </xf>
    <xf numFmtId="177" fontId="107" fillId="4" borderId="50" xfId="2452" applyNumberFormat="1" applyFont="1" applyFill="1" applyBorder="1" applyAlignment="1">
      <alignment horizontal="center" vertical="center"/>
    </xf>
    <xf numFmtId="0" fontId="29" fillId="0" borderId="11" xfId="2450" applyFont="1" applyFill="1" applyBorder="1" applyAlignment="1">
      <alignment horizontal="center" vertical="center"/>
    </xf>
    <xf numFmtId="176" fontId="29" fillId="3" borderId="60" xfId="2453" applyNumberFormat="1" applyFont="1" applyFill="1" applyBorder="1" applyAlignment="1">
      <alignment horizontal="center" vertical="center"/>
    </xf>
    <xf numFmtId="9" fontId="29" fillId="3" borderId="14" xfId="0" applyNumberFormat="1" applyFont="1" applyFill="1" applyBorder="1" applyAlignment="1">
      <alignment horizontal="center" vertical="center"/>
    </xf>
    <xf numFmtId="0" fontId="28" fillId="5" borderId="30" xfId="2450" applyFont="1" applyFill="1" applyBorder="1" applyAlignment="1">
      <alignment horizontal="center" vertical="center"/>
    </xf>
    <xf numFmtId="0" fontId="28" fillId="5" borderId="14" xfId="2450" applyFont="1" applyFill="1" applyBorder="1" applyAlignment="1">
      <alignment horizontal="center" vertical="center"/>
    </xf>
    <xf numFmtId="0" fontId="28" fillId="5" borderId="23" xfId="2450" applyFont="1" applyFill="1" applyBorder="1" applyAlignment="1">
      <alignment horizontal="center" vertical="center"/>
    </xf>
    <xf numFmtId="0" fontId="28" fillId="5" borderId="15" xfId="2450" applyFont="1" applyFill="1" applyBorder="1" applyAlignment="1">
      <alignment horizontal="center" vertical="center"/>
    </xf>
    <xf numFmtId="0" fontId="29" fillId="0" borderId="0" xfId="2450" applyFont="1" applyBorder="1" applyAlignment="1">
      <alignment horizontal="center" vertical="center"/>
    </xf>
    <xf numFmtId="9" fontId="29" fillId="0" borderId="25" xfId="2450" applyNumberFormat="1" applyFont="1" applyFill="1" applyBorder="1" applyAlignment="1">
      <alignment horizontal="center" vertical="center"/>
    </xf>
    <xf numFmtId="0" fontId="96" fillId="0" borderId="0" xfId="2450" applyFont="1" applyFill="1">
      <alignment vertical="center"/>
    </xf>
    <xf numFmtId="0" fontId="96" fillId="0" borderId="0" xfId="2450" applyFont="1">
      <alignment vertical="center"/>
    </xf>
    <xf numFmtId="0" fontId="29" fillId="3" borderId="11" xfId="2450" applyFont="1" applyFill="1" applyBorder="1" applyAlignment="1">
      <alignment horizontal="center" vertical="center"/>
    </xf>
    <xf numFmtId="0" fontId="28" fillId="0" borderId="0" xfId="2450" applyFont="1" applyAlignment="1">
      <alignment horizontal="center" vertical="center"/>
    </xf>
    <xf numFmtId="9" fontId="106" fillId="8" borderId="7" xfId="2461" applyNumberFormat="1" applyFont="1" applyFill="1" applyBorder="1" applyAlignment="1">
      <alignment horizontal="center" vertical="center"/>
    </xf>
    <xf numFmtId="176" fontId="29" fillId="3" borderId="15" xfId="2475" applyNumberFormat="1" applyFont="1" applyFill="1" applyBorder="1" applyAlignment="1">
      <alignment horizontal="center" vertical="center"/>
    </xf>
    <xf numFmtId="176" fontId="29" fillId="3" borderId="7" xfId="2475" applyNumberFormat="1" applyFont="1" applyFill="1" applyBorder="1" applyAlignment="1">
      <alignment horizontal="center" vertical="center" wrapText="1"/>
    </xf>
    <xf numFmtId="176" fontId="29" fillId="3" borderId="16" xfId="2475" applyNumberFormat="1" applyFont="1" applyFill="1" applyBorder="1" applyAlignment="1">
      <alignment horizontal="center" vertical="center"/>
    </xf>
    <xf numFmtId="177" fontId="29" fillId="3" borderId="16" xfId="2452" applyNumberFormat="1" applyFont="1" applyFill="1" applyBorder="1" applyAlignment="1">
      <alignment horizontal="center" vertical="center"/>
    </xf>
    <xf numFmtId="10" fontId="101" fillId="3" borderId="11" xfId="2452" applyNumberFormat="1" applyFont="1" applyFill="1" applyBorder="1" applyAlignment="1">
      <alignment horizontal="center" vertical="center"/>
    </xf>
    <xf numFmtId="177" fontId="101" fillId="3" borderId="16" xfId="2452" applyNumberFormat="1" applyFont="1" applyFill="1" applyBorder="1" applyAlignment="1">
      <alignment horizontal="center" vertical="center"/>
    </xf>
    <xf numFmtId="0" fontId="20" fillId="0" borderId="0" xfId="2450" applyFont="1" applyAlignment="1">
      <alignment vertical="center"/>
    </xf>
    <xf numFmtId="0" fontId="89" fillId="0" borderId="0" xfId="2450" applyFont="1" applyAlignment="1">
      <alignment vertical="center"/>
    </xf>
    <xf numFmtId="0" fontId="29" fillId="0" borderId="0" xfId="2450" applyFont="1" applyAlignment="1">
      <alignment horizontal="left" vertical="center"/>
    </xf>
    <xf numFmtId="0" fontId="20" fillId="0" borderId="0" xfId="2450" applyFont="1" applyAlignment="1">
      <alignment horizontal="left" vertical="center"/>
    </xf>
    <xf numFmtId="0" fontId="29" fillId="2" borderId="6" xfId="2450" applyFont="1" applyFill="1" applyBorder="1" applyAlignment="1">
      <alignment horizontal="left" vertical="center"/>
    </xf>
    <xf numFmtId="0" fontId="29" fillId="2" borderId="3" xfId="2450" applyFont="1" applyFill="1" applyBorder="1" applyAlignment="1">
      <alignment vertical="center"/>
    </xf>
    <xf numFmtId="0" fontId="29" fillId="2" borderId="9" xfId="2450" applyFont="1" applyFill="1" applyBorder="1" applyAlignment="1">
      <alignment vertical="center"/>
    </xf>
    <xf numFmtId="0" fontId="29" fillId="2" borderId="3" xfId="2450" applyFont="1" applyFill="1" applyBorder="1" applyAlignment="1">
      <alignment horizontal="left" vertical="center"/>
    </xf>
    <xf numFmtId="0" fontId="29" fillId="2" borderId="34" xfId="2450" applyFont="1" applyFill="1" applyBorder="1" applyAlignment="1">
      <alignment horizontal="left" vertical="center"/>
    </xf>
    <xf numFmtId="0" fontId="29" fillId="2" borderId="0" xfId="2450" applyFont="1" applyFill="1" applyBorder="1" applyAlignment="1">
      <alignment horizontal="left" vertical="center"/>
    </xf>
    <xf numFmtId="0" fontId="29" fillId="2" borderId="33" xfId="2450" applyFont="1" applyFill="1" applyBorder="1" applyAlignment="1">
      <alignment horizontal="left" vertical="center"/>
    </xf>
    <xf numFmtId="0" fontId="29" fillId="2" borderId="44" xfId="2450" applyFont="1" applyFill="1" applyBorder="1" applyAlignment="1">
      <alignment horizontal="left" vertical="center"/>
    </xf>
    <xf numFmtId="0" fontId="29" fillId="2" borderId="49" xfId="2450" applyFont="1" applyFill="1" applyBorder="1" applyAlignment="1">
      <alignment horizontal="left" vertical="center"/>
    </xf>
    <xf numFmtId="0" fontId="30" fillId="0" borderId="0" xfId="2450" applyFont="1" applyBorder="1" applyAlignment="1">
      <alignment horizontal="center" vertical="center"/>
    </xf>
    <xf numFmtId="9" fontId="29" fillId="3" borderId="23" xfId="2450" applyNumberFormat="1" applyFont="1" applyFill="1" applyBorder="1" applyAlignment="1">
      <alignment horizontal="center" vertical="center"/>
    </xf>
    <xf numFmtId="9" fontId="29" fillId="3" borderId="14" xfId="2450" applyNumberFormat="1" applyFont="1" applyFill="1" applyBorder="1" applyAlignment="1">
      <alignment horizontal="center" vertical="center"/>
    </xf>
    <xf numFmtId="9" fontId="29" fillId="3" borderId="27" xfId="2450" applyNumberFormat="1" applyFont="1" applyFill="1" applyBorder="1" applyAlignment="1">
      <alignment horizontal="center" vertical="center"/>
    </xf>
    <xf numFmtId="176" fontId="29" fillId="3" borderId="16" xfId="2450" applyNumberFormat="1" applyFont="1" applyFill="1" applyBorder="1" applyAlignment="1">
      <alignment horizontal="center" vertical="center" wrapText="1"/>
    </xf>
    <xf numFmtId="176" fontId="29" fillId="3" borderId="56" xfId="2450" applyNumberFormat="1" applyFont="1" applyFill="1" applyBorder="1" applyAlignment="1">
      <alignment horizontal="center" vertical="center" wrapText="1"/>
    </xf>
    <xf numFmtId="176" fontId="29" fillId="3" borderId="76" xfId="2450" applyNumberFormat="1" applyFont="1" applyFill="1" applyBorder="1" applyAlignment="1">
      <alignment horizontal="center" vertical="center" wrapText="1"/>
    </xf>
    <xf numFmtId="176" fontId="29" fillId="3" borderId="7" xfId="2450" applyNumberFormat="1" applyFont="1" applyFill="1" applyBorder="1" applyAlignment="1">
      <alignment horizontal="center" vertical="center"/>
    </xf>
    <xf numFmtId="176" fontId="29" fillId="3" borderId="24" xfId="2450" applyNumberFormat="1" applyFont="1" applyFill="1" applyBorder="1" applyAlignment="1">
      <alignment horizontal="center" vertical="center"/>
    </xf>
    <xf numFmtId="176" fontId="29" fillId="3" borderId="57" xfId="2450" applyNumberFormat="1" applyFont="1" applyFill="1" applyBorder="1" applyAlignment="1">
      <alignment horizontal="center" vertical="center"/>
    </xf>
    <xf numFmtId="176" fontId="29" fillId="3" borderId="22" xfId="2450" applyNumberFormat="1" applyFont="1" applyFill="1" applyBorder="1" applyAlignment="1">
      <alignment horizontal="center" vertical="center"/>
    </xf>
    <xf numFmtId="176" fontId="29" fillId="4" borderId="17" xfId="2450" applyNumberFormat="1" applyFont="1" applyFill="1" applyBorder="1" applyAlignment="1">
      <alignment horizontal="right" vertical="center"/>
    </xf>
    <xf numFmtId="176" fontId="29" fillId="4" borderId="13" xfId="2450" applyNumberFormat="1" applyFont="1" applyFill="1" applyBorder="1" applyAlignment="1">
      <alignment horizontal="right" vertical="center"/>
    </xf>
    <xf numFmtId="176" fontId="29" fillId="4" borderId="44" xfId="2450" applyNumberFormat="1" applyFont="1" applyFill="1" applyBorder="1" applyAlignment="1">
      <alignment horizontal="right" vertical="center"/>
    </xf>
    <xf numFmtId="176" fontId="29" fillId="4" borderId="18" xfId="2450" applyNumberFormat="1" applyFont="1" applyFill="1" applyBorder="1" applyAlignment="1">
      <alignment horizontal="right" vertical="center"/>
    </xf>
    <xf numFmtId="176" fontId="29" fillId="4" borderId="30" xfId="2450" applyNumberFormat="1" applyFont="1" applyFill="1" applyBorder="1" applyAlignment="1">
      <alignment horizontal="right" vertical="center"/>
    </xf>
    <xf numFmtId="176" fontId="29" fillId="4" borderId="23" xfId="2450" applyNumberFormat="1" applyFont="1" applyFill="1" applyBorder="1" applyAlignment="1">
      <alignment horizontal="right" vertical="center"/>
    </xf>
    <xf numFmtId="176" fontId="29" fillId="4" borderId="14" xfId="2450" applyNumberFormat="1" applyFont="1" applyFill="1" applyBorder="1" applyAlignment="1">
      <alignment horizontal="right" vertical="center"/>
    </xf>
    <xf numFmtId="176" fontId="29" fillId="4" borderId="8" xfId="2450" applyNumberFormat="1" applyFont="1" applyFill="1" applyBorder="1" applyAlignment="1">
      <alignment horizontal="right" vertical="center"/>
    </xf>
    <xf numFmtId="9" fontId="29" fillId="3" borderId="19" xfId="2450" applyNumberFormat="1" applyFont="1" applyFill="1" applyBorder="1" applyAlignment="1">
      <alignment horizontal="center" vertical="center"/>
    </xf>
    <xf numFmtId="9" fontId="29" fillId="3" borderId="4" xfId="2450" applyNumberFormat="1" applyFont="1" applyFill="1" applyBorder="1" applyAlignment="1">
      <alignment horizontal="center" vertical="center"/>
    </xf>
    <xf numFmtId="177" fontId="29" fillId="0" borderId="19" xfId="2450" applyNumberFormat="1" applyFont="1" applyBorder="1" applyAlignment="1">
      <alignment horizontal="center" vertical="center"/>
    </xf>
    <xf numFmtId="177" fontId="29" fillId="0" borderId="4" xfId="2450" applyNumberFormat="1" applyFont="1" applyBorder="1" applyAlignment="1">
      <alignment horizontal="center" vertical="center"/>
    </xf>
    <xf numFmtId="177" fontId="29" fillId="0" borderId="11" xfId="2450" applyNumberFormat="1" applyFont="1" applyBorder="1" applyAlignment="1">
      <alignment horizontal="center" vertical="center"/>
    </xf>
    <xf numFmtId="177" fontId="29" fillId="0" borderId="9" xfId="2450" applyNumberFormat="1" applyFont="1" applyBorder="1" applyAlignment="1">
      <alignment horizontal="center" vertical="center"/>
    </xf>
    <xf numFmtId="177" fontId="29" fillId="0" borderId="6" xfId="2450" applyNumberFormat="1" applyFont="1" applyBorder="1" applyAlignment="1">
      <alignment horizontal="center" vertical="center"/>
    </xf>
    <xf numFmtId="176" fontId="29" fillId="4" borderId="19" xfId="2450" applyNumberFormat="1" applyFont="1" applyFill="1" applyBorder="1" applyAlignment="1">
      <alignment horizontal="right" vertical="center"/>
    </xf>
    <xf numFmtId="176" fontId="29" fillId="4" borderId="4" xfId="2450" applyNumberFormat="1" applyFont="1" applyFill="1" applyBorder="1" applyAlignment="1">
      <alignment horizontal="right" vertical="center"/>
    </xf>
    <xf numFmtId="176" fontId="29" fillId="4" borderId="11" xfId="2450" applyNumberFormat="1" applyFont="1" applyFill="1" applyBorder="1" applyAlignment="1">
      <alignment horizontal="right" vertical="center"/>
    </xf>
    <xf numFmtId="176" fontId="29" fillId="4" borderId="9" xfId="2450" applyNumberFormat="1" applyFont="1" applyFill="1" applyBorder="1" applyAlignment="1">
      <alignment horizontal="right" vertical="center"/>
    </xf>
    <xf numFmtId="176" fontId="29" fillId="4" borderId="6" xfId="2450" applyNumberFormat="1" applyFont="1" applyFill="1" applyBorder="1" applyAlignment="1">
      <alignment horizontal="right" vertical="center"/>
    </xf>
    <xf numFmtId="9" fontId="107" fillId="3" borderId="15" xfId="2450" applyNumberFormat="1" applyFont="1" applyFill="1" applyBorder="1" applyAlignment="1">
      <alignment horizontal="center" vertical="center"/>
    </xf>
    <xf numFmtId="9" fontId="29" fillId="3" borderId="7" xfId="2450" applyNumberFormat="1" applyFont="1" applyFill="1" applyBorder="1" applyAlignment="1">
      <alignment horizontal="center" vertical="center"/>
    </xf>
    <xf numFmtId="177" fontId="29" fillId="0" borderId="15" xfId="2450" applyNumberFormat="1" applyFont="1" applyBorder="1" applyAlignment="1">
      <alignment horizontal="center" vertical="center"/>
    </xf>
    <xf numFmtId="177" fontId="29" fillId="0" borderId="7" xfId="2450" applyNumberFormat="1" applyFont="1" applyBorder="1" applyAlignment="1">
      <alignment horizontal="center" vertical="center"/>
    </xf>
    <xf numFmtId="177" fontId="29" fillId="0" borderId="16" xfId="2450" applyNumberFormat="1" applyFont="1" applyBorder="1" applyAlignment="1">
      <alignment horizontal="center" vertical="center"/>
    </xf>
    <xf numFmtId="177" fontId="29" fillId="0" borderId="24" xfId="2450" applyNumberFormat="1" applyFont="1" applyBorder="1" applyAlignment="1">
      <alignment horizontal="center" vertical="center"/>
    </xf>
    <xf numFmtId="0" fontId="103" fillId="0" borderId="0" xfId="2450" applyFont="1" applyAlignment="1">
      <alignment vertical="center"/>
    </xf>
    <xf numFmtId="0" fontId="30" fillId="0" borderId="0" xfId="2450" applyFont="1" applyAlignment="1">
      <alignment vertical="center"/>
    </xf>
    <xf numFmtId="176" fontId="29" fillId="3" borderId="60" xfId="2475" applyNumberFormat="1" applyFont="1" applyFill="1" applyBorder="1" applyAlignment="1">
      <alignment horizontal="center" vertical="center"/>
    </xf>
    <xf numFmtId="176" fontId="29" fillId="3" borderId="12" xfId="2475" applyNumberFormat="1" applyFont="1" applyFill="1" applyBorder="1" applyAlignment="1">
      <alignment horizontal="center" vertical="center" wrapText="1"/>
    </xf>
    <xf numFmtId="176" fontId="29" fillId="3" borderId="25" xfId="2475" applyNumberFormat="1" applyFont="1" applyFill="1" applyBorder="1" applyAlignment="1">
      <alignment horizontal="center" vertical="center"/>
    </xf>
    <xf numFmtId="9" fontId="29" fillId="8" borderId="26" xfId="2452" applyNumberFormat="1" applyFont="1" applyFill="1" applyBorder="1" applyAlignment="1">
      <alignment horizontal="center" vertical="center" wrapText="1"/>
    </xf>
    <xf numFmtId="0" fontId="31" fillId="0" borderId="0" xfId="2451" applyFont="1" applyFill="1" applyAlignment="1">
      <alignment vertical="center"/>
    </xf>
    <xf numFmtId="9" fontId="29" fillId="3" borderId="6" xfId="2473" applyNumberFormat="1" applyFont="1" applyFill="1" applyBorder="1" applyAlignment="1">
      <alignment horizontal="center" vertical="center"/>
    </xf>
    <xf numFmtId="176" fontId="106" fillId="8" borderId="28" xfId="2452" applyNumberFormat="1" applyFont="1" applyFill="1" applyBorder="1" applyAlignment="1">
      <alignment horizontal="center" vertical="center" wrapText="1"/>
    </xf>
    <xf numFmtId="0" fontId="29" fillId="3" borderId="44" xfId="0" applyFont="1" applyFill="1" applyBorder="1" applyAlignment="1">
      <alignment horizontal="center" vertical="center"/>
    </xf>
    <xf numFmtId="9" fontId="29" fillId="3" borderId="19" xfId="0" applyNumberFormat="1" applyFont="1" applyFill="1" applyBorder="1" applyAlignment="1">
      <alignment horizontal="center" vertical="center"/>
    </xf>
    <xf numFmtId="9" fontId="29" fillId="3" borderId="20" xfId="0" applyNumberFormat="1" applyFont="1" applyFill="1" applyBorder="1" applyAlignment="1">
      <alignment horizontal="center" vertical="center"/>
    </xf>
    <xf numFmtId="0" fontId="29" fillId="0" borderId="10" xfId="0" applyFont="1" applyBorder="1" applyAlignment="1">
      <alignment horizontal="center" vertical="center"/>
    </xf>
    <xf numFmtId="9" fontId="29" fillId="3" borderId="27" xfId="0" applyNumberFormat="1" applyFont="1" applyFill="1" applyBorder="1" applyAlignment="1">
      <alignment horizontal="center" vertical="center"/>
    </xf>
    <xf numFmtId="9" fontId="29" fillId="3" borderId="14" xfId="0" applyNumberFormat="1" applyFont="1" applyFill="1" applyBorder="1" applyAlignment="1">
      <alignment horizontal="center" vertical="center"/>
    </xf>
    <xf numFmtId="9" fontId="29" fillId="3" borderId="23" xfId="0" applyNumberFormat="1" applyFont="1" applyFill="1" applyBorder="1" applyAlignment="1">
      <alignment horizontal="center" vertical="center"/>
    </xf>
    <xf numFmtId="176" fontId="29" fillId="3" borderId="7" xfId="0" applyNumberFormat="1" applyFont="1" applyFill="1" applyBorder="1" applyAlignment="1">
      <alignment horizontal="center" vertical="center" wrapText="1"/>
    </xf>
    <xf numFmtId="0" fontId="29" fillId="0" borderId="0" xfId="0" applyFont="1" applyFill="1" applyBorder="1" applyAlignment="1">
      <alignment horizontal="center" vertical="center"/>
    </xf>
    <xf numFmtId="0" fontId="29" fillId="3" borderId="136" xfId="0" applyFont="1" applyFill="1" applyBorder="1" applyAlignment="1">
      <alignment horizontal="center" vertical="center"/>
    </xf>
    <xf numFmtId="9" fontId="29" fillId="0" borderId="137" xfId="2461" applyFont="1" applyBorder="1" applyAlignment="1">
      <alignment horizontal="center" vertical="center"/>
    </xf>
    <xf numFmtId="0" fontId="29" fillId="3" borderId="138" xfId="0" applyFont="1" applyFill="1" applyBorder="1" applyAlignment="1">
      <alignment horizontal="center" vertical="center"/>
    </xf>
    <xf numFmtId="9" fontId="29" fillId="0" borderId="138" xfId="0" quotePrefix="1" applyNumberFormat="1" applyFont="1" applyBorder="1" applyAlignment="1">
      <alignment horizontal="center" vertical="center"/>
    </xf>
    <xf numFmtId="9" fontId="29" fillId="0" borderId="11" xfId="0" quotePrefix="1" applyNumberFormat="1" applyFont="1" applyBorder="1" applyAlignment="1">
      <alignment horizontal="center" vertical="center"/>
    </xf>
    <xf numFmtId="0" fontId="29" fillId="3" borderId="49" xfId="0" quotePrefix="1" applyFont="1" applyFill="1" applyBorder="1" applyAlignment="1">
      <alignment horizontal="center" vertical="center"/>
    </xf>
    <xf numFmtId="9" fontId="29" fillId="0" borderId="56" xfId="0" applyNumberFormat="1" applyFont="1" applyFill="1" applyBorder="1" applyAlignment="1">
      <alignment horizontal="center" vertical="center"/>
    </xf>
    <xf numFmtId="0" fontId="133" fillId="0" borderId="0" xfId="0" applyFont="1" applyFill="1" applyBorder="1" applyAlignment="1">
      <alignment vertical="center"/>
    </xf>
    <xf numFmtId="0" fontId="29" fillId="0" borderId="0" xfId="0" applyFont="1" applyFill="1" applyBorder="1" applyAlignment="1">
      <alignment vertical="center"/>
    </xf>
    <xf numFmtId="0" fontId="27" fillId="0" borderId="0" xfId="0" applyFont="1" applyFill="1" applyBorder="1">
      <alignment vertical="center"/>
    </xf>
    <xf numFmtId="0" fontId="27" fillId="0" borderId="0" xfId="0" applyFont="1" applyFill="1">
      <alignment vertical="center"/>
    </xf>
    <xf numFmtId="177" fontId="29" fillId="3" borderId="11" xfId="2452" applyNumberFormat="1" applyFont="1" applyFill="1" applyBorder="1" applyAlignment="1">
      <alignment horizontal="center" vertical="center"/>
    </xf>
    <xf numFmtId="0" fontId="29" fillId="2" borderId="9" xfId="2453" applyFont="1" applyFill="1" applyBorder="1" applyAlignment="1">
      <alignment horizontal="center" vertical="center"/>
    </xf>
    <xf numFmtId="0" fontId="29" fillId="2" borderId="4" xfId="2453" applyFont="1" applyFill="1" applyBorder="1" applyAlignment="1">
      <alignment horizontal="center" vertical="center"/>
    </xf>
    <xf numFmtId="0" fontId="29" fillId="2" borderId="11" xfId="2453" applyFont="1" applyFill="1" applyBorder="1" applyAlignment="1">
      <alignment horizontal="center" vertical="center"/>
    </xf>
    <xf numFmtId="41" fontId="29" fillId="4" borderId="30" xfId="2478" applyFont="1" applyFill="1" applyBorder="1" applyAlignment="1">
      <alignment horizontal="center" vertical="center"/>
    </xf>
    <xf numFmtId="41" fontId="29" fillId="4" borderId="23" xfId="2478" applyFont="1" applyFill="1" applyBorder="1" applyAlignment="1">
      <alignment horizontal="center" vertical="center"/>
    </xf>
    <xf numFmtId="41" fontId="29" fillId="4" borderId="14" xfId="2478" applyFont="1" applyFill="1" applyBorder="1" applyAlignment="1">
      <alignment horizontal="center" vertical="center"/>
    </xf>
    <xf numFmtId="41" fontId="29" fillId="4" borderId="19" xfId="2478" applyFont="1" applyFill="1" applyBorder="1" applyAlignment="1">
      <alignment horizontal="center" vertical="center"/>
    </xf>
    <xf numFmtId="41" fontId="29" fillId="4" borderId="4" xfId="2478" applyFont="1" applyFill="1" applyBorder="1" applyAlignment="1">
      <alignment horizontal="center" vertical="center"/>
    </xf>
    <xf numFmtId="41" fontId="29" fillId="4" borderId="11" xfId="2478" applyFont="1" applyFill="1" applyBorder="1" applyAlignment="1">
      <alignment horizontal="center" vertical="center"/>
    </xf>
    <xf numFmtId="41" fontId="29" fillId="4" borderId="17" xfId="2478" applyFont="1" applyFill="1" applyBorder="1" applyAlignment="1">
      <alignment horizontal="center" vertical="center"/>
    </xf>
    <xf numFmtId="41" fontId="29" fillId="4" borderId="13" xfId="2478" applyFont="1" applyFill="1" applyBorder="1" applyAlignment="1">
      <alignment horizontal="center" vertical="center"/>
    </xf>
    <xf numFmtId="41" fontId="29" fillId="4" borderId="18" xfId="2478" applyFont="1" applyFill="1" applyBorder="1" applyAlignment="1">
      <alignment horizontal="center" vertical="center"/>
    </xf>
    <xf numFmtId="0" fontId="29" fillId="0" borderId="0" xfId="2477" applyFont="1" applyFill="1" applyAlignment="1">
      <alignment vertical="center"/>
    </xf>
    <xf numFmtId="0" fontId="29" fillId="0" borderId="0" xfId="2477" applyFont="1" applyAlignment="1">
      <alignment vertical="center"/>
    </xf>
    <xf numFmtId="176" fontId="29" fillId="3" borderId="15" xfId="2480" applyNumberFormat="1" applyFont="1" applyFill="1" applyBorder="1" applyAlignment="1">
      <alignment horizontal="center" vertical="center"/>
    </xf>
    <xf numFmtId="176" fontId="29" fillId="3" borderId="7" xfId="2480" applyNumberFormat="1" applyFont="1" applyFill="1" applyBorder="1" applyAlignment="1">
      <alignment horizontal="center" vertical="center" wrapText="1"/>
    </xf>
    <xf numFmtId="176" fontId="29" fillId="3" borderId="16" xfId="2480" applyNumberFormat="1" applyFont="1" applyFill="1" applyBorder="1" applyAlignment="1">
      <alignment horizontal="center" vertical="center"/>
    </xf>
    <xf numFmtId="10" fontId="107" fillId="3" borderId="22" xfId="0" applyNumberFormat="1" applyFont="1" applyFill="1" applyBorder="1" applyAlignment="1">
      <alignment horizontal="center" vertical="center"/>
    </xf>
    <xf numFmtId="9" fontId="107" fillId="3" borderId="7" xfId="0" applyNumberFormat="1" applyFont="1" applyFill="1" applyBorder="1" applyAlignment="1">
      <alignment horizontal="center" vertical="center"/>
    </xf>
    <xf numFmtId="9" fontId="107" fillId="3" borderId="16" xfId="0" applyNumberFormat="1" applyFont="1" applyFill="1" applyBorder="1" applyAlignment="1">
      <alignment horizontal="center" vertical="center"/>
    </xf>
    <xf numFmtId="9" fontId="29" fillId="0" borderId="93" xfId="2481" applyFont="1" applyBorder="1" applyAlignment="1">
      <alignment horizontal="center" vertical="center"/>
    </xf>
    <xf numFmtId="9" fontId="27" fillId="0" borderId="9" xfId="2481" applyFont="1" applyBorder="1" applyAlignment="1">
      <alignment horizontal="center" vertical="center"/>
    </xf>
    <xf numFmtId="9" fontId="27" fillId="0" borderId="11" xfId="2481" applyFont="1" applyBorder="1" applyAlignment="1">
      <alignment horizontal="center" vertical="center"/>
    </xf>
    <xf numFmtId="9" fontId="29" fillId="3" borderId="23" xfId="2481" applyFont="1" applyFill="1" applyBorder="1" applyAlignment="1">
      <alignment horizontal="center" vertical="center"/>
    </xf>
    <xf numFmtId="9" fontId="29" fillId="3" borderId="14" xfId="2482" applyNumberFormat="1" applyFont="1" applyFill="1" applyBorder="1" applyAlignment="1">
      <alignment horizontal="center" vertical="center"/>
    </xf>
    <xf numFmtId="9" fontId="29" fillId="3" borderId="7" xfId="2481" applyFont="1" applyFill="1" applyBorder="1" applyAlignment="1">
      <alignment horizontal="center" vertical="center" wrapText="1"/>
    </xf>
    <xf numFmtId="176" fontId="29" fillId="3" borderId="15" xfId="2482" applyNumberFormat="1" applyFont="1" applyFill="1" applyBorder="1" applyAlignment="1">
      <alignment horizontal="center" vertical="center"/>
    </xf>
    <xf numFmtId="176" fontId="29" fillId="3" borderId="7" xfId="2482" applyNumberFormat="1" applyFont="1" applyFill="1" applyBorder="1" applyAlignment="1">
      <alignment horizontal="center" vertical="center" wrapText="1"/>
    </xf>
    <xf numFmtId="176" fontId="29" fillId="3" borderId="16" xfId="2482" applyNumberFormat="1" applyFont="1" applyFill="1" applyBorder="1" applyAlignment="1">
      <alignment horizontal="center" vertical="center"/>
    </xf>
    <xf numFmtId="9" fontId="27" fillId="3" borderId="4" xfId="2481" applyFont="1" applyFill="1" applyBorder="1" applyAlignment="1">
      <alignment horizontal="center" vertical="center"/>
    </xf>
    <xf numFmtId="177" fontId="27" fillId="3" borderId="7" xfId="2481" applyNumberFormat="1" applyFont="1" applyFill="1" applyBorder="1" applyAlignment="1">
      <alignment horizontal="center" vertical="center"/>
    </xf>
    <xf numFmtId="9" fontId="27" fillId="3" borderId="7" xfId="2481" applyFont="1" applyFill="1" applyBorder="1" applyAlignment="1">
      <alignment horizontal="center" vertical="center"/>
    </xf>
    <xf numFmtId="177" fontId="29" fillId="0" borderId="15" xfId="2481" applyNumberFormat="1" applyFont="1" applyFill="1" applyBorder="1" applyAlignment="1">
      <alignment horizontal="center" vertical="center"/>
    </xf>
    <xf numFmtId="177" fontId="29" fillId="0" borderId="7" xfId="2481" applyNumberFormat="1" applyFont="1" applyFill="1" applyBorder="1" applyAlignment="1">
      <alignment horizontal="center" vertical="center"/>
    </xf>
    <xf numFmtId="177" fontId="29" fillId="0" borderId="16" xfId="2481" applyNumberFormat="1" applyFont="1" applyFill="1" applyBorder="1" applyAlignment="1">
      <alignment horizontal="center" vertical="center"/>
    </xf>
    <xf numFmtId="177" fontId="29" fillId="0" borderId="22" xfId="2481" applyNumberFormat="1" applyFont="1" applyFill="1" applyBorder="1" applyAlignment="1">
      <alignment horizontal="center" vertical="center"/>
    </xf>
    <xf numFmtId="177" fontId="29" fillId="0" borderId="24" xfId="2481" applyNumberFormat="1" applyFont="1" applyFill="1" applyBorder="1" applyAlignment="1">
      <alignment horizontal="center" vertical="center"/>
    </xf>
    <xf numFmtId="9" fontId="30" fillId="0" borderId="0" xfId="2481" applyFont="1" applyBorder="1" applyAlignment="1">
      <alignment horizontal="left" vertical="center"/>
    </xf>
    <xf numFmtId="0" fontId="29" fillId="0" borderId="0" xfId="2482" applyFont="1" applyAlignment="1">
      <alignment vertical="center"/>
    </xf>
    <xf numFmtId="0" fontId="28" fillId="0" borderId="0" xfId="2482" applyNumberFormat="1" applyFont="1" applyAlignment="1">
      <alignment vertical="center"/>
    </xf>
    <xf numFmtId="9" fontId="28" fillId="0" borderId="0" xfId="2481" applyFont="1" applyAlignment="1">
      <alignment vertical="center"/>
    </xf>
    <xf numFmtId="0" fontId="29" fillId="0" borderId="0" xfId="2482" applyFont="1" applyAlignment="1">
      <alignment horizontal="center" vertical="center"/>
    </xf>
    <xf numFmtId="176" fontId="29" fillId="0" borderId="0" xfId="2482" applyNumberFormat="1" applyFont="1" applyAlignment="1">
      <alignment vertical="center"/>
    </xf>
    <xf numFmtId="0" fontId="20" fillId="0" borderId="0" xfId="2482" applyFont="1" applyAlignment="1">
      <alignment vertical="center"/>
    </xf>
    <xf numFmtId="0" fontId="29" fillId="0" borderId="0" xfId="2482" applyNumberFormat="1" applyFont="1" applyAlignment="1">
      <alignment vertical="center"/>
    </xf>
    <xf numFmtId="9" fontId="29" fillId="0" borderId="0" xfId="2481" applyFont="1" applyAlignment="1">
      <alignment vertical="center"/>
    </xf>
    <xf numFmtId="0" fontId="28" fillId="0" borderId="0" xfId="2482" applyFont="1" applyAlignment="1">
      <alignment vertical="center"/>
    </xf>
    <xf numFmtId="0" fontId="30" fillId="0" borderId="0" xfId="2482" applyFont="1" applyFill="1" applyAlignment="1">
      <alignment vertical="center"/>
    </xf>
    <xf numFmtId="0" fontId="29" fillId="0" borderId="0" xfId="2482" applyNumberFormat="1" applyFont="1" applyFill="1" applyAlignment="1">
      <alignment vertical="center"/>
    </xf>
    <xf numFmtId="9" fontId="29" fillId="0" borderId="0" xfId="2481" applyFont="1" applyFill="1" applyAlignment="1">
      <alignment vertical="center"/>
    </xf>
    <xf numFmtId="0" fontId="30" fillId="0" borderId="0" xfId="2482" applyFont="1" applyFill="1" applyAlignment="1">
      <alignment horizontal="center" vertical="center"/>
    </xf>
    <xf numFmtId="0" fontId="85" fillId="0" borderId="0" xfId="2482" applyFont="1" applyFill="1" applyAlignment="1">
      <alignment vertical="center"/>
    </xf>
    <xf numFmtId="0" fontId="29" fillId="0" borderId="0" xfId="2482" applyFont="1" applyFill="1" applyAlignment="1">
      <alignment vertical="center"/>
    </xf>
    <xf numFmtId="0" fontId="29" fillId="0" borderId="0" xfId="2482" applyFont="1" applyFill="1" applyAlignment="1">
      <alignment horizontal="center" vertical="center"/>
    </xf>
    <xf numFmtId="41" fontId="29" fillId="0" borderId="0" xfId="2482" applyNumberFormat="1" applyFont="1" applyFill="1" applyAlignment="1">
      <alignment vertical="center"/>
    </xf>
    <xf numFmtId="0" fontId="20" fillId="0" borderId="0" xfId="2482" applyFont="1" applyFill="1" applyAlignment="1">
      <alignment vertical="center"/>
    </xf>
    <xf numFmtId="41" fontId="29" fillId="0" borderId="0" xfId="2482" applyNumberFormat="1" applyFont="1" applyAlignment="1">
      <alignment vertical="center"/>
    </xf>
    <xf numFmtId="9" fontId="29" fillId="0" borderId="0" xfId="2481" applyFont="1" applyBorder="1" applyAlignment="1">
      <alignment horizontal="left" vertical="center"/>
    </xf>
    <xf numFmtId="9" fontId="29" fillId="0" borderId="0" xfId="2481" applyFont="1" applyAlignment="1">
      <alignment horizontal="center" vertical="center"/>
    </xf>
    <xf numFmtId="9" fontId="30" fillId="0" borderId="0" xfId="2481" applyFont="1" applyAlignment="1">
      <alignment horizontal="left" vertical="center" wrapText="1"/>
    </xf>
    <xf numFmtId="9" fontId="20" fillId="0" borderId="0" xfId="2481" applyFont="1" applyAlignment="1">
      <alignment vertical="center"/>
    </xf>
    <xf numFmtId="9" fontId="20" fillId="0" borderId="0" xfId="2481" applyFont="1" applyAlignment="1">
      <alignment horizontal="center" vertical="center"/>
    </xf>
    <xf numFmtId="9" fontId="29" fillId="3" borderId="14" xfId="2484" applyNumberFormat="1" applyFont="1" applyFill="1" applyBorder="1" applyAlignment="1">
      <alignment horizontal="center" vertical="center"/>
    </xf>
    <xf numFmtId="9" fontId="29" fillId="3" borderId="7" xfId="2485" applyFont="1" applyFill="1" applyBorder="1" applyAlignment="1">
      <alignment horizontal="center" vertical="center" wrapText="1"/>
    </xf>
    <xf numFmtId="176" fontId="29" fillId="3" borderId="60" xfId="2452" applyNumberFormat="1" applyFont="1" applyFill="1" applyBorder="1" applyAlignment="1">
      <alignment horizontal="center" vertical="center"/>
    </xf>
    <xf numFmtId="176" fontId="29" fillId="3" borderId="15" xfId="2484" applyNumberFormat="1" applyFont="1" applyFill="1" applyBorder="1" applyAlignment="1">
      <alignment horizontal="center" vertical="center"/>
    </xf>
    <xf numFmtId="176" fontId="29" fillId="3" borderId="7" xfId="2484" applyNumberFormat="1" applyFont="1" applyFill="1" applyBorder="1" applyAlignment="1">
      <alignment horizontal="center" vertical="center" wrapText="1"/>
    </xf>
    <xf numFmtId="176" fontId="29" fillId="3" borderId="16" xfId="2484" applyNumberFormat="1" applyFont="1" applyFill="1" applyBorder="1" applyAlignment="1">
      <alignment horizontal="center" vertical="center"/>
    </xf>
    <xf numFmtId="176" fontId="29" fillId="3" borderId="22" xfId="2484" applyNumberFormat="1" applyFont="1" applyFill="1" applyBorder="1" applyAlignment="1">
      <alignment horizontal="center" vertical="center"/>
    </xf>
    <xf numFmtId="41" fontId="20" fillId="0" borderId="0" xfId="2474" applyFont="1">
      <alignment vertical="center"/>
    </xf>
    <xf numFmtId="177" fontId="27" fillId="3" borderId="4" xfId="2485" applyNumberFormat="1" applyFont="1" applyFill="1" applyBorder="1" applyAlignment="1">
      <alignment horizontal="center" vertical="center"/>
    </xf>
    <xf numFmtId="0" fontId="27" fillId="5" borderId="19" xfId="2452" applyNumberFormat="1" applyFont="1" applyFill="1" applyBorder="1" applyAlignment="1">
      <alignment horizontal="center" vertical="center"/>
    </xf>
    <xf numFmtId="177" fontId="27" fillId="5" borderId="4" xfId="2485" applyNumberFormat="1" applyFont="1" applyFill="1" applyBorder="1" applyAlignment="1">
      <alignment horizontal="center" vertical="center"/>
    </xf>
    <xf numFmtId="177" fontId="27" fillId="5" borderId="6" xfId="2452" applyNumberFormat="1" applyFont="1" applyFill="1" applyBorder="1" applyAlignment="1">
      <alignment horizontal="center" vertical="center"/>
    </xf>
    <xf numFmtId="177" fontId="27" fillId="3" borderId="7" xfId="2485" applyNumberFormat="1" applyFont="1" applyFill="1" applyBorder="1" applyAlignment="1">
      <alignment horizontal="center" vertical="center"/>
    </xf>
    <xf numFmtId="9" fontId="30" fillId="0" borderId="0" xfId="2485" applyFont="1" applyBorder="1" applyAlignment="1">
      <alignment horizontal="left" vertical="center"/>
    </xf>
    <xf numFmtId="0" fontId="28" fillId="0" borderId="0" xfId="2484" applyNumberFormat="1" applyFont="1" applyAlignment="1">
      <alignment vertical="center"/>
    </xf>
    <xf numFmtId="9" fontId="29" fillId="0" borderId="0" xfId="2485" applyFont="1" applyAlignment="1">
      <alignment horizontal="center" vertical="center"/>
    </xf>
    <xf numFmtId="0" fontId="29" fillId="0" borderId="0" xfId="2484" applyNumberFormat="1" applyFont="1" applyAlignment="1">
      <alignment vertical="center"/>
    </xf>
    <xf numFmtId="0" fontId="107" fillId="0" borderId="0" xfId="2484" applyNumberFormat="1" applyFont="1" applyAlignment="1">
      <alignment vertical="center"/>
    </xf>
    <xf numFmtId="9" fontId="20" fillId="0" borderId="0" xfId="2485" applyFont="1" applyAlignment="1">
      <alignment horizontal="center" vertical="center"/>
    </xf>
    <xf numFmtId="0" fontId="103" fillId="0" borderId="0" xfId="2484" applyNumberFormat="1" applyFont="1" applyAlignment="1">
      <alignment vertical="center"/>
    </xf>
    <xf numFmtId="9" fontId="30" fillId="0" borderId="0" xfId="2485" applyFont="1" applyAlignment="1">
      <alignment horizontal="left" vertical="center" wrapText="1"/>
    </xf>
    <xf numFmtId="0" fontId="29" fillId="0" borderId="0" xfId="2484" applyNumberFormat="1" applyFont="1" applyFill="1" applyAlignment="1">
      <alignment vertical="center"/>
    </xf>
    <xf numFmtId="9" fontId="29" fillId="0" borderId="0" xfId="2485" applyFont="1" applyAlignment="1">
      <alignment vertical="center"/>
    </xf>
    <xf numFmtId="9" fontId="20" fillId="0" borderId="0" xfId="2485" applyFont="1" applyAlignment="1">
      <alignment vertical="center"/>
    </xf>
    <xf numFmtId="0" fontId="103" fillId="0" borderId="0" xfId="2484" applyNumberFormat="1" applyFont="1" applyFill="1" applyAlignment="1">
      <alignment vertical="center"/>
    </xf>
    <xf numFmtId="0" fontId="30" fillId="0" borderId="0" xfId="2484" applyNumberFormat="1" applyFont="1" applyAlignment="1">
      <alignment vertical="center"/>
    </xf>
    <xf numFmtId="177" fontId="122" fillId="0" borderId="7" xfId="2461" applyNumberFormat="1" applyFont="1" applyBorder="1" applyAlignment="1">
      <alignment horizontal="center" vertical="center"/>
    </xf>
    <xf numFmtId="177" fontId="122" fillId="0" borderId="16" xfId="2461" applyNumberFormat="1" applyFont="1" applyBorder="1" applyAlignment="1">
      <alignment horizontal="center" vertical="center"/>
    </xf>
    <xf numFmtId="0" fontId="118" fillId="0" borderId="0" xfId="2453" applyFont="1" applyFill="1" applyBorder="1" applyAlignment="1">
      <alignment horizontal="center" vertical="center"/>
    </xf>
    <xf numFmtId="9" fontId="101" fillId="3" borderId="16" xfId="2452" applyNumberFormat="1" applyFont="1" applyFill="1" applyBorder="1" applyAlignment="1">
      <alignment horizontal="center" vertical="center"/>
    </xf>
    <xf numFmtId="177" fontId="29" fillId="0" borderId="0" xfId="2459" applyNumberFormat="1" applyFont="1" applyFill="1" applyAlignment="1">
      <alignment vertical="center"/>
    </xf>
    <xf numFmtId="9" fontId="30" fillId="0" borderId="0" xfId="2473" applyFont="1" applyFill="1" applyAlignment="1">
      <alignment vertical="center"/>
    </xf>
    <xf numFmtId="9" fontId="120" fillId="5" borderId="54" xfId="2453" applyNumberFormat="1" applyFont="1" applyFill="1" applyBorder="1" applyAlignment="1">
      <alignment horizontal="center" vertical="center"/>
    </xf>
    <xf numFmtId="0" fontId="28" fillId="3" borderId="4" xfId="2450" applyFont="1" applyFill="1" applyBorder="1" applyAlignment="1">
      <alignment horizontal="center" vertical="center" wrapText="1"/>
    </xf>
    <xf numFmtId="0" fontId="28" fillId="3" borderId="19" xfId="2450" applyFont="1" applyFill="1" applyBorder="1" applyAlignment="1">
      <alignment horizontal="center" vertical="center" wrapText="1"/>
    </xf>
    <xf numFmtId="0" fontId="28" fillId="3" borderId="15" xfId="2450" applyFont="1" applyFill="1" applyBorder="1" applyAlignment="1">
      <alignment horizontal="center" vertical="center" wrapText="1"/>
    </xf>
    <xf numFmtId="9" fontId="120" fillId="5" borderId="13" xfId="2453" applyNumberFormat="1" applyFont="1" applyFill="1" applyBorder="1" applyAlignment="1">
      <alignment horizontal="center" vertical="center"/>
    </xf>
    <xf numFmtId="9" fontId="120" fillId="5" borderId="44" xfId="2453" applyNumberFormat="1" applyFont="1" applyFill="1" applyBorder="1" applyAlignment="1">
      <alignment horizontal="center" vertical="center"/>
    </xf>
    <xf numFmtId="9" fontId="120" fillId="5" borderId="8" xfId="2453" applyNumberFormat="1" applyFont="1" applyFill="1" applyBorder="1" applyAlignment="1">
      <alignment horizontal="center" vertical="center"/>
    </xf>
    <xf numFmtId="9" fontId="120" fillId="5" borderId="18" xfId="2453" applyNumberFormat="1" applyFont="1" applyFill="1" applyBorder="1" applyAlignment="1">
      <alignment horizontal="center" vertical="center"/>
    </xf>
    <xf numFmtId="9" fontId="118" fillId="0" borderId="22" xfId="2461" applyFont="1" applyFill="1" applyBorder="1" applyAlignment="1">
      <alignment horizontal="center" vertical="center"/>
    </xf>
    <xf numFmtId="9" fontId="118" fillId="0" borderId="16" xfId="2461" applyFont="1" applyFill="1" applyBorder="1" applyAlignment="1">
      <alignment horizontal="center" vertical="center"/>
    </xf>
    <xf numFmtId="9" fontId="29" fillId="3" borderId="27" xfId="216" applyFont="1" applyFill="1" applyBorder="1" applyAlignment="1">
      <alignment horizontal="center" vertical="center"/>
    </xf>
    <xf numFmtId="9" fontId="126" fillId="0" borderId="0" xfId="2473" applyFont="1">
      <alignment vertical="center"/>
    </xf>
    <xf numFmtId="176" fontId="29" fillId="8" borderId="7" xfId="2453" applyNumberFormat="1" applyFont="1" applyFill="1" applyBorder="1" applyAlignment="1">
      <alignment horizontal="center" vertical="center"/>
    </xf>
    <xf numFmtId="176" fontId="29" fillId="8" borderId="24" xfId="2453" applyNumberFormat="1" applyFont="1" applyFill="1" applyBorder="1" applyAlignment="1">
      <alignment horizontal="center" vertical="center"/>
    </xf>
    <xf numFmtId="41" fontId="126" fillId="0" borderId="0" xfId="2474" applyFont="1">
      <alignment vertical="center"/>
    </xf>
    <xf numFmtId="176" fontId="29" fillId="4" borderId="17" xfId="2453" applyNumberFormat="1" applyFont="1" applyFill="1" applyBorder="1" applyAlignment="1">
      <alignment horizontal="right" vertical="center"/>
    </xf>
    <xf numFmtId="176" fontId="29" fillId="4" borderId="13" xfId="2453" applyNumberFormat="1" applyFont="1" applyFill="1" applyBorder="1" applyAlignment="1">
      <alignment horizontal="right" vertical="center"/>
    </xf>
    <xf numFmtId="176" fontId="29" fillId="4" borderId="44" xfId="2453" applyNumberFormat="1" applyFont="1" applyFill="1" applyBorder="1" applyAlignment="1">
      <alignment horizontal="right" vertical="center"/>
    </xf>
    <xf numFmtId="176" fontId="29" fillId="4" borderId="18" xfId="2453" applyNumberFormat="1" applyFont="1" applyFill="1" applyBorder="1" applyAlignment="1">
      <alignment horizontal="right" vertical="center"/>
    </xf>
    <xf numFmtId="176" fontId="29" fillId="4" borderId="8" xfId="2453" applyNumberFormat="1" applyFont="1" applyFill="1" applyBorder="1" applyAlignment="1">
      <alignment horizontal="right" vertical="center"/>
    </xf>
    <xf numFmtId="9" fontId="29" fillId="0" borderId="60" xfId="216" applyNumberFormat="1" applyFont="1" applyFill="1" applyBorder="1" applyAlignment="1">
      <alignment horizontal="center" vertical="center"/>
    </xf>
    <xf numFmtId="9" fontId="29" fillId="0" borderId="12" xfId="216" applyNumberFormat="1" applyFont="1" applyFill="1" applyBorder="1" applyAlignment="1">
      <alignment horizontal="center" vertical="center"/>
    </xf>
    <xf numFmtId="9" fontId="29" fillId="0" borderId="10" xfId="216" applyNumberFormat="1" applyFont="1" applyFill="1" applyBorder="1" applyAlignment="1">
      <alignment horizontal="center" vertical="center"/>
    </xf>
    <xf numFmtId="9" fontId="29" fillId="2" borderId="60" xfId="216" applyNumberFormat="1" applyFont="1" applyFill="1" applyBorder="1" applyAlignment="1">
      <alignment horizontal="center" vertical="center"/>
    </xf>
    <xf numFmtId="9" fontId="29" fillId="2" borderId="12" xfId="216" applyNumberFormat="1" applyFont="1" applyFill="1" applyBorder="1" applyAlignment="1">
      <alignment horizontal="center" vertical="center"/>
    </xf>
    <xf numFmtId="9" fontId="29" fillId="2" borderId="10" xfId="216" applyNumberFormat="1" applyFont="1" applyFill="1" applyBorder="1" applyAlignment="1">
      <alignment horizontal="center" vertical="center"/>
    </xf>
    <xf numFmtId="9" fontId="29" fillId="2" borderId="25" xfId="216" applyNumberFormat="1" applyFont="1" applyFill="1" applyBorder="1" applyAlignment="1">
      <alignment horizontal="center" vertical="center"/>
    </xf>
    <xf numFmtId="9" fontId="29" fillId="2" borderId="46" xfId="216" applyNumberFormat="1" applyFont="1" applyFill="1" applyBorder="1" applyAlignment="1">
      <alignment horizontal="center" vertical="center"/>
    </xf>
    <xf numFmtId="176" fontId="107" fillId="7" borderId="44" xfId="2453" applyNumberFormat="1" applyFont="1" applyFill="1" applyBorder="1" applyAlignment="1">
      <alignment horizontal="center" vertical="center"/>
    </xf>
    <xf numFmtId="41" fontId="29" fillId="0" borderId="0" xfId="2474" applyFont="1" applyAlignment="1">
      <alignment vertical="center"/>
    </xf>
    <xf numFmtId="176" fontId="29" fillId="3" borderId="15" xfId="2488" applyNumberFormat="1" applyFont="1" applyFill="1" applyBorder="1" applyAlignment="1">
      <alignment horizontal="center" vertical="center"/>
    </xf>
    <xf numFmtId="176" fontId="29" fillId="3" borderId="7" xfId="2488" applyNumberFormat="1" applyFont="1" applyFill="1" applyBorder="1" applyAlignment="1">
      <alignment horizontal="center" vertical="center" wrapText="1"/>
    </xf>
    <xf numFmtId="176" fontId="29" fillId="3" borderId="16" xfId="2488" applyNumberFormat="1" applyFont="1" applyFill="1" applyBorder="1" applyAlignment="1">
      <alignment horizontal="center" vertical="center"/>
    </xf>
    <xf numFmtId="0" fontId="27" fillId="0" borderId="94" xfId="0" applyFont="1" applyFill="1" applyBorder="1" applyAlignment="1">
      <alignment horizontal="center" vertical="center"/>
    </xf>
    <xf numFmtId="0" fontId="27" fillId="0" borderId="46" xfId="0" applyFont="1" applyFill="1" applyBorder="1" applyAlignment="1">
      <alignment horizontal="center" vertical="center"/>
    </xf>
    <xf numFmtId="176" fontId="29" fillId="3" borderId="15" xfId="2491" applyNumberFormat="1" applyFont="1" applyFill="1" applyBorder="1" applyAlignment="1">
      <alignment horizontal="center" vertical="center"/>
    </xf>
    <xf numFmtId="176" fontId="29" fillId="3" borderId="7" xfId="2491" applyNumberFormat="1" applyFont="1" applyFill="1" applyBorder="1" applyAlignment="1">
      <alignment horizontal="center" vertical="center" wrapText="1"/>
    </xf>
    <xf numFmtId="176" fontId="29" fillId="3" borderId="16" xfId="2491" applyNumberFormat="1" applyFont="1" applyFill="1" applyBorder="1" applyAlignment="1">
      <alignment horizontal="center" vertical="center"/>
    </xf>
    <xf numFmtId="41" fontId="29" fillId="4" borderId="13" xfId="2474" applyFont="1" applyFill="1" applyBorder="1" applyAlignment="1">
      <alignment horizontal="center" vertical="center"/>
    </xf>
    <xf numFmtId="41" fontId="29" fillId="4" borderId="18" xfId="2474" applyFont="1" applyFill="1" applyBorder="1" applyAlignment="1">
      <alignment horizontal="center" vertical="center"/>
    </xf>
    <xf numFmtId="41" fontId="29" fillId="4" borderId="8" xfId="2474" applyFont="1" applyFill="1" applyBorder="1" applyAlignment="1">
      <alignment horizontal="center" vertical="center"/>
    </xf>
    <xf numFmtId="0" fontId="29" fillId="0" borderId="0" xfId="2453" applyFont="1" applyFill="1" applyAlignment="1">
      <alignment vertical="center" wrapText="1"/>
    </xf>
    <xf numFmtId="9" fontId="125" fillId="0" borderId="96" xfId="2461" applyFont="1" applyBorder="1" applyAlignment="1">
      <alignment horizontal="center" vertical="center"/>
    </xf>
    <xf numFmtId="9" fontId="120" fillId="5" borderId="27" xfId="2453" applyNumberFormat="1" applyFont="1" applyFill="1" applyBorder="1" applyAlignment="1">
      <alignment horizontal="center" vertical="center"/>
    </xf>
    <xf numFmtId="9" fontId="118" fillId="0" borderId="24" xfId="2461" applyFont="1" applyBorder="1" applyAlignment="1">
      <alignment horizontal="center" vertical="center"/>
    </xf>
    <xf numFmtId="9" fontId="118" fillId="0" borderId="10" xfId="2461" applyFont="1" applyFill="1" applyBorder="1" applyAlignment="1">
      <alignment horizontal="center" vertical="center"/>
    </xf>
    <xf numFmtId="0" fontId="27" fillId="8" borderId="23" xfId="2453" applyFont="1" applyFill="1" applyBorder="1" applyAlignment="1">
      <alignment horizontal="center" vertical="center" wrapText="1"/>
    </xf>
    <xf numFmtId="9" fontId="27" fillId="8" borderId="26" xfId="2453" applyNumberFormat="1" applyFont="1" applyFill="1" applyBorder="1" applyAlignment="1">
      <alignment horizontal="center" vertical="center"/>
    </xf>
    <xf numFmtId="9" fontId="107" fillId="3" borderId="19" xfId="2450" applyNumberFormat="1" applyFont="1" applyFill="1" applyBorder="1" applyAlignment="1">
      <alignment horizontal="center" vertical="center"/>
    </xf>
    <xf numFmtId="9" fontId="29" fillId="0" borderId="7" xfId="2450" applyNumberFormat="1" applyFont="1" applyFill="1" applyBorder="1" applyAlignment="1">
      <alignment horizontal="center" vertical="center"/>
    </xf>
    <xf numFmtId="9" fontId="29" fillId="3" borderId="27" xfId="2452" applyNumberFormat="1" applyFont="1" applyFill="1" applyBorder="1" applyAlignment="1">
      <alignment horizontal="center" vertical="center"/>
    </xf>
    <xf numFmtId="0" fontId="29" fillId="0" borderId="0" xfId="0" applyFont="1" applyFill="1" applyBorder="1" applyAlignment="1">
      <alignment horizontal="center" vertical="center"/>
    </xf>
    <xf numFmtId="0" fontId="29" fillId="3" borderId="6" xfId="0" applyFont="1" applyFill="1" applyBorder="1" applyAlignment="1">
      <alignment horizontal="center" vertical="center"/>
    </xf>
    <xf numFmtId="0" fontId="29" fillId="3" borderId="9" xfId="0" applyFont="1" applyFill="1" applyBorder="1" applyAlignment="1">
      <alignment horizontal="center" vertical="center"/>
    </xf>
    <xf numFmtId="9" fontId="29" fillId="3" borderId="23" xfId="0" applyNumberFormat="1" applyFont="1" applyFill="1" applyBorder="1" applyAlignment="1">
      <alignment horizontal="center" vertical="center"/>
    </xf>
    <xf numFmtId="9" fontId="29" fillId="3" borderId="27" xfId="0" applyNumberFormat="1" applyFont="1" applyFill="1" applyBorder="1" applyAlignment="1">
      <alignment horizontal="center" vertical="center"/>
    </xf>
    <xf numFmtId="0" fontId="29" fillId="0" borderId="0" xfId="0" applyFont="1" applyBorder="1" applyAlignment="1">
      <alignment vertical="center"/>
    </xf>
    <xf numFmtId="176" fontId="29" fillId="3" borderId="22" xfId="0" applyNumberFormat="1" applyFont="1" applyFill="1" applyBorder="1" applyAlignment="1">
      <alignment horizontal="center" vertical="center"/>
    </xf>
    <xf numFmtId="0" fontId="29" fillId="0" borderId="0" xfId="0" applyFont="1" applyBorder="1" applyAlignment="1">
      <alignment horizontal="center" vertical="center"/>
    </xf>
    <xf numFmtId="9" fontId="29" fillId="3" borderId="14" xfId="0" applyNumberFormat="1" applyFont="1" applyFill="1" applyBorder="1" applyAlignment="1">
      <alignment horizontal="center" vertical="center"/>
    </xf>
    <xf numFmtId="0" fontId="27" fillId="0" borderId="0" xfId="2450" applyFont="1" applyFill="1">
      <alignment vertical="center"/>
    </xf>
    <xf numFmtId="0" fontId="102" fillId="5" borderId="4" xfId="2450" applyFont="1" applyFill="1" applyBorder="1" applyAlignment="1">
      <alignment horizontal="center" vertical="center"/>
    </xf>
    <xf numFmtId="0" fontId="102" fillId="5" borderId="7" xfId="2450" applyFont="1" applyFill="1" applyBorder="1" applyAlignment="1">
      <alignment horizontal="center" vertical="center"/>
    </xf>
    <xf numFmtId="9" fontId="102" fillId="0" borderId="7" xfId="2473" applyFont="1" applyBorder="1" applyAlignment="1">
      <alignment horizontal="center" vertical="center"/>
    </xf>
    <xf numFmtId="0" fontId="28" fillId="3" borderId="19" xfId="2450" applyFont="1" applyFill="1" applyBorder="1" applyAlignment="1">
      <alignment horizontal="center" vertical="center"/>
    </xf>
    <xf numFmtId="0" fontId="28" fillId="3" borderId="4" xfId="2450" applyFont="1" applyFill="1" applyBorder="1" applyAlignment="1">
      <alignment horizontal="center" vertical="center"/>
    </xf>
    <xf numFmtId="9" fontId="118" fillId="0" borderId="12" xfId="2453" applyNumberFormat="1" applyFont="1" applyFill="1" applyBorder="1" applyAlignment="1">
      <alignment horizontal="center" vertical="center"/>
    </xf>
    <xf numFmtId="176" fontId="29" fillId="3" borderId="15" xfId="2493" applyNumberFormat="1" applyFont="1" applyFill="1" applyBorder="1" applyAlignment="1">
      <alignment horizontal="center" vertical="center"/>
    </xf>
    <xf numFmtId="176" fontId="29" fillId="3" borderId="7" xfId="2493" applyNumberFormat="1" applyFont="1" applyFill="1" applyBorder="1" applyAlignment="1">
      <alignment horizontal="center" vertical="center" wrapText="1"/>
    </xf>
    <xf numFmtId="176" fontId="29" fillId="3" borderId="16" xfId="2493" applyNumberFormat="1" applyFont="1" applyFill="1" applyBorder="1" applyAlignment="1">
      <alignment horizontal="center" vertical="center"/>
    </xf>
    <xf numFmtId="177" fontId="27" fillId="0" borderId="101" xfId="0" applyNumberFormat="1" applyFont="1" applyFill="1" applyBorder="1" applyAlignment="1">
      <alignment horizontal="center" vertical="center"/>
    </xf>
    <xf numFmtId="177" fontId="27" fillId="0" borderId="46" xfId="0" applyNumberFormat="1" applyFont="1" applyFill="1" applyBorder="1" applyAlignment="1">
      <alignment horizontal="center" vertical="center"/>
    </xf>
    <xf numFmtId="177" fontId="101" fillId="3" borderId="65" xfId="0" applyNumberFormat="1" applyFont="1" applyFill="1" applyBorder="1" applyAlignment="1">
      <alignment horizontal="left" vertical="center"/>
    </xf>
    <xf numFmtId="0" fontId="29" fillId="3" borderId="14" xfId="0" applyNumberFormat="1" applyFont="1" applyFill="1" applyBorder="1" applyAlignment="1">
      <alignment horizontal="center" vertical="center"/>
    </xf>
    <xf numFmtId="177" fontId="29" fillId="3" borderId="4" xfId="2473" applyNumberFormat="1" applyFont="1" applyFill="1" applyBorder="1" applyAlignment="1">
      <alignment horizontal="center" vertical="center"/>
    </xf>
    <xf numFmtId="9" fontId="120" fillId="5" borderId="143" xfId="2453" applyNumberFormat="1" applyFont="1" applyFill="1" applyBorder="1" applyAlignment="1">
      <alignment horizontal="center" vertical="center"/>
    </xf>
    <xf numFmtId="0" fontId="120" fillId="5" borderId="144" xfId="2450" applyFont="1" applyFill="1" applyBorder="1" applyAlignment="1">
      <alignment horizontal="center" vertical="center"/>
    </xf>
    <xf numFmtId="0" fontId="120" fillId="5" borderId="14" xfId="2450" applyFont="1" applyFill="1" applyBorder="1" applyAlignment="1">
      <alignment horizontal="center" vertical="center"/>
    </xf>
    <xf numFmtId="9" fontId="118" fillId="0" borderId="145" xfId="2461" applyFont="1" applyFill="1" applyBorder="1" applyAlignment="1">
      <alignment horizontal="center" vertical="center"/>
    </xf>
    <xf numFmtId="9" fontId="125" fillId="0" borderId="96" xfId="2453" applyNumberFormat="1" applyFont="1" applyFill="1" applyBorder="1" applyAlignment="1">
      <alignment horizontal="center" vertical="center"/>
    </xf>
    <xf numFmtId="9" fontId="118" fillId="0" borderId="146" xfId="2461" applyFont="1" applyBorder="1" applyAlignment="1">
      <alignment horizontal="center" vertical="center"/>
    </xf>
    <xf numFmtId="0" fontId="124" fillId="0" borderId="0" xfId="2450" applyFont="1" applyAlignment="1">
      <alignment vertical="center"/>
    </xf>
    <xf numFmtId="0" fontId="121" fillId="5" borderId="30" xfId="2450" applyFont="1" applyFill="1" applyBorder="1" applyAlignment="1">
      <alignment horizontal="center" vertical="center"/>
    </xf>
    <xf numFmtId="0" fontId="123" fillId="5" borderId="94" xfId="2450" applyFont="1" applyFill="1" applyBorder="1" applyAlignment="1">
      <alignment horizontal="center" vertical="center"/>
    </xf>
    <xf numFmtId="0" fontId="120" fillId="5" borderId="65" xfId="2450" applyFont="1" applyFill="1" applyBorder="1" applyAlignment="1">
      <alignment horizontal="center" vertical="center"/>
    </xf>
    <xf numFmtId="0" fontId="120" fillId="5" borderId="27" xfId="2450" applyFont="1" applyFill="1" applyBorder="1" applyAlignment="1">
      <alignment horizontal="center" vertical="center"/>
    </xf>
    <xf numFmtId="0" fontId="120" fillId="5" borderId="50" xfId="2450" applyFont="1" applyFill="1" applyBorder="1" applyAlignment="1">
      <alignment horizontal="center" vertical="center"/>
    </xf>
    <xf numFmtId="0" fontId="121" fillId="5" borderId="15" xfId="2450" applyFont="1" applyFill="1" applyBorder="1" applyAlignment="1">
      <alignment horizontal="center" vertical="center"/>
    </xf>
    <xf numFmtId="0" fontId="120" fillId="5" borderId="56" xfId="2450" applyFont="1" applyFill="1" applyBorder="1" applyAlignment="1">
      <alignment horizontal="center" vertical="center"/>
    </xf>
    <xf numFmtId="0" fontId="121" fillId="5" borderId="23" xfId="2450" applyFont="1" applyFill="1" applyBorder="1" applyAlignment="1">
      <alignment horizontal="center" vertical="center"/>
    </xf>
    <xf numFmtId="0" fontId="121" fillId="5" borderId="14" xfId="2450" applyFont="1" applyFill="1" applyBorder="1" applyAlignment="1">
      <alignment horizontal="center" vertical="center"/>
    </xf>
    <xf numFmtId="0" fontId="121" fillId="5" borderId="50" xfId="2450" applyFont="1" applyFill="1" applyBorder="1" applyAlignment="1">
      <alignment horizontal="center" vertical="center"/>
    </xf>
    <xf numFmtId="177" fontId="118" fillId="0" borderId="20" xfId="2453" applyNumberFormat="1" applyFont="1" applyFill="1" applyBorder="1" applyAlignment="1">
      <alignment horizontal="center" vertical="center"/>
    </xf>
    <xf numFmtId="177" fontId="118" fillId="0" borderId="32" xfId="2453" applyNumberFormat="1" applyFont="1" applyFill="1" applyBorder="1" applyAlignment="1">
      <alignment horizontal="center" vertical="center"/>
    </xf>
    <xf numFmtId="0" fontId="122" fillId="0" borderId="0" xfId="2450" applyFont="1" applyAlignment="1">
      <alignment vertical="center"/>
    </xf>
    <xf numFmtId="0" fontId="126" fillId="0" borderId="0" xfId="2450" applyFont="1">
      <alignment vertical="center"/>
    </xf>
    <xf numFmtId="9" fontId="29" fillId="3" borderId="25" xfId="2453" applyNumberFormat="1" applyFont="1" applyFill="1" applyBorder="1" applyAlignment="1">
      <alignment horizontal="center" vertical="center"/>
    </xf>
    <xf numFmtId="0" fontId="126" fillId="0" borderId="0" xfId="2450" applyFont="1" applyAlignment="1">
      <alignment horizontal="center" vertical="center"/>
    </xf>
    <xf numFmtId="0" fontId="126" fillId="0" borderId="0" xfId="2450" applyFont="1" applyAlignment="1">
      <alignment horizontal="right" vertical="center"/>
    </xf>
    <xf numFmtId="190" fontId="29" fillId="0" borderId="0" xfId="2453" applyNumberFormat="1" applyFont="1" applyAlignment="1">
      <alignment vertical="center"/>
    </xf>
    <xf numFmtId="0" fontId="28" fillId="5" borderId="30" xfId="2450" applyFont="1" applyFill="1" applyBorder="1" applyAlignment="1">
      <alignment horizontal="center" vertical="center"/>
    </xf>
    <xf numFmtId="0" fontId="28" fillId="5" borderId="23" xfId="2450" applyFont="1" applyFill="1" applyBorder="1" applyAlignment="1">
      <alignment horizontal="center" vertical="center"/>
    </xf>
    <xf numFmtId="0" fontId="28" fillId="5" borderId="19" xfId="2450" applyFont="1" applyFill="1" applyBorder="1" applyAlignment="1">
      <alignment horizontal="center" vertical="center"/>
    </xf>
    <xf numFmtId="0" fontId="28" fillId="5" borderId="4" xfId="2450" applyFont="1" applyFill="1" applyBorder="1" applyAlignment="1">
      <alignment horizontal="center" vertical="center"/>
    </xf>
    <xf numFmtId="0" fontId="28" fillId="5" borderId="15" xfId="2450" applyFont="1" applyFill="1" applyBorder="1" applyAlignment="1">
      <alignment horizontal="center" vertical="center"/>
    </xf>
    <xf numFmtId="0" fontId="29" fillId="3" borderId="7" xfId="2450" applyFont="1" applyFill="1" applyBorder="1" applyAlignment="1">
      <alignment horizontal="center" vertical="center"/>
    </xf>
    <xf numFmtId="0" fontId="29" fillId="3" borderId="4" xfId="2450" applyFont="1" applyFill="1" applyBorder="1" applyAlignment="1">
      <alignment horizontal="center" vertical="center"/>
    </xf>
    <xf numFmtId="0" fontId="29" fillId="0" borderId="4" xfId="2450" applyFont="1" applyFill="1" applyBorder="1" applyAlignment="1">
      <alignment horizontal="center" vertical="center"/>
    </xf>
    <xf numFmtId="0" fontId="29" fillId="0" borderId="11" xfId="2450" applyFont="1" applyFill="1" applyBorder="1" applyAlignment="1">
      <alignment horizontal="center" vertical="center"/>
    </xf>
    <xf numFmtId="176" fontId="29" fillId="8" borderId="28" xfId="2452" applyNumberFormat="1" applyFont="1" applyFill="1" applyBorder="1" applyAlignment="1">
      <alignment horizontal="center" vertical="center" wrapText="1"/>
    </xf>
    <xf numFmtId="176" fontId="29" fillId="3" borderId="15" xfId="2453" applyNumberFormat="1" applyFont="1" applyFill="1" applyBorder="1" applyAlignment="1">
      <alignment horizontal="center" vertical="center"/>
    </xf>
    <xf numFmtId="41" fontId="29" fillId="4" borderId="13" xfId="2463" applyFont="1" applyFill="1" applyBorder="1" applyAlignment="1">
      <alignment horizontal="center" vertical="center"/>
    </xf>
    <xf numFmtId="41" fontId="29" fillId="4" borderId="18" xfId="2463" applyFont="1" applyFill="1" applyBorder="1" applyAlignment="1">
      <alignment horizontal="center" vertical="center"/>
    </xf>
    <xf numFmtId="0" fontId="28" fillId="3" borderId="50" xfId="2453" applyFont="1" applyFill="1" applyBorder="1" applyAlignment="1">
      <alignment horizontal="center" vertical="center"/>
    </xf>
    <xf numFmtId="176" fontId="29" fillId="8" borderId="28" xfId="2452" applyNumberFormat="1" applyFont="1" applyFill="1" applyBorder="1" applyAlignment="1">
      <alignment horizontal="center" vertical="center"/>
    </xf>
    <xf numFmtId="0" fontId="29" fillId="3" borderId="9" xfId="2450" applyFont="1" applyFill="1" applyBorder="1" applyAlignment="1">
      <alignment horizontal="center" vertical="center"/>
    </xf>
    <xf numFmtId="0" fontId="28" fillId="5" borderId="36" xfId="2450" applyFont="1" applyFill="1" applyBorder="1" applyAlignment="1">
      <alignment horizontal="center" vertical="center"/>
    </xf>
    <xf numFmtId="0" fontId="28" fillId="5" borderId="14" xfId="2450" applyFont="1" applyFill="1" applyBorder="1" applyAlignment="1">
      <alignment horizontal="center" vertical="center"/>
    </xf>
    <xf numFmtId="176" fontId="29" fillId="3" borderId="7" xfId="2452" applyNumberFormat="1" applyFont="1" applyFill="1" applyBorder="1" applyAlignment="1">
      <alignment horizontal="center" vertical="center" wrapText="1"/>
    </xf>
    <xf numFmtId="0" fontId="29" fillId="3" borderId="6" xfId="2450" applyFont="1" applyFill="1" applyBorder="1" applyAlignment="1">
      <alignment horizontal="center" vertical="center"/>
    </xf>
    <xf numFmtId="0" fontId="29" fillId="0" borderId="0" xfId="2450" applyFont="1" applyBorder="1" applyAlignment="1">
      <alignment horizontal="center" vertical="center"/>
    </xf>
    <xf numFmtId="9" fontId="29" fillId="0" borderId="25" xfId="2450" applyNumberFormat="1" applyFont="1" applyFill="1" applyBorder="1" applyAlignment="1">
      <alignment horizontal="center" vertical="center"/>
    </xf>
    <xf numFmtId="0" fontId="139" fillId="0" borderId="0" xfId="2450" applyFont="1" applyAlignment="1">
      <alignment horizontal="left" vertical="center"/>
    </xf>
    <xf numFmtId="176" fontId="29" fillId="3" borderId="15" xfId="2495" applyNumberFormat="1" applyFont="1" applyFill="1" applyBorder="1" applyAlignment="1">
      <alignment horizontal="center" vertical="center"/>
    </xf>
    <xf numFmtId="176" fontId="29" fillId="3" borderId="7" xfId="2495" applyNumberFormat="1" applyFont="1" applyFill="1" applyBorder="1" applyAlignment="1">
      <alignment horizontal="center" vertical="center" wrapText="1"/>
    </xf>
    <xf numFmtId="176" fontId="29" fillId="3" borderId="16" xfId="2495" applyNumberFormat="1" applyFont="1" applyFill="1" applyBorder="1" applyAlignment="1">
      <alignment horizontal="center" vertical="center"/>
    </xf>
    <xf numFmtId="176" fontId="29" fillId="3" borderId="22" xfId="2495" applyNumberFormat="1" applyFont="1" applyFill="1" applyBorder="1" applyAlignment="1">
      <alignment horizontal="center" vertical="center"/>
    </xf>
    <xf numFmtId="9" fontId="29" fillId="0" borderId="22" xfId="2461" applyNumberFormat="1" applyFont="1" applyFill="1" applyBorder="1" applyAlignment="1">
      <alignment horizontal="center" vertical="center"/>
    </xf>
    <xf numFmtId="0" fontId="28" fillId="0" borderId="0" xfId="2495" applyFont="1" applyBorder="1" applyAlignment="1">
      <alignment vertical="center"/>
    </xf>
    <xf numFmtId="0" fontId="29" fillId="0" borderId="0" xfId="2495" applyFont="1" applyBorder="1" applyAlignment="1">
      <alignment vertical="center"/>
    </xf>
    <xf numFmtId="0" fontId="29" fillId="0" borderId="0" xfId="2495" applyFont="1" applyFill="1" applyAlignment="1">
      <alignment vertical="center"/>
    </xf>
    <xf numFmtId="0" fontId="29" fillId="0" borderId="0" xfId="2495" applyFont="1" applyAlignment="1">
      <alignment vertical="center"/>
    </xf>
    <xf numFmtId="0" fontId="29" fillId="0" borderId="0" xfId="2495" applyFont="1" applyAlignment="1">
      <alignment horizontal="center" vertical="center"/>
    </xf>
    <xf numFmtId="0" fontId="29" fillId="0" borderId="0" xfId="2495" applyFont="1" applyFill="1" applyAlignment="1">
      <alignment horizontal="center" vertical="center"/>
    </xf>
    <xf numFmtId="0" fontId="29" fillId="0" borderId="6" xfId="0" applyFont="1" applyBorder="1" applyAlignment="1">
      <alignment horizontal="center" vertical="center"/>
    </xf>
    <xf numFmtId="0" fontId="29" fillId="0" borderId="4" xfId="0" applyFont="1" applyBorder="1" applyAlignment="1">
      <alignment horizontal="center" vertical="center"/>
    </xf>
    <xf numFmtId="0" fontId="29" fillId="5" borderId="26" xfId="0" applyFont="1" applyFill="1" applyBorder="1" applyAlignment="1">
      <alignment horizontal="center" vertical="center"/>
    </xf>
    <xf numFmtId="176" fontId="29" fillId="3" borderId="15" xfId="2453" applyNumberFormat="1" applyFont="1" applyFill="1" applyBorder="1" applyAlignment="1">
      <alignment horizontal="center" vertical="center"/>
    </xf>
    <xf numFmtId="9" fontId="29" fillId="3" borderId="14" xfId="0" applyNumberFormat="1" applyFont="1" applyFill="1" applyBorder="1" applyAlignment="1">
      <alignment horizontal="center" vertical="center"/>
    </xf>
    <xf numFmtId="176" fontId="29" fillId="8" borderId="24" xfId="2453" applyNumberFormat="1" applyFont="1" applyFill="1" applyBorder="1" applyAlignment="1">
      <alignment horizontal="center" vertical="center" wrapText="1"/>
    </xf>
    <xf numFmtId="176" fontId="29" fillId="8" borderId="27" xfId="2453" applyNumberFormat="1" applyFont="1" applyFill="1" applyBorder="1" applyAlignment="1">
      <alignment horizontal="center" vertical="center"/>
    </xf>
    <xf numFmtId="9" fontId="29" fillId="3" borderId="14" xfId="2453" applyNumberFormat="1" applyFont="1" applyFill="1" applyBorder="1" applyAlignment="1">
      <alignment horizontal="center" vertical="center"/>
    </xf>
    <xf numFmtId="176" fontId="29" fillId="2" borderId="98" xfId="0" applyNumberFormat="1" applyFont="1" applyFill="1" applyBorder="1" applyAlignment="1">
      <alignment horizontal="center" vertical="center"/>
    </xf>
    <xf numFmtId="176" fontId="29" fillId="2" borderId="59" xfId="0" applyNumberFormat="1" applyFont="1" applyFill="1" applyBorder="1" applyAlignment="1">
      <alignment horizontal="center" vertical="center"/>
    </xf>
    <xf numFmtId="176" fontId="29" fillId="2" borderId="107" xfId="0" applyNumberFormat="1" applyFont="1" applyFill="1" applyBorder="1" applyAlignment="1">
      <alignment horizontal="center" vertical="center"/>
    </xf>
    <xf numFmtId="176" fontId="29" fillId="2" borderId="109" xfId="0" applyNumberFormat="1" applyFont="1" applyFill="1" applyBorder="1" applyAlignment="1">
      <alignment horizontal="center" vertical="center"/>
    </xf>
    <xf numFmtId="176" fontId="29" fillId="2" borderId="71" xfId="0" applyNumberFormat="1" applyFont="1" applyFill="1" applyBorder="1" applyAlignment="1">
      <alignment horizontal="center" vertical="center"/>
    </xf>
    <xf numFmtId="176" fontId="29" fillId="3" borderId="82" xfId="0" applyNumberFormat="1" applyFont="1" applyFill="1" applyBorder="1" applyAlignment="1">
      <alignment horizontal="center" vertical="center"/>
    </xf>
    <xf numFmtId="176" fontId="29" fillId="3" borderId="83" xfId="0" applyNumberFormat="1" applyFont="1" applyFill="1" applyBorder="1" applyAlignment="1">
      <alignment horizontal="center" vertical="center"/>
    </xf>
    <xf numFmtId="176" fontId="29" fillId="3" borderId="84" xfId="0" applyNumberFormat="1" applyFont="1" applyFill="1" applyBorder="1" applyAlignment="1">
      <alignment horizontal="center" vertical="center"/>
    </xf>
    <xf numFmtId="176" fontId="29" fillId="2" borderId="74" xfId="0" applyNumberFormat="1" applyFont="1" applyFill="1" applyBorder="1" applyAlignment="1">
      <alignment horizontal="center" vertical="center"/>
    </xf>
    <xf numFmtId="176" fontId="29" fillId="3" borderId="83" xfId="0" applyNumberFormat="1" applyFont="1" applyFill="1" applyBorder="1" applyAlignment="1">
      <alignment horizontal="center" vertical="center" wrapText="1"/>
    </xf>
    <xf numFmtId="176" fontId="29" fillId="2" borderId="122" xfId="0" applyNumberFormat="1" applyFont="1" applyFill="1" applyBorder="1" applyAlignment="1">
      <alignment horizontal="center" vertical="center"/>
    </xf>
    <xf numFmtId="176" fontId="29" fillId="3" borderId="15" xfId="2496" applyNumberFormat="1" applyFont="1" applyFill="1" applyBorder="1" applyAlignment="1">
      <alignment horizontal="center" vertical="center"/>
    </xf>
    <xf numFmtId="176" fontId="29" fillId="3" borderId="7" xfId="2496" applyNumberFormat="1" applyFont="1" applyFill="1" applyBorder="1" applyAlignment="1">
      <alignment horizontal="center" vertical="center" wrapText="1"/>
    </xf>
    <xf numFmtId="176" fontId="29" fillId="3" borderId="16" xfId="2496" applyNumberFormat="1" applyFont="1" applyFill="1" applyBorder="1" applyAlignment="1">
      <alignment horizontal="center" vertical="center"/>
    </xf>
    <xf numFmtId="176" fontId="29" fillId="3" borderId="22" xfId="2496" applyNumberFormat="1" applyFont="1" applyFill="1" applyBorder="1" applyAlignment="1">
      <alignment horizontal="center" vertical="center"/>
    </xf>
    <xf numFmtId="176" fontId="29" fillId="3" borderId="24" xfId="2496" applyNumberFormat="1" applyFont="1" applyFill="1" applyBorder="1" applyAlignment="1">
      <alignment horizontal="center" vertical="center"/>
    </xf>
    <xf numFmtId="0" fontId="102" fillId="0" borderId="0" xfId="2450" applyFont="1">
      <alignment vertical="center"/>
    </xf>
    <xf numFmtId="0" fontId="142" fillId="0" borderId="0" xfId="2450" applyFont="1">
      <alignment vertical="center"/>
    </xf>
    <xf numFmtId="0" fontId="29" fillId="3" borderId="7" xfId="2450" applyFont="1" applyFill="1" applyBorder="1" applyAlignment="1">
      <alignment horizontal="center" vertical="center"/>
    </xf>
    <xf numFmtId="0" fontId="29" fillId="3" borderId="4" xfId="2450" applyFont="1" applyFill="1" applyBorder="1" applyAlignment="1">
      <alignment horizontal="center" vertical="center"/>
    </xf>
    <xf numFmtId="9" fontId="29" fillId="3" borderId="54" xfId="2452" applyNumberFormat="1" applyFont="1" applyFill="1" applyBorder="1" applyAlignment="1">
      <alignment horizontal="center" vertical="center"/>
    </xf>
    <xf numFmtId="0" fontId="29" fillId="5" borderId="9" xfId="2450" applyFont="1" applyFill="1" applyBorder="1" applyAlignment="1">
      <alignment horizontal="center" vertical="center"/>
    </xf>
    <xf numFmtId="0" fontId="29" fillId="5" borderId="54" xfId="2450" applyFont="1" applyFill="1" applyBorder="1" applyAlignment="1">
      <alignment horizontal="center" vertical="center"/>
    </xf>
    <xf numFmtId="0" fontId="29" fillId="5" borderId="4" xfId="2450" applyFont="1" applyFill="1" applyBorder="1" applyAlignment="1">
      <alignment horizontal="center" vertical="center"/>
    </xf>
    <xf numFmtId="0" fontId="28" fillId="3" borderId="14" xfId="2453" applyFont="1" applyFill="1" applyBorder="1" applyAlignment="1">
      <alignment horizontal="center" vertical="center"/>
    </xf>
    <xf numFmtId="0" fontId="28" fillId="3" borderId="54" xfId="2453" applyFont="1" applyFill="1" applyBorder="1" applyAlignment="1">
      <alignment horizontal="center" vertical="center"/>
    </xf>
    <xf numFmtId="0" fontId="29" fillId="0" borderId="0" xfId="2450" applyFont="1" applyFill="1" applyBorder="1" applyAlignment="1">
      <alignment horizontal="center" vertical="center" wrapText="1"/>
    </xf>
    <xf numFmtId="0" fontId="29" fillId="5" borderId="13" xfId="2450" applyFont="1" applyFill="1" applyBorder="1" applyAlignment="1">
      <alignment horizontal="center" vertical="center"/>
    </xf>
    <xf numFmtId="0" fontId="29" fillId="5" borderId="44" xfId="2450" applyFont="1" applyFill="1" applyBorder="1" applyAlignment="1">
      <alignment horizontal="center" vertical="center"/>
    </xf>
    <xf numFmtId="0" fontId="29" fillId="5" borderId="6" xfId="2450" applyFont="1" applyFill="1" applyBorder="1" applyAlignment="1">
      <alignment horizontal="center" vertical="center"/>
    </xf>
    <xf numFmtId="0" fontId="29" fillId="5" borderId="10" xfId="2450" applyFont="1" applyFill="1" applyBorder="1" applyAlignment="1">
      <alignment horizontal="center" vertical="center"/>
    </xf>
    <xf numFmtId="0" fontId="28" fillId="3" borderId="23" xfId="2453" applyFont="1" applyFill="1" applyBorder="1" applyAlignment="1">
      <alignment horizontal="center" vertical="center"/>
    </xf>
    <xf numFmtId="0" fontId="28" fillId="3" borderId="8" xfId="2453" applyFont="1" applyFill="1" applyBorder="1" applyAlignment="1">
      <alignment horizontal="center" vertical="center"/>
    </xf>
    <xf numFmtId="0" fontId="29" fillId="0" borderId="0" xfId="2453" applyFont="1" applyFill="1" applyBorder="1" applyAlignment="1">
      <alignment horizontal="center" vertical="center"/>
    </xf>
    <xf numFmtId="0" fontId="28" fillId="3" borderId="4" xfId="2453" applyFont="1" applyFill="1" applyBorder="1" applyAlignment="1">
      <alignment horizontal="center" vertical="center"/>
    </xf>
    <xf numFmtId="0" fontId="29" fillId="0" borderId="0" xfId="2453" applyFont="1" applyFill="1" applyBorder="1" applyAlignment="1">
      <alignment horizontal="center" vertical="center" wrapText="1"/>
    </xf>
    <xf numFmtId="0" fontId="28" fillId="3" borderId="55" xfId="2453" applyFont="1" applyFill="1" applyBorder="1" applyAlignment="1">
      <alignment horizontal="center" vertical="center"/>
    </xf>
    <xf numFmtId="0" fontId="28" fillId="3" borderId="40" xfId="2453" applyFont="1" applyFill="1" applyBorder="1" applyAlignment="1">
      <alignment horizontal="center" vertical="center" wrapText="1"/>
    </xf>
    <xf numFmtId="176" fontId="29" fillId="3" borderId="7" xfId="2452" applyNumberFormat="1" applyFont="1" applyFill="1" applyBorder="1" applyAlignment="1">
      <alignment horizontal="center" vertical="center" wrapText="1"/>
    </xf>
    <xf numFmtId="0" fontId="29" fillId="0" borderId="0" xfId="2450" applyFont="1" applyBorder="1" applyAlignment="1">
      <alignment horizontal="center" vertical="center"/>
    </xf>
    <xf numFmtId="0" fontId="29" fillId="3" borderId="6" xfId="2450" applyFont="1" applyFill="1" applyBorder="1" applyAlignment="1">
      <alignment horizontal="center" vertical="center"/>
    </xf>
    <xf numFmtId="9" fontId="29" fillId="3" borderId="4" xfId="2453" applyNumberFormat="1" applyFont="1" applyFill="1" applyBorder="1" applyAlignment="1">
      <alignment horizontal="center" vertical="center"/>
    </xf>
    <xf numFmtId="177" fontId="29" fillId="2" borderId="4" xfId="2453" applyNumberFormat="1" applyFont="1" applyFill="1" applyBorder="1" applyAlignment="1">
      <alignment horizontal="center" vertical="center"/>
    </xf>
    <xf numFmtId="177" fontId="29" fillId="2" borderId="6" xfId="2453" applyNumberFormat="1" applyFont="1" applyFill="1" applyBorder="1" applyAlignment="1">
      <alignment horizontal="center" vertical="center"/>
    </xf>
    <xf numFmtId="177" fontId="29" fillId="2" borderId="11" xfId="2453" applyNumberFormat="1" applyFont="1" applyFill="1" applyBorder="1" applyAlignment="1">
      <alignment horizontal="center" vertical="center"/>
    </xf>
    <xf numFmtId="177" fontId="29" fillId="2" borderId="53" xfId="2453" applyNumberFormat="1" applyFont="1" applyFill="1" applyBorder="1" applyAlignment="1">
      <alignment horizontal="center" vertical="center"/>
    </xf>
    <xf numFmtId="177" fontId="29" fillId="2" borderId="79" xfId="2453" applyNumberFormat="1" applyFont="1" applyFill="1" applyBorder="1" applyAlignment="1">
      <alignment horizontal="center" vertical="center"/>
    </xf>
    <xf numFmtId="177" fontId="29" fillId="8" borderId="68" xfId="2452" applyNumberFormat="1" applyFont="1" applyFill="1" applyBorder="1" applyAlignment="1">
      <alignment horizontal="center" vertical="center" wrapText="1"/>
    </xf>
    <xf numFmtId="0" fontId="29" fillId="3" borderId="15" xfId="2450" applyFont="1" applyFill="1" applyBorder="1" applyAlignment="1">
      <alignment horizontal="center" vertical="center"/>
    </xf>
    <xf numFmtId="0" fontId="29" fillId="3" borderId="7" xfId="2450" applyFont="1" applyFill="1" applyBorder="1" applyAlignment="1">
      <alignment horizontal="center" vertical="center"/>
    </xf>
    <xf numFmtId="176" fontId="29" fillId="3" borderId="26" xfId="2452" applyNumberFormat="1" applyFont="1" applyFill="1" applyBorder="1" applyAlignment="1">
      <alignment horizontal="center" vertical="center" wrapText="1"/>
    </xf>
    <xf numFmtId="176" fontId="29" fillId="3" borderId="23" xfId="2452" applyNumberFormat="1" applyFont="1" applyFill="1" applyBorder="1" applyAlignment="1">
      <alignment horizontal="center" vertical="center"/>
    </xf>
    <xf numFmtId="0" fontId="29" fillId="5" borderId="30" xfId="2450" applyFont="1" applyFill="1" applyBorder="1" applyAlignment="1">
      <alignment horizontal="center" vertical="center"/>
    </xf>
    <xf numFmtId="0" fontId="29" fillId="5" borderId="23" xfId="2450" applyFont="1" applyFill="1" applyBorder="1" applyAlignment="1">
      <alignment horizontal="center" vertical="center"/>
    </xf>
    <xf numFmtId="0" fontId="29" fillId="5" borderId="27" xfId="2450" applyFont="1" applyFill="1" applyBorder="1" applyAlignment="1">
      <alignment horizontal="center" vertical="center"/>
    </xf>
    <xf numFmtId="0" fontId="29" fillId="0" borderId="0" xfId="2450" applyFont="1" applyFill="1" applyBorder="1" applyAlignment="1">
      <alignment horizontal="center" vertical="center" wrapText="1"/>
    </xf>
    <xf numFmtId="0" fontId="29" fillId="2" borderId="4" xfId="2450" applyFont="1" applyFill="1" applyBorder="1" applyAlignment="1">
      <alignment horizontal="center" vertical="center"/>
    </xf>
    <xf numFmtId="0" fontId="29" fillId="2" borderId="6" xfId="2450" applyFont="1" applyFill="1" applyBorder="1" applyAlignment="1">
      <alignment horizontal="center" vertical="center"/>
    </xf>
    <xf numFmtId="0" fontId="29" fillId="3" borderId="4" xfId="0" applyFont="1" applyFill="1" applyBorder="1" applyAlignment="1">
      <alignment horizontal="center" vertical="center"/>
    </xf>
    <xf numFmtId="0" fontId="29" fillId="0" borderId="9" xfId="0" applyFont="1" applyBorder="1" applyAlignment="1">
      <alignment horizontal="center" vertical="center"/>
    </xf>
    <xf numFmtId="0" fontId="29" fillId="0" borderId="16" xfId="0" applyFont="1" applyFill="1" applyBorder="1" applyAlignment="1">
      <alignment horizontal="center" vertical="center"/>
    </xf>
    <xf numFmtId="0" fontId="29" fillId="3" borderId="6" xfId="0" applyFont="1" applyFill="1" applyBorder="1" applyAlignment="1">
      <alignment horizontal="center" vertical="center"/>
    </xf>
    <xf numFmtId="0" fontId="29" fillId="3" borderId="9" xfId="0" applyFont="1" applyFill="1" applyBorder="1" applyAlignment="1">
      <alignment horizontal="center" vertical="center"/>
    </xf>
    <xf numFmtId="0" fontId="29" fillId="3" borderId="24" xfId="0" applyFont="1" applyFill="1" applyBorder="1" applyAlignment="1">
      <alignment horizontal="center" vertical="center"/>
    </xf>
    <xf numFmtId="176" fontId="29" fillId="3" borderId="26" xfId="2452" applyNumberFormat="1" applyFont="1" applyFill="1" applyBorder="1" applyAlignment="1">
      <alignment horizontal="center" vertical="center"/>
    </xf>
    <xf numFmtId="0" fontId="29" fillId="0" borderId="4" xfId="0" applyFont="1" applyBorder="1" applyAlignment="1">
      <alignment horizontal="center" vertical="center"/>
    </xf>
    <xf numFmtId="0" fontId="29" fillId="0" borderId="11" xfId="0" applyFont="1" applyBorder="1" applyAlignment="1">
      <alignment horizontal="center" vertical="center"/>
    </xf>
    <xf numFmtId="0" fontId="29" fillId="2" borderId="13" xfId="2450" applyFont="1" applyFill="1" applyBorder="1" applyAlignment="1">
      <alignment horizontal="center" vertical="center"/>
    </xf>
    <xf numFmtId="0" fontId="29" fillId="2" borderId="31" xfId="2450" applyFont="1" applyFill="1" applyBorder="1" applyAlignment="1">
      <alignment horizontal="center" vertical="center"/>
    </xf>
    <xf numFmtId="177" fontId="27" fillId="3" borderId="6" xfId="2452" applyNumberFormat="1" applyFont="1" applyFill="1" applyBorder="1" applyAlignment="1">
      <alignment horizontal="center" vertical="center"/>
    </xf>
    <xf numFmtId="177" fontId="27" fillId="3" borderId="3" xfId="2452" applyNumberFormat="1" applyFont="1" applyFill="1" applyBorder="1" applyAlignment="1">
      <alignment horizontal="center" vertical="center"/>
    </xf>
    <xf numFmtId="176" fontId="29" fillId="3" borderId="7" xfId="2452" applyNumberFormat="1" applyFont="1" applyFill="1" applyBorder="1" applyAlignment="1">
      <alignment horizontal="center" vertical="center" wrapText="1"/>
    </xf>
    <xf numFmtId="177" fontId="27" fillId="3" borderId="24" xfId="2452" applyNumberFormat="1" applyFont="1" applyFill="1" applyBorder="1" applyAlignment="1">
      <alignment horizontal="center" vertical="center"/>
    </xf>
    <xf numFmtId="177" fontId="27" fillId="5" borderId="56" xfId="2452" applyNumberFormat="1" applyFont="1" applyFill="1" applyBorder="1" applyAlignment="1">
      <alignment horizontal="center" vertical="center"/>
    </xf>
    <xf numFmtId="0" fontId="29" fillId="0" borderId="0" xfId="2450" applyFont="1" applyBorder="1" applyAlignment="1">
      <alignment horizontal="center" vertical="center"/>
    </xf>
    <xf numFmtId="0" fontId="87" fillId="0" borderId="0" xfId="2450" applyFont="1" applyFill="1" applyAlignment="1">
      <alignment vertical="center"/>
    </xf>
    <xf numFmtId="9" fontId="29" fillId="0" borderId="12" xfId="2481" applyFont="1" applyBorder="1" applyAlignment="1">
      <alignment horizontal="center" vertical="center"/>
    </xf>
    <xf numFmtId="9" fontId="29" fillId="0" borderId="148" xfId="2481" applyFont="1" applyBorder="1" applyAlignment="1">
      <alignment horizontal="center" vertical="center"/>
    </xf>
    <xf numFmtId="9" fontId="27" fillId="5" borderId="92" xfId="2473" quotePrefix="1" applyNumberFormat="1" applyFont="1" applyFill="1" applyBorder="1" applyAlignment="1">
      <alignment horizontal="center" vertical="center"/>
    </xf>
    <xf numFmtId="9" fontId="27" fillId="5" borderId="9" xfId="2450" quotePrefix="1" applyNumberFormat="1" applyFont="1" applyFill="1" applyBorder="1" applyAlignment="1">
      <alignment horizontal="center" vertical="center"/>
    </xf>
    <xf numFmtId="9" fontId="27" fillId="5" borderId="58" xfId="2450" quotePrefix="1" applyNumberFormat="1" applyFont="1" applyFill="1" applyBorder="1" applyAlignment="1">
      <alignment horizontal="center" vertical="center"/>
    </xf>
    <xf numFmtId="9" fontId="27" fillId="0" borderId="135" xfId="2481" applyFont="1" applyBorder="1" applyAlignment="1">
      <alignment horizontal="center" vertical="center"/>
    </xf>
    <xf numFmtId="9" fontId="27" fillId="0" borderId="149" xfId="2481" applyFont="1" applyBorder="1" applyAlignment="1">
      <alignment horizontal="center" vertical="center"/>
    </xf>
    <xf numFmtId="9" fontId="27" fillId="0" borderId="93" xfId="2481" applyFont="1" applyBorder="1" applyAlignment="1">
      <alignment horizontal="center" vertical="center"/>
    </xf>
    <xf numFmtId="9" fontId="27" fillId="0" borderId="150" xfId="2481" applyFont="1" applyBorder="1" applyAlignment="1">
      <alignment horizontal="center" vertical="center"/>
    </xf>
    <xf numFmtId="9" fontId="27" fillId="0" borderId="46" xfId="2481" applyFont="1" applyBorder="1" applyAlignment="1">
      <alignment horizontal="center" vertical="center"/>
    </xf>
    <xf numFmtId="9" fontId="27" fillId="0" borderId="25" xfId="2481" applyFont="1" applyBorder="1" applyAlignment="1">
      <alignment horizontal="center" vertical="center"/>
    </xf>
    <xf numFmtId="0" fontId="29" fillId="0" borderId="38" xfId="2450" applyFont="1" applyBorder="1" applyAlignment="1">
      <alignment horizontal="center" vertical="center"/>
    </xf>
    <xf numFmtId="0" fontId="29" fillId="5" borderId="151" xfId="2450" applyFont="1" applyFill="1" applyBorder="1" applyAlignment="1">
      <alignment horizontal="center" vertical="center"/>
    </xf>
    <xf numFmtId="211" fontId="29" fillId="0" borderId="0" xfId="2450" applyNumberFormat="1" applyFont="1" applyAlignment="1">
      <alignment horizontal="center" vertical="center"/>
    </xf>
    <xf numFmtId="9" fontId="29" fillId="0" borderId="9" xfId="2473" applyFont="1" applyFill="1" applyBorder="1" applyAlignment="1">
      <alignment horizontal="center" vertical="center"/>
    </xf>
    <xf numFmtId="0" fontId="29" fillId="0" borderId="9" xfId="2474" applyNumberFormat="1" applyFont="1" applyFill="1" applyBorder="1" applyAlignment="1">
      <alignment horizontal="center" vertical="center"/>
    </xf>
    <xf numFmtId="9" fontId="29" fillId="0" borderId="4" xfId="2473" applyFont="1" applyFill="1" applyBorder="1" applyAlignment="1">
      <alignment horizontal="center" vertical="center"/>
    </xf>
    <xf numFmtId="9" fontId="29" fillId="0" borderId="31" xfId="2473" applyFont="1" applyFill="1" applyBorder="1" applyAlignment="1">
      <alignment horizontal="center" vertical="center"/>
    </xf>
    <xf numFmtId="9" fontId="27" fillId="5" borderId="11" xfId="2450" applyNumberFormat="1" applyFont="1" applyFill="1" applyBorder="1" applyAlignment="1">
      <alignment horizontal="center" vertical="center"/>
    </xf>
    <xf numFmtId="0" fontId="27" fillId="0" borderId="7" xfId="2450" applyFont="1" applyBorder="1" applyAlignment="1">
      <alignment horizontal="center" vertical="center"/>
    </xf>
    <xf numFmtId="0" fontId="27" fillId="0" borderId="16" xfId="2450" applyFont="1" applyBorder="1" applyAlignment="1">
      <alignment horizontal="center" vertical="center"/>
    </xf>
    <xf numFmtId="0" fontId="91" fillId="0" borderId="42" xfId="2450" applyFont="1" applyBorder="1">
      <alignment vertical="center"/>
    </xf>
    <xf numFmtId="0" fontId="143" fillId="3" borderId="15" xfId="2452" applyNumberFormat="1" applyFont="1" applyFill="1" applyBorder="1" applyAlignment="1">
      <alignment horizontal="center" vertical="center"/>
    </xf>
    <xf numFmtId="176" fontId="29" fillId="0" borderId="0" xfId="2452" applyNumberFormat="1" applyFont="1" applyBorder="1" applyAlignment="1">
      <alignment horizontal="center" vertical="center"/>
    </xf>
    <xf numFmtId="0" fontId="29" fillId="0" borderId="0" xfId="2482" applyFont="1" applyFill="1" applyBorder="1" applyAlignment="1">
      <alignment vertical="center"/>
    </xf>
    <xf numFmtId="0" fontId="133" fillId="5" borderId="117" xfId="2450" applyFont="1" applyFill="1" applyBorder="1" applyAlignment="1">
      <alignment vertical="center"/>
    </xf>
    <xf numFmtId="0" fontId="29" fillId="5" borderId="2" xfId="2450" applyFont="1" applyFill="1" applyBorder="1" applyAlignment="1">
      <alignment horizontal="center" vertical="center"/>
    </xf>
    <xf numFmtId="0" fontId="29" fillId="5" borderId="2" xfId="2450" applyFont="1" applyFill="1" applyBorder="1" applyAlignment="1">
      <alignment vertical="center"/>
    </xf>
    <xf numFmtId="0" fontId="29" fillId="5" borderId="89" xfId="2450" applyFont="1" applyFill="1" applyBorder="1" applyAlignment="1">
      <alignment vertical="center"/>
    </xf>
    <xf numFmtId="0" fontId="29" fillId="5" borderId="91" xfId="2450" applyFont="1" applyFill="1" applyBorder="1" applyAlignment="1">
      <alignment vertical="center"/>
    </xf>
    <xf numFmtId="0" fontId="29" fillId="0" borderId="0" xfId="2450" applyFont="1" applyFill="1" applyBorder="1" applyAlignment="1">
      <alignment vertical="center"/>
    </xf>
    <xf numFmtId="0" fontId="106" fillId="0" borderId="0" xfId="2482" applyFont="1" applyAlignment="1">
      <alignment vertical="center"/>
    </xf>
    <xf numFmtId="0" fontId="106" fillId="0" borderId="0" xfId="2482" applyNumberFormat="1" applyFont="1" applyAlignment="1">
      <alignment vertical="center"/>
    </xf>
    <xf numFmtId="9" fontId="106" fillId="0" borderId="0" xfId="2481" applyFont="1" applyAlignment="1">
      <alignment vertical="center"/>
    </xf>
    <xf numFmtId="0" fontId="106" fillId="0" borderId="0" xfId="2482" applyFont="1" applyAlignment="1">
      <alignment horizontal="center" vertical="center"/>
    </xf>
    <xf numFmtId="176" fontId="30" fillId="0" borderId="0" xfId="2452" applyNumberFormat="1" applyFont="1" applyAlignment="1">
      <alignment horizontal="center" vertical="center" wrapText="1"/>
    </xf>
    <xf numFmtId="0" fontId="29" fillId="3" borderId="152" xfId="2450" applyFont="1" applyFill="1" applyBorder="1" applyAlignment="1">
      <alignment horizontal="center" vertical="center"/>
    </xf>
    <xf numFmtId="9" fontId="29" fillId="0" borderId="132" xfId="2450" applyNumberFormat="1" applyFont="1" applyBorder="1" applyAlignment="1">
      <alignment horizontal="center" vertical="center"/>
    </xf>
    <xf numFmtId="9" fontId="29" fillId="0" borderId="153" xfId="2450" applyNumberFormat="1" applyFont="1" applyBorder="1" applyAlignment="1">
      <alignment horizontal="center" vertical="center"/>
    </xf>
    <xf numFmtId="9" fontId="29" fillId="0" borderId="22" xfId="2450" applyNumberFormat="1" applyFont="1" applyBorder="1" applyAlignment="1">
      <alignment horizontal="center" vertical="center"/>
    </xf>
    <xf numFmtId="0" fontId="142" fillId="0" borderId="0" xfId="0" applyFont="1">
      <alignment vertical="center"/>
    </xf>
    <xf numFmtId="176" fontId="29" fillId="3" borderId="53" xfId="2450" applyNumberFormat="1" applyFont="1" applyFill="1" applyBorder="1" applyAlignment="1">
      <alignment horizontal="center" vertical="center"/>
    </xf>
    <xf numFmtId="176" fontId="29" fillId="3" borderId="59" xfId="2450" applyNumberFormat="1" applyFont="1" applyFill="1" applyBorder="1" applyAlignment="1">
      <alignment horizontal="center" vertical="center"/>
    </xf>
    <xf numFmtId="176" fontId="29" fillId="3" borderId="48" xfId="2450" applyNumberFormat="1" applyFont="1" applyFill="1" applyBorder="1" applyAlignment="1">
      <alignment horizontal="center" vertical="center"/>
    </xf>
    <xf numFmtId="176" fontId="29" fillId="3" borderId="26" xfId="2450" applyNumberFormat="1" applyFont="1" applyFill="1" applyBorder="1" applyAlignment="1">
      <alignment horizontal="center" vertical="center" wrapText="1"/>
    </xf>
    <xf numFmtId="0" fontId="29" fillId="5" borderId="157" xfId="2450" applyFont="1" applyFill="1" applyBorder="1" applyAlignment="1">
      <alignment horizontal="center" vertical="center"/>
    </xf>
    <xf numFmtId="9" fontId="29" fillId="0" borderId="34" xfId="2473" applyFont="1" applyFill="1" applyBorder="1" applyAlignment="1">
      <alignment horizontal="center" vertical="center"/>
    </xf>
    <xf numFmtId="9" fontId="29" fillId="0" borderId="158" xfId="2473" applyFont="1" applyFill="1" applyBorder="1" applyAlignment="1">
      <alignment horizontal="center" vertical="center"/>
    </xf>
    <xf numFmtId="9" fontId="29" fillId="0" borderId="7" xfId="2473" applyFont="1" applyFill="1" applyBorder="1" applyAlignment="1">
      <alignment horizontal="center" vertical="center"/>
    </xf>
    <xf numFmtId="9" fontId="29" fillId="0" borderId="24" xfId="2473" applyFont="1" applyFill="1" applyBorder="1" applyAlignment="1">
      <alignment horizontal="center" vertical="center"/>
    </xf>
    <xf numFmtId="9" fontId="29" fillId="0" borderId="159" xfId="2473" applyFont="1" applyFill="1" applyBorder="1" applyAlignment="1">
      <alignment horizontal="center" vertical="center"/>
    </xf>
    <xf numFmtId="0" fontId="29" fillId="0" borderId="19" xfId="2450" applyFont="1" applyFill="1" applyBorder="1" applyAlignment="1">
      <alignment horizontal="center" vertical="center"/>
    </xf>
    <xf numFmtId="9" fontId="28" fillId="0" borderId="11" xfId="2473" applyFont="1" applyFill="1" applyBorder="1" applyAlignment="1">
      <alignment horizontal="center" vertical="center"/>
    </xf>
    <xf numFmtId="9" fontId="29" fillId="0" borderId="15" xfId="2473" applyFont="1" applyFill="1" applyBorder="1" applyAlignment="1">
      <alignment horizontal="center" vertical="center"/>
    </xf>
    <xf numFmtId="9" fontId="28" fillId="0" borderId="16" xfId="2473" applyFont="1" applyFill="1" applyBorder="1" applyAlignment="1">
      <alignment horizontal="center" vertical="center"/>
    </xf>
    <xf numFmtId="0" fontId="143" fillId="3" borderId="19" xfId="2452" applyNumberFormat="1" applyFont="1" applyFill="1" applyBorder="1" applyAlignment="1">
      <alignment horizontal="center" vertical="center"/>
    </xf>
    <xf numFmtId="177" fontId="27" fillId="3" borderId="4" xfId="2481" applyNumberFormat="1" applyFont="1" applyFill="1" applyBorder="1" applyAlignment="1">
      <alignment horizontal="center" vertical="center"/>
    </xf>
    <xf numFmtId="177" fontId="29" fillId="0" borderId="19" xfId="2481" applyNumberFormat="1" applyFont="1" applyFill="1" applyBorder="1" applyAlignment="1">
      <alignment horizontal="center" vertical="center"/>
    </xf>
    <xf numFmtId="177" fontId="29" fillId="0" borderId="4" xfId="2481" applyNumberFormat="1" applyFont="1" applyFill="1" applyBorder="1" applyAlignment="1">
      <alignment horizontal="center" vertical="center"/>
    </xf>
    <xf numFmtId="177" fontId="29" fillId="0" borderId="11" xfId="2481" applyNumberFormat="1" applyFont="1" applyFill="1" applyBorder="1" applyAlignment="1">
      <alignment horizontal="center" vertical="center"/>
    </xf>
    <xf numFmtId="177" fontId="29" fillId="0" borderId="9" xfId="2481" applyNumberFormat="1" applyFont="1" applyFill="1" applyBorder="1" applyAlignment="1">
      <alignment horizontal="center" vertical="center"/>
    </xf>
    <xf numFmtId="177" fontId="29" fillId="0" borderId="6" xfId="2481" applyNumberFormat="1" applyFont="1" applyFill="1" applyBorder="1" applyAlignment="1">
      <alignment horizontal="center" vertical="center"/>
    </xf>
    <xf numFmtId="0" fontId="79" fillId="4" borderId="61" xfId="0" applyFont="1" applyFill="1" applyBorder="1" applyAlignment="1">
      <alignment horizontal="center" vertical="center"/>
    </xf>
    <xf numFmtId="0" fontId="83" fillId="0" borderId="0" xfId="2455" applyFont="1" applyAlignment="1">
      <alignment horizontal="center" vertical="center"/>
    </xf>
    <xf numFmtId="0" fontId="84" fillId="0" borderId="62" xfId="2455" applyFont="1" applyFill="1" applyBorder="1" applyAlignment="1">
      <alignment horizontal="center" vertical="center"/>
    </xf>
    <xf numFmtId="0" fontId="21" fillId="4" borderId="61" xfId="0" applyFont="1" applyFill="1" applyBorder="1" applyAlignment="1">
      <alignment horizontal="center" vertical="center"/>
    </xf>
    <xf numFmtId="0" fontId="21" fillId="4" borderId="61" xfId="2450" applyFont="1" applyFill="1" applyBorder="1" applyAlignment="1">
      <alignment horizontal="center" vertical="center"/>
    </xf>
    <xf numFmtId="0" fontId="142" fillId="0" borderId="44" xfId="2450" applyFont="1" applyFill="1" applyBorder="1" applyAlignment="1">
      <alignment horizontal="center" vertical="center"/>
    </xf>
    <xf numFmtId="0" fontId="142" fillId="0" borderId="49" xfId="2450" applyFont="1" applyFill="1" applyBorder="1" applyAlignment="1">
      <alignment horizontal="center" vertical="center"/>
    </xf>
    <xf numFmtId="0" fontId="142" fillId="0" borderId="58" xfId="2450" applyFont="1" applyFill="1" applyBorder="1" applyAlignment="1">
      <alignment horizontal="center" vertical="center"/>
    </xf>
    <xf numFmtId="0" fontId="140" fillId="5" borderId="35" xfId="2450" applyFont="1" applyFill="1" applyBorder="1" applyAlignment="1">
      <alignment horizontal="center" vertical="center"/>
    </xf>
    <xf numFmtId="0" fontId="140" fillId="5" borderId="46" xfId="2450" applyFont="1" applyFill="1" applyBorder="1" applyAlignment="1">
      <alignment horizontal="center" vertical="center"/>
    </xf>
    <xf numFmtId="0" fontId="141" fillId="0" borderId="4" xfId="2450" applyFont="1" applyBorder="1" applyAlignment="1">
      <alignment horizontal="center" vertical="center"/>
    </xf>
    <xf numFmtId="0" fontId="142" fillId="0" borderId="13" xfId="2450" applyFont="1" applyBorder="1" applyAlignment="1">
      <alignment horizontal="center" vertical="center"/>
    </xf>
    <xf numFmtId="0" fontId="140" fillId="5" borderId="38" xfId="2450" applyFont="1" applyFill="1" applyBorder="1" applyAlignment="1">
      <alignment horizontal="center" vertical="center"/>
    </xf>
    <xf numFmtId="0" fontId="140" fillId="5" borderId="33" xfId="2450" applyFont="1" applyFill="1" applyBorder="1" applyAlignment="1">
      <alignment horizontal="center" vertical="center"/>
    </xf>
    <xf numFmtId="0" fontId="140" fillId="5" borderId="78" xfId="2450" applyFont="1" applyFill="1" applyBorder="1" applyAlignment="1">
      <alignment horizontal="center" vertical="center"/>
    </xf>
    <xf numFmtId="0" fontId="140" fillId="5" borderId="8" xfId="2450" applyFont="1" applyFill="1" applyBorder="1" applyAlignment="1">
      <alignment horizontal="center" vertical="center"/>
    </xf>
    <xf numFmtId="0" fontId="141" fillId="0" borderId="10" xfId="2450" applyFont="1" applyBorder="1" applyAlignment="1">
      <alignment horizontal="center" vertical="center" wrapText="1"/>
    </xf>
    <xf numFmtId="0" fontId="141" fillId="0" borderId="45" xfId="2450" applyFont="1" applyBorder="1" applyAlignment="1">
      <alignment horizontal="center" vertical="center"/>
    </xf>
    <xf numFmtId="0" fontId="141" fillId="0" borderId="46" xfId="2450" applyFont="1" applyBorder="1" applyAlignment="1">
      <alignment horizontal="center" vertical="center"/>
    </xf>
    <xf numFmtId="0" fontId="141" fillId="0" borderId="34" xfId="2450" applyFont="1" applyBorder="1" applyAlignment="1">
      <alignment horizontal="center" vertical="center"/>
    </xf>
    <xf numFmtId="0" fontId="141" fillId="0" borderId="0" xfId="2450" applyFont="1" applyBorder="1" applyAlignment="1">
      <alignment horizontal="center" vertical="center"/>
    </xf>
    <xf numFmtId="0" fontId="141" fillId="0" borderId="33" xfId="2450" applyFont="1" applyBorder="1" applyAlignment="1">
      <alignment horizontal="center" vertical="center"/>
    </xf>
    <xf numFmtId="0" fontId="141" fillId="0" borderId="44" xfId="2450" applyFont="1" applyBorder="1" applyAlignment="1">
      <alignment horizontal="center" vertical="center"/>
    </xf>
    <xf numFmtId="0" fontId="141" fillId="0" borderId="49" xfId="2450" applyFont="1" applyBorder="1" applyAlignment="1">
      <alignment horizontal="center" vertical="center"/>
    </xf>
    <xf numFmtId="0" fontId="141" fillId="0" borderId="8" xfId="2450" applyFont="1" applyBorder="1" applyAlignment="1">
      <alignment horizontal="center" vertical="center"/>
    </xf>
    <xf numFmtId="0" fontId="142" fillId="0" borderId="6" xfId="2450" applyFont="1" applyBorder="1" applyAlignment="1">
      <alignment horizontal="center" vertical="center"/>
    </xf>
    <xf numFmtId="0" fontId="142" fillId="0" borderId="9" xfId="2450" applyFont="1" applyBorder="1" applyAlignment="1">
      <alignment horizontal="center" vertical="center"/>
    </xf>
    <xf numFmtId="0" fontId="141" fillId="0" borderId="6" xfId="2450" applyFont="1" applyFill="1" applyBorder="1" applyAlignment="1">
      <alignment horizontal="center" vertical="center"/>
    </xf>
    <xf numFmtId="0" fontId="141" fillId="0" borderId="3" xfId="2450" applyFont="1" applyFill="1" applyBorder="1" applyAlignment="1">
      <alignment horizontal="center" vertical="center"/>
    </xf>
    <xf numFmtId="0" fontId="141" fillId="0" borderId="9" xfId="2450" applyFont="1" applyFill="1" applyBorder="1" applyAlignment="1">
      <alignment horizontal="center" vertical="center"/>
    </xf>
    <xf numFmtId="0" fontId="141" fillId="0" borderId="20" xfId="2450" applyFont="1" applyFill="1" applyBorder="1" applyAlignment="1">
      <alignment horizontal="center" vertical="center"/>
    </xf>
    <xf numFmtId="0" fontId="141" fillId="0" borderId="44" xfId="2450" applyFont="1" applyFill="1" applyBorder="1" applyAlignment="1">
      <alignment horizontal="center" vertical="center"/>
    </xf>
    <xf numFmtId="0" fontId="141" fillId="0" borderId="49" xfId="2450" applyFont="1" applyFill="1" applyBorder="1" applyAlignment="1">
      <alignment horizontal="center" vertical="center"/>
    </xf>
    <xf numFmtId="0" fontId="141" fillId="0" borderId="8" xfId="2450" applyFont="1" applyFill="1" applyBorder="1" applyAlignment="1">
      <alignment horizontal="center" vertical="center"/>
    </xf>
    <xf numFmtId="0" fontId="141" fillId="0" borderId="58" xfId="2450" applyFont="1" applyFill="1" applyBorder="1" applyAlignment="1">
      <alignment horizontal="center" vertical="center"/>
    </xf>
    <xf numFmtId="0" fontId="141" fillId="0" borderId="44" xfId="2450" applyFont="1" applyBorder="1" applyAlignment="1">
      <alignment horizontal="center" vertical="center" wrapText="1"/>
    </xf>
    <xf numFmtId="0" fontId="142" fillId="0" borderId="44" xfId="2450" applyFont="1" applyBorder="1" applyAlignment="1">
      <alignment horizontal="center" vertical="center"/>
    </xf>
    <xf numFmtId="0" fontId="142" fillId="0" borderId="8" xfId="2450" applyFont="1" applyBorder="1" applyAlignment="1">
      <alignment horizontal="center" vertical="center"/>
    </xf>
    <xf numFmtId="0" fontId="137" fillId="5" borderId="30" xfId="0" applyFont="1" applyFill="1" applyBorder="1" applyAlignment="1">
      <alignment horizontal="center" vertical="center"/>
    </xf>
    <xf numFmtId="0" fontId="137" fillId="5" borderId="23" xfId="0" applyFont="1" applyFill="1" applyBorder="1" applyAlignment="1">
      <alignment horizontal="center" vertical="center"/>
    </xf>
    <xf numFmtId="0" fontId="137" fillId="5" borderId="14" xfId="0" applyFont="1" applyFill="1" applyBorder="1" applyAlignment="1">
      <alignment horizontal="center" vertical="center"/>
    </xf>
    <xf numFmtId="0" fontId="141" fillId="0" borderId="6" xfId="2450" applyFont="1" applyBorder="1" applyAlignment="1">
      <alignment horizontal="center" vertical="center"/>
    </xf>
    <xf numFmtId="0" fontId="141" fillId="0" borderId="3" xfId="2450" applyFont="1" applyBorder="1" applyAlignment="1">
      <alignment horizontal="center" vertical="center"/>
    </xf>
    <xf numFmtId="0" fontId="141" fillId="0" borderId="9" xfId="2450" applyFont="1" applyBorder="1" applyAlignment="1">
      <alignment horizontal="center" vertical="center"/>
    </xf>
    <xf numFmtId="0" fontId="140" fillId="5" borderId="36" xfId="2450" applyFont="1" applyFill="1" applyBorder="1" applyAlignment="1">
      <alignment horizontal="center" vertical="center"/>
    </xf>
    <xf numFmtId="0" fontId="140" fillId="5" borderId="9" xfId="2450" applyFont="1" applyFill="1" applyBorder="1" applyAlignment="1">
      <alignment horizontal="center" vertical="center"/>
    </xf>
    <xf numFmtId="0" fontId="141" fillId="0" borderId="13" xfId="2450" applyFont="1" applyBorder="1" applyAlignment="1">
      <alignment horizontal="center" vertical="center"/>
    </xf>
    <xf numFmtId="0" fontId="140" fillId="5" borderId="40" xfId="2450" applyFont="1" applyFill="1" applyBorder="1" applyAlignment="1">
      <alignment horizontal="center" vertical="center"/>
    </xf>
    <xf numFmtId="0" fontId="140" fillId="5" borderId="48" xfId="2450" applyFont="1" applyFill="1" applyBorder="1" applyAlignment="1">
      <alignment horizontal="center" vertical="center"/>
    </xf>
    <xf numFmtId="0" fontId="142" fillId="0" borderId="4" xfId="2450" applyFont="1" applyBorder="1" applyAlignment="1">
      <alignment horizontal="center" vertical="center"/>
    </xf>
    <xf numFmtId="0" fontId="141" fillId="0" borderId="7" xfId="2450" applyFont="1" applyBorder="1" applyAlignment="1">
      <alignment horizontal="center" vertical="center"/>
    </xf>
    <xf numFmtId="0" fontId="142" fillId="0" borderId="7" xfId="2450" applyFont="1" applyBorder="1" applyAlignment="1">
      <alignment horizontal="center" vertical="center"/>
    </xf>
    <xf numFmtId="0" fontId="141" fillId="0" borderId="56" xfId="2450" applyFont="1" applyFill="1" applyBorder="1" applyAlignment="1">
      <alignment horizontal="center" vertical="center"/>
    </xf>
    <xf numFmtId="0" fontId="141" fillId="0" borderId="22" xfId="2450" applyFont="1" applyFill="1" applyBorder="1" applyAlignment="1">
      <alignment horizontal="center" vertical="center"/>
    </xf>
    <xf numFmtId="0" fontId="141" fillId="0" borderId="21" xfId="2450" applyFont="1" applyFill="1" applyBorder="1" applyAlignment="1">
      <alignment horizontal="center" vertical="center"/>
    </xf>
    <xf numFmtId="0" fontId="140" fillId="5" borderId="36" xfId="0" applyFont="1" applyFill="1" applyBorder="1" applyAlignment="1">
      <alignment horizontal="center" vertical="center"/>
    </xf>
    <xf numFmtId="0" fontId="140" fillId="5" borderId="9" xfId="0" applyFont="1" applyFill="1" applyBorder="1" applyAlignment="1">
      <alignment horizontal="center" vertical="center"/>
    </xf>
    <xf numFmtId="0" fontId="141" fillId="0" borderId="13" xfId="0" applyFont="1" applyBorder="1" applyAlignment="1">
      <alignment horizontal="center" vertical="center"/>
    </xf>
    <xf numFmtId="0" fontId="127" fillId="5" borderId="4" xfId="2450" applyFont="1" applyFill="1" applyBorder="1" applyAlignment="1">
      <alignment horizontal="center" vertical="center"/>
    </xf>
    <xf numFmtId="0" fontId="127" fillId="5" borderId="12" xfId="2450" applyFont="1" applyFill="1" applyBorder="1" applyAlignment="1">
      <alignment horizontal="center" vertical="center"/>
    </xf>
    <xf numFmtId="9" fontId="102" fillId="0" borderId="4" xfId="2450" applyNumberFormat="1" applyFont="1" applyBorder="1" applyAlignment="1">
      <alignment horizontal="center" vertical="center"/>
    </xf>
    <xf numFmtId="9" fontId="102" fillId="0" borderId="7" xfId="2450" applyNumberFormat="1" applyFont="1" applyBorder="1" applyAlignment="1">
      <alignment horizontal="center" vertical="center"/>
    </xf>
    <xf numFmtId="0" fontId="28" fillId="5" borderId="7" xfId="2450" applyFont="1" applyFill="1" applyBorder="1" applyAlignment="1">
      <alignment horizontal="center" vertical="center"/>
    </xf>
    <xf numFmtId="0" fontId="28" fillId="3" borderId="30" xfId="2450" applyFont="1" applyFill="1" applyBorder="1" applyAlignment="1">
      <alignment horizontal="center" vertical="center"/>
    </xf>
    <xf numFmtId="0" fontId="28" fillId="3" borderId="23" xfId="2450" applyFont="1" applyFill="1" applyBorder="1" applyAlignment="1">
      <alignment horizontal="center" vertical="center"/>
    </xf>
    <xf numFmtId="0" fontId="28" fillId="3" borderId="19" xfId="2450" applyFont="1" applyFill="1" applyBorder="1" applyAlignment="1">
      <alignment horizontal="center" vertical="center"/>
    </xf>
    <xf numFmtId="0" fontId="28" fillId="3" borderId="4" xfId="2450" applyFont="1" applyFill="1" applyBorder="1" applyAlignment="1">
      <alignment horizontal="center" vertical="center"/>
    </xf>
    <xf numFmtId="0" fontId="28" fillId="3" borderId="60" xfId="2450" applyFont="1" applyFill="1" applyBorder="1" applyAlignment="1">
      <alignment horizontal="center" vertical="center"/>
    </xf>
    <xf numFmtId="0" fontId="28" fillId="3" borderId="12" xfId="2450" applyFont="1" applyFill="1" applyBorder="1" applyAlignment="1">
      <alignment horizontal="center" vertical="center"/>
    </xf>
    <xf numFmtId="0" fontId="29" fillId="0" borderId="23" xfId="2450" applyFont="1" applyBorder="1" applyAlignment="1">
      <alignment horizontal="center" vertical="center" wrapText="1"/>
    </xf>
    <xf numFmtId="0" fontId="29" fillId="0" borderId="4" xfId="2450" applyFont="1" applyBorder="1" applyAlignment="1">
      <alignment horizontal="center" vertical="center" wrapText="1"/>
    </xf>
    <xf numFmtId="0" fontId="29" fillId="0" borderId="12" xfId="2450" applyFont="1" applyBorder="1" applyAlignment="1">
      <alignment horizontal="center" vertical="center" wrapText="1"/>
    </xf>
    <xf numFmtId="0" fontId="29" fillId="0" borderId="28" xfId="2450" applyFont="1" applyBorder="1" applyAlignment="1">
      <alignment horizontal="center" vertical="center" wrapText="1"/>
    </xf>
    <xf numFmtId="0" fontId="29" fillId="0" borderId="29" xfId="2450" applyFont="1" applyBorder="1" applyAlignment="1">
      <alignment horizontal="center" vertical="center" wrapText="1"/>
    </xf>
    <xf numFmtId="0" fontId="28" fillId="3" borderId="41" xfId="2450" applyFont="1" applyFill="1" applyBorder="1" applyAlignment="1">
      <alignment horizontal="center" vertical="center"/>
    </xf>
    <xf numFmtId="0" fontId="28" fillId="3" borderId="42" xfId="2450" applyFont="1" applyFill="1" applyBorder="1" applyAlignment="1">
      <alignment horizontal="center" vertical="center"/>
    </xf>
    <xf numFmtId="0" fontId="28" fillId="3" borderId="38" xfId="2450" applyFont="1" applyFill="1" applyBorder="1" applyAlignment="1">
      <alignment horizontal="center" vertical="center"/>
    </xf>
    <xf numFmtId="0" fontId="28" fillId="3" borderId="0" xfId="2450" applyFont="1" applyFill="1" applyBorder="1" applyAlignment="1">
      <alignment horizontal="center" vertical="center"/>
    </xf>
    <xf numFmtId="0" fontId="28" fillId="3" borderId="40" xfId="2450" applyFont="1" applyFill="1" applyBorder="1" applyAlignment="1">
      <alignment horizontal="center" vertical="center"/>
    </xf>
    <xf numFmtId="0" fontId="28" fillId="3" borderId="5" xfId="2450" applyFont="1" applyFill="1" applyBorder="1" applyAlignment="1">
      <alignment horizontal="center" vertical="center"/>
    </xf>
    <xf numFmtId="0" fontId="29" fillId="0" borderId="23" xfId="2450" applyFont="1" applyFill="1" applyBorder="1" applyAlignment="1">
      <alignment horizontal="center" vertical="center"/>
    </xf>
    <xf numFmtId="0" fontId="29" fillId="0" borderId="13" xfId="2450" applyFont="1" applyFill="1" applyBorder="1" applyAlignment="1">
      <alignment horizontal="center" vertical="center"/>
    </xf>
    <xf numFmtId="0" fontId="29" fillId="0" borderId="0" xfId="2450" applyFont="1" applyBorder="1" applyAlignment="1">
      <alignment horizontal="center" vertical="center" wrapText="1"/>
    </xf>
    <xf numFmtId="0" fontId="29" fillId="0" borderId="39" xfId="2450" applyFont="1" applyBorder="1" applyAlignment="1">
      <alignment horizontal="center" vertical="center" wrapText="1"/>
    </xf>
    <xf numFmtId="0" fontId="29" fillId="0" borderId="5" xfId="2450" applyFont="1" applyBorder="1" applyAlignment="1">
      <alignment horizontal="center" vertical="center" wrapText="1"/>
    </xf>
    <xf numFmtId="0" fontId="29" fillId="0" borderId="32" xfId="2450" applyFont="1" applyBorder="1" applyAlignment="1">
      <alignment horizontal="center" vertical="center" wrapText="1"/>
    </xf>
    <xf numFmtId="0" fontId="137" fillId="5" borderId="4" xfId="2450" applyFont="1" applyFill="1" applyBorder="1" applyAlignment="1">
      <alignment horizontal="center" vertical="center"/>
    </xf>
    <xf numFmtId="0" fontId="29" fillId="3" borderId="88" xfId="2450" applyFont="1" applyFill="1" applyBorder="1" applyAlignment="1">
      <alignment horizontal="center" vertical="center"/>
    </xf>
    <xf numFmtId="0" fontId="29" fillId="3" borderId="81" xfId="2450" applyFont="1" applyFill="1" applyBorder="1" applyAlignment="1">
      <alignment horizontal="center" vertical="center"/>
    </xf>
    <xf numFmtId="0" fontId="29" fillId="3" borderId="90" xfId="2450" applyFont="1" applyFill="1" applyBorder="1" applyAlignment="1">
      <alignment horizontal="center" vertical="center"/>
    </xf>
    <xf numFmtId="0" fontId="29" fillId="3" borderId="2" xfId="2450" applyFont="1" applyFill="1" applyBorder="1" applyAlignment="1">
      <alignment horizontal="center" vertical="center"/>
    </xf>
    <xf numFmtId="0" fontId="29" fillId="3" borderId="91" xfId="2450" applyFont="1" applyFill="1" applyBorder="1" applyAlignment="1">
      <alignment horizontal="center" vertical="center"/>
    </xf>
    <xf numFmtId="0" fontId="28" fillId="5" borderId="30" xfId="2450" applyFont="1" applyFill="1" applyBorder="1" applyAlignment="1">
      <alignment horizontal="center" vertical="center"/>
    </xf>
    <xf numFmtId="0" fontId="28" fillId="5" borderId="23" xfId="2450" applyFont="1" applyFill="1" applyBorder="1" applyAlignment="1">
      <alignment horizontal="center" vertical="center"/>
    </xf>
    <xf numFmtId="0" fontId="28" fillId="5" borderId="19" xfId="2450" applyFont="1" applyFill="1" applyBorder="1" applyAlignment="1">
      <alignment horizontal="center" vertical="center"/>
    </xf>
    <xf numFmtId="0" fontId="28" fillId="5" borderId="4" xfId="2450" applyFont="1" applyFill="1" applyBorder="1" applyAlignment="1">
      <alignment horizontal="center" vertical="center"/>
    </xf>
    <xf numFmtId="0" fontId="28" fillId="5" borderId="15" xfId="2450" applyFont="1" applyFill="1" applyBorder="1" applyAlignment="1">
      <alignment horizontal="center" vertical="center"/>
    </xf>
    <xf numFmtId="0" fontId="29" fillId="0" borderId="23" xfId="2450" applyFont="1" applyBorder="1" applyAlignment="1">
      <alignment horizontal="left" vertical="center" wrapText="1"/>
    </xf>
    <xf numFmtId="0" fontId="29" fillId="0" borderId="14" xfId="2450" applyFont="1" applyBorder="1" applyAlignment="1">
      <alignment horizontal="left" vertical="center" wrapText="1"/>
    </xf>
    <xf numFmtId="0" fontId="29" fillId="0" borderId="4" xfId="2450" applyFont="1" applyBorder="1" applyAlignment="1">
      <alignment horizontal="left" vertical="center" wrapText="1"/>
    </xf>
    <xf numFmtId="0" fontId="29" fillId="0" borderId="11" xfId="2450" applyFont="1" applyBorder="1" applyAlignment="1">
      <alignment horizontal="left" vertical="center" wrapText="1"/>
    </xf>
    <xf numFmtId="0" fontId="29" fillId="0" borderId="7" xfId="2450" applyFont="1" applyBorder="1" applyAlignment="1">
      <alignment horizontal="left" vertical="center" wrapText="1"/>
    </xf>
    <xf numFmtId="0" fontId="29" fillId="0" borderId="16" xfId="2450" applyFont="1" applyBorder="1" applyAlignment="1">
      <alignment horizontal="left" vertical="center" wrapText="1"/>
    </xf>
    <xf numFmtId="0" fontId="29" fillId="0" borderId="4" xfId="2450" applyFont="1" applyFill="1" applyBorder="1" applyAlignment="1">
      <alignment horizontal="center" vertical="center" wrapText="1"/>
    </xf>
    <xf numFmtId="0" fontId="29" fillId="0" borderId="7" xfId="2450" applyFont="1" applyFill="1" applyBorder="1" applyAlignment="1">
      <alignment horizontal="center" vertical="center" wrapText="1"/>
    </xf>
    <xf numFmtId="0" fontId="29" fillId="3" borderId="15" xfId="2450" applyFont="1" applyFill="1" applyBorder="1" applyAlignment="1">
      <alignment horizontal="center" vertical="center"/>
    </xf>
    <xf numFmtId="0" fontId="29" fillId="3" borderId="7" xfId="2450" applyFont="1" applyFill="1" applyBorder="1" applyAlignment="1">
      <alignment horizontal="center" vertical="center"/>
    </xf>
    <xf numFmtId="0" fontId="103" fillId="0" borderId="24" xfId="2450" applyFont="1" applyBorder="1" applyAlignment="1">
      <alignment horizontal="center" vertical="center"/>
    </xf>
    <xf numFmtId="0" fontId="103" fillId="0" borderId="56" xfId="2450" applyFont="1" applyBorder="1" applyAlignment="1">
      <alignment horizontal="center" vertical="center"/>
    </xf>
    <xf numFmtId="0" fontId="103" fillId="0" borderId="21" xfId="2450" applyFont="1" applyBorder="1" applyAlignment="1">
      <alignment horizontal="center" vertical="center"/>
    </xf>
    <xf numFmtId="0" fontId="29" fillId="3" borderId="30" xfId="2450" applyFont="1" applyFill="1" applyBorder="1" applyAlignment="1">
      <alignment horizontal="center" vertical="center"/>
    </xf>
    <xf numFmtId="0" fontId="29" fillId="3" borderId="23" xfId="2450" applyFont="1" applyFill="1" applyBorder="1" applyAlignment="1">
      <alignment horizontal="center" vertical="center"/>
    </xf>
    <xf numFmtId="0" fontId="29" fillId="3" borderId="14" xfId="2450" applyFont="1" applyFill="1" applyBorder="1" applyAlignment="1">
      <alignment horizontal="center" vertical="center"/>
    </xf>
    <xf numFmtId="0" fontId="29" fillId="3" borderId="19" xfId="2450" applyFont="1" applyFill="1" applyBorder="1" applyAlignment="1">
      <alignment horizontal="center" vertical="center"/>
    </xf>
    <xf numFmtId="0" fontId="29" fillId="3" borderId="4" xfId="2450" applyFont="1" applyFill="1" applyBorder="1" applyAlignment="1">
      <alignment horizontal="center" vertical="center"/>
    </xf>
    <xf numFmtId="0" fontId="29" fillId="0" borderId="4" xfId="2450" applyFont="1" applyFill="1" applyBorder="1" applyAlignment="1">
      <alignment horizontal="center" vertical="center"/>
    </xf>
    <xf numFmtId="0" fontId="29" fillId="0" borderId="11" xfId="2450" applyFont="1" applyFill="1" applyBorder="1" applyAlignment="1">
      <alignment horizontal="center" vertical="center"/>
    </xf>
    <xf numFmtId="0" fontId="29" fillId="0" borderId="7" xfId="2450" applyFont="1" applyBorder="1" applyAlignment="1">
      <alignment horizontal="center" vertical="center" wrapText="1"/>
    </xf>
    <xf numFmtId="0" fontId="29" fillId="0" borderId="16" xfId="2450" applyFont="1" applyBorder="1" applyAlignment="1">
      <alignment horizontal="center" vertical="center" wrapText="1"/>
    </xf>
    <xf numFmtId="0" fontId="29" fillId="3" borderId="27" xfId="2450" applyFont="1" applyFill="1" applyBorder="1" applyAlignment="1">
      <alignment horizontal="center" vertical="center"/>
    </xf>
    <xf numFmtId="0" fontId="29" fillId="3" borderId="65" xfId="2450" applyFont="1" applyFill="1" applyBorder="1" applyAlignment="1">
      <alignment horizontal="center" vertical="center"/>
    </xf>
    <xf numFmtId="0" fontId="29" fillId="3" borderId="50" xfId="2450" applyFont="1" applyFill="1" applyBorder="1" applyAlignment="1">
      <alignment horizontal="center" vertical="center"/>
    </xf>
    <xf numFmtId="176" fontId="21" fillId="4" borderId="61" xfId="2452" applyNumberFormat="1" applyFont="1" applyFill="1" applyBorder="1" applyAlignment="1">
      <alignment horizontal="center" vertical="center"/>
    </xf>
    <xf numFmtId="176" fontId="28" fillId="3" borderId="55" xfId="2452" applyNumberFormat="1" applyFont="1" applyFill="1" applyBorder="1" applyAlignment="1">
      <alignment horizontal="center" vertical="center" wrapText="1"/>
    </xf>
    <xf numFmtId="176" fontId="28" fillId="3" borderId="65" xfId="2452" applyNumberFormat="1" applyFont="1" applyFill="1" applyBorder="1" applyAlignment="1">
      <alignment horizontal="center" vertical="center" wrapText="1"/>
    </xf>
    <xf numFmtId="176" fontId="28" fillId="3" borderId="50" xfId="2452" applyNumberFormat="1" applyFont="1" applyFill="1" applyBorder="1" applyAlignment="1">
      <alignment horizontal="center" vertical="center" wrapText="1"/>
    </xf>
    <xf numFmtId="176" fontId="29" fillId="3" borderId="63" xfId="2450" applyNumberFormat="1" applyFont="1" applyFill="1" applyBorder="1" applyAlignment="1">
      <alignment horizontal="center" vertical="center" wrapText="1"/>
    </xf>
    <xf numFmtId="176" fontId="29" fillId="3" borderId="80" xfId="2450" applyNumberFormat="1" applyFont="1" applyFill="1" applyBorder="1" applyAlignment="1">
      <alignment horizontal="center" vertical="center" wrapText="1"/>
    </xf>
    <xf numFmtId="176" fontId="29" fillId="3" borderId="28" xfId="2452" applyNumberFormat="1" applyFont="1" applyFill="1" applyBorder="1" applyAlignment="1">
      <alignment horizontal="center" vertical="center" wrapText="1"/>
    </xf>
    <xf numFmtId="176" fontId="29" fillId="3" borderId="26" xfId="2452" applyNumberFormat="1" applyFont="1" applyFill="1" applyBorder="1" applyAlignment="1">
      <alignment horizontal="center" vertical="center" wrapText="1"/>
    </xf>
    <xf numFmtId="176" fontId="29" fillId="8" borderId="28" xfId="2452" applyNumberFormat="1" applyFont="1" applyFill="1" applyBorder="1" applyAlignment="1">
      <alignment horizontal="center" vertical="center" wrapText="1"/>
    </xf>
    <xf numFmtId="176" fontId="29" fillId="8" borderId="26" xfId="2452" applyNumberFormat="1" applyFont="1" applyFill="1" applyBorder="1" applyAlignment="1">
      <alignment horizontal="center" vertical="center" wrapText="1"/>
    </xf>
    <xf numFmtId="176" fontId="29" fillId="8" borderId="23" xfId="2452" applyNumberFormat="1" applyFont="1" applyFill="1" applyBorder="1" applyAlignment="1">
      <alignment horizontal="center" vertical="center" wrapText="1"/>
    </xf>
    <xf numFmtId="176" fontId="29" fillId="8" borderId="27" xfId="2452" applyNumberFormat="1" applyFont="1" applyFill="1" applyBorder="1" applyAlignment="1">
      <alignment horizontal="center" vertical="center" wrapText="1"/>
    </xf>
    <xf numFmtId="176" fontId="29" fillId="3" borderId="30" xfId="2452" applyNumberFormat="1" applyFont="1" applyFill="1" applyBorder="1" applyAlignment="1">
      <alignment horizontal="center" vertical="center" wrapText="1"/>
    </xf>
    <xf numFmtId="176" fontId="29" fillId="3" borderId="23" xfId="2452" applyNumberFormat="1" applyFont="1" applyFill="1" applyBorder="1" applyAlignment="1">
      <alignment horizontal="center" vertical="center" wrapText="1"/>
    </xf>
    <xf numFmtId="176" fontId="29" fillId="3" borderId="14" xfId="2452" applyNumberFormat="1" applyFont="1" applyFill="1" applyBorder="1" applyAlignment="1">
      <alignment horizontal="center" vertical="center" wrapText="1"/>
    </xf>
    <xf numFmtId="176" fontId="29" fillId="3" borderId="30" xfId="2452" applyNumberFormat="1" applyFont="1" applyFill="1" applyBorder="1" applyAlignment="1">
      <alignment horizontal="center" vertical="center"/>
    </xf>
    <xf numFmtId="176" fontId="29" fillId="3" borderId="23" xfId="2452" applyNumberFormat="1" applyFont="1" applyFill="1" applyBorder="1" applyAlignment="1">
      <alignment horizontal="center" vertical="center"/>
    </xf>
    <xf numFmtId="9" fontId="29" fillId="3" borderId="54" xfId="2452" applyNumberFormat="1" applyFont="1" applyFill="1" applyBorder="1" applyAlignment="1">
      <alignment horizontal="center" vertical="center"/>
    </xf>
    <xf numFmtId="9" fontId="29" fillId="3" borderId="23" xfId="2452" applyNumberFormat="1" applyFont="1" applyFill="1" applyBorder="1" applyAlignment="1">
      <alignment horizontal="center" vertical="center"/>
    </xf>
    <xf numFmtId="176" fontId="29" fillId="3" borderId="63" xfId="2453" applyNumberFormat="1" applyFont="1" applyFill="1" applyBorder="1" applyAlignment="1">
      <alignment horizontal="center" vertical="center"/>
    </xf>
    <xf numFmtId="176" fontId="29" fillId="3" borderId="64" xfId="2453" applyNumberFormat="1" applyFont="1" applyFill="1" applyBorder="1" applyAlignment="1">
      <alignment horizontal="center" vertical="center"/>
    </xf>
    <xf numFmtId="176" fontId="28" fillId="4" borderId="23" xfId="2452" applyNumberFormat="1" applyFont="1" applyFill="1" applyBorder="1" applyAlignment="1">
      <alignment horizontal="center" vertical="center"/>
    </xf>
    <xf numFmtId="176" fontId="28" fillId="4" borderId="14" xfId="2452" applyNumberFormat="1" applyFont="1" applyFill="1" applyBorder="1" applyAlignment="1">
      <alignment horizontal="center" vertical="center"/>
    </xf>
    <xf numFmtId="176" fontId="29" fillId="0" borderId="30" xfId="2452" applyNumberFormat="1" applyFont="1" applyFill="1" applyBorder="1" applyAlignment="1">
      <alignment horizontal="center" vertical="center"/>
    </xf>
    <xf numFmtId="176" fontId="29" fillId="0" borderId="19" xfId="2452" applyNumberFormat="1" applyFont="1" applyFill="1" applyBorder="1" applyAlignment="1">
      <alignment horizontal="center" vertical="center"/>
    </xf>
    <xf numFmtId="176" fontId="29" fillId="0" borderId="23" xfId="2452" applyNumberFormat="1" applyFont="1" applyFill="1" applyBorder="1" applyAlignment="1">
      <alignment horizontal="center" vertical="center"/>
    </xf>
    <xf numFmtId="176" fontId="29" fillId="0" borderId="4" xfId="2452" applyNumberFormat="1" applyFont="1" applyFill="1" applyBorder="1" applyAlignment="1">
      <alignment horizontal="center" vertical="center"/>
    </xf>
    <xf numFmtId="176" fontId="29" fillId="0" borderId="28" xfId="2452" applyNumberFormat="1" applyFont="1" applyFill="1" applyBorder="1" applyAlignment="1">
      <alignment horizontal="center" vertical="center"/>
    </xf>
    <xf numFmtId="176" fontId="29" fillId="0" borderId="13" xfId="2452" applyNumberFormat="1" applyFont="1" applyFill="1" applyBorder="1" applyAlignment="1">
      <alignment horizontal="center" vertical="center"/>
    </xf>
    <xf numFmtId="176" fontId="29" fillId="0" borderId="27" xfId="2452" applyNumberFormat="1" applyFont="1" applyFill="1" applyBorder="1" applyAlignment="1">
      <alignment horizontal="center" vertical="center"/>
    </xf>
    <xf numFmtId="176" fontId="29" fillId="0" borderId="6" xfId="2452" applyNumberFormat="1" applyFont="1" applyFill="1" applyBorder="1" applyAlignment="1">
      <alignment horizontal="center" vertical="center"/>
    </xf>
    <xf numFmtId="176" fontId="28" fillId="4" borderId="4" xfId="2452" applyNumberFormat="1" applyFont="1" applyFill="1" applyBorder="1" applyAlignment="1">
      <alignment horizontal="center" vertical="center"/>
    </xf>
    <xf numFmtId="176" fontId="28" fillId="4" borderId="11" xfId="2452" applyNumberFormat="1" applyFont="1" applyFill="1" applyBorder="1" applyAlignment="1">
      <alignment horizontal="center" vertical="center"/>
    </xf>
    <xf numFmtId="176" fontId="29" fillId="0" borderId="12" xfId="2452" applyNumberFormat="1" applyFont="1" applyFill="1" applyBorder="1" applyAlignment="1">
      <alignment horizontal="center" vertical="center"/>
    </xf>
    <xf numFmtId="176" fontId="29" fillId="3" borderId="80" xfId="2453" applyNumberFormat="1" applyFont="1" applyFill="1" applyBorder="1" applyAlignment="1">
      <alignment horizontal="center" vertical="center"/>
    </xf>
    <xf numFmtId="176" fontId="28" fillId="4" borderId="27" xfId="2452" applyNumberFormat="1" applyFont="1" applyFill="1" applyBorder="1" applyAlignment="1">
      <alignment horizontal="center" vertical="center"/>
    </xf>
    <xf numFmtId="176" fontId="28" fillId="4" borderId="50" xfId="2452" applyNumberFormat="1" applyFont="1" applyFill="1" applyBorder="1" applyAlignment="1">
      <alignment horizontal="center" vertical="center"/>
    </xf>
    <xf numFmtId="176" fontId="29" fillId="0" borderId="63" xfId="2452" applyNumberFormat="1" applyFont="1" applyFill="1" applyBorder="1" applyAlignment="1">
      <alignment horizontal="center" vertical="center"/>
    </xf>
    <xf numFmtId="176" fontId="29" fillId="0" borderId="17" xfId="2452" applyNumberFormat="1" applyFont="1" applyFill="1" applyBorder="1" applyAlignment="1">
      <alignment horizontal="center" vertical="center"/>
    </xf>
    <xf numFmtId="176" fontId="29" fillId="0" borderId="29" xfId="2452" applyNumberFormat="1" applyFont="1" applyFill="1" applyBorder="1" applyAlignment="1">
      <alignment horizontal="center" vertical="center"/>
    </xf>
    <xf numFmtId="176" fontId="29" fillId="0" borderId="18" xfId="2452" applyNumberFormat="1" applyFont="1" applyFill="1" applyBorder="1" applyAlignment="1">
      <alignment horizontal="center" vertical="center"/>
    </xf>
    <xf numFmtId="176" fontId="28" fillId="4" borderId="44" xfId="2452" applyNumberFormat="1" applyFont="1" applyFill="1" applyBorder="1" applyAlignment="1">
      <alignment horizontal="center" vertical="center"/>
    </xf>
    <xf numFmtId="176" fontId="28" fillId="4" borderId="58" xfId="2452" applyNumberFormat="1" applyFont="1" applyFill="1" applyBorder="1" applyAlignment="1">
      <alignment horizontal="center" vertical="center"/>
    </xf>
    <xf numFmtId="176" fontId="29" fillId="0" borderId="64" xfId="2452" applyNumberFormat="1" applyFont="1" applyFill="1" applyBorder="1" applyAlignment="1">
      <alignment horizontal="center" vertical="center"/>
    </xf>
    <xf numFmtId="176" fontId="29" fillId="0" borderId="80" xfId="2452" applyNumberFormat="1" applyFont="1" applyFill="1" applyBorder="1" applyAlignment="1">
      <alignment horizontal="center" vertical="center"/>
    </xf>
    <xf numFmtId="176" fontId="29" fillId="0" borderId="31" xfId="2452" applyNumberFormat="1" applyFont="1" applyFill="1" applyBorder="1" applyAlignment="1">
      <alignment horizontal="center" vertical="center"/>
    </xf>
    <xf numFmtId="176" fontId="29" fillId="0" borderId="26" xfId="2452" applyNumberFormat="1" applyFont="1" applyFill="1" applyBorder="1" applyAlignment="1">
      <alignment horizontal="center" vertical="center"/>
    </xf>
    <xf numFmtId="176" fontId="29" fillId="0" borderId="68" xfId="2452" applyNumberFormat="1" applyFont="1" applyFill="1" applyBorder="1" applyAlignment="1">
      <alignment horizontal="center" vertical="center"/>
    </xf>
    <xf numFmtId="176" fontId="29" fillId="0" borderId="79" xfId="2452" applyNumberFormat="1" applyFont="1" applyFill="1" applyBorder="1" applyAlignment="1">
      <alignment horizontal="center" vertical="center"/>
    </xf>
    <xf numFmtId="176" fontId="29" fillId="0" borderId="44" xfId="2452" applyNumberFormat="1" applyFont="1" applyFill="1" applyBorder="1" applyAlignment="1">
      <alignment horizontal="center" vertical="center"/>
    </xf>
    <xf numFmtId="176" fontId="101" fillId="3" borderId="63" xfId="2453" applyNumberFormat="1" applyFont="1" applyFill="1" applyBorder="1" applyAlignment="1">
      <alignment horizontal="center" vertical="center"/>
    </xf>
    <xf numFmtId="176" fontId="101" fillId="3" borderId="64" xfId="2453" applyNumberFormat="1" applyFont="1" applyFill="1" applyBorder="1" applyAlignment="1">
      <alignment horizontal="center" vertical="center"/>
    </xf>
    <xf numFmtId="176" fontId="101" fillId="3" borderId="80" xfId="2453" applyNumberFormat="1" applyFont="1" applyFill="1" applyBorder="1" applyAlignment="1">
      <alignment horizontal="center" vertical="center"/>
    </xf>
    <xf numFmtId="177" fontId="107" fillId="4" borderId="23" xfId="2452" applyNumberFormat="1" applyFont="1" applyFill="1" applyBorder="1" applyAlignment="1">
      <alignment horizontal="center" vertical="center"/>
    </xf>
    <xf numFmtId="177" fontId="107" fillId="4" borderId="14" xfId="2452" applyNumberFormat="1" applyFont="1" applyFill="1" applyBorder="1" applyAlignment="1">
      <alignment horizontal="center" vertical="center"/>
    </xf>
    <xf numFmtId="176" fontId="29" fillId="3" borderId="17" xfId="2453" applyNumberFormat="1" applyFont="1" applyFill="1" applyBorder="1" applyAlignment="1">
      <alignment horizontal="center" vertical="center"/>
    </xf>
    <xf numFmtId="176" fontId="29" fillId="3" borderId="15" xfId="2453" applyNumberFormat="1" applyFont="1" applyFill="1" applyBorder="1" applyAlignment="1">
      <alignment horizontal="center" vertical="center"/>
    </xf>
    <xf numFmtId="177" fontId="28" fillId="4" borderId="13" xfId="2452" applyNumberFormat="1" applyFont="1" applyFill="1" applyBorder="1" applyAlignment="1">
      <alignment horizontal="center" vertical="center"/>
    </xf>
    <xf numFmtId="177" fontId="28" fillId="4" borderId="18" xfId="2452" applyNumberFormat="1" applyFont="1" applyFill="1" applyBorder="1" applyAlignment="1">
      <alignment horizontal="center" vertical="center"/>
    </xf>
    <xf numFmtId="176" fontId="29" fillId="0" borderId="15" xfId="2452" applyNumberFormat="1" applyFont="1" applyFill="1" applyBorder="1" applyAlignment="1">
      <alignment horizontal="center" vertical="center"/>
    </xf>
    <xf numFmtId="177" fontId="107" fillId="4" borderId="13" xfId="2452" applyNumberFormat="1" applyFont="1" applyFill="1" applyBorder="1" applyAlignment="1">
      <alignment horizontal="center" vertical="center"/>
    </xf>
    <xf numFmtId="177" fontId="107" fillId="4" borderId="18" xfId="2452" applyNumberFormat="1" applyFont="1" applyFill="1" applyBorder="1" applyAlignment="1">
      <alignment horizontal="center" vertical="center"/>
    </xf>
    <xf numFmtId="176" fontId="29" fillId="0" borderId="7" xfId="2452" applyNumberFormat="1" applyFont="1" applyFill="1" applyBorder="1" applyAlignment="1">
      <alignment horizontal="center" vertical="center"/>
    </xf>
    <xf numFmtId="176" fontId="29" fillId="0" borderId="24" xfId="2452" applyNumberFormat="1" applyFont="1" applyFill="1" applyBorder="1" applyAlignment="1">
      <alignment horizontal="center" vertical="center"/>
    </xf>
    <xf numFmtId="0" fontId="29" fillId="3" borderId="35" xfId="2450" applyFont="1" applyFill="1" applyBorder="1" applyAlignment="1">
      <alignment horizontal="center" vertical="center"/>
    </xf>
    <xf numFmtId="0" fontId="29" fillId="3" borderId="46" xfId="2450" applyFont="1" applyFill="1" applyBorder="1" applyAlignment="1">
      <alignment horizontal="center" vertical="center"/>
    </xf>
    <xf numFmtId="0" fontId="29" fillId="3" borderId="38" xfId="2450" applyFont="1" applyFill="1" applyBorder="1" applyAlignment="1">
      <alignment horizontal="center" vertical="center"/>
    </xf>
    <xf numFmtId="0" fontId="29" fillId="3" borderId="33" xfId="2450" applyFont="1" applyFill="1" applyBorder="1" applyAlignment="1">
      <alignment horizontal="center" vertical="center"/>
    </xf>
    <xf numFmtId="0" fontId="29" fillId="3" borderId="40" xfId="2450" applyFont="1" applyFill="1" applyBorder="1" applyAlignment="1">
      <alignment horizontal="center" vertical="center"/>
    </xf>
    <xf numFmtId="0" fontId="29" fillId="3" borderId="48" xfId="2450" applyFont="1" applyFill="1" applyBorder="1" applyAlignment="1">
      <alignment horizontal="center" vertical="center"/>
    </xf>
    <xf numFmtId="0" fontId="29" fillId="0" borderId="34" xfId="2450" applyFont="1" applyBorder="1" applyAlignment="1">
      <alignment horizontal="center" vertical="center" wrapText="1"/>
    </xf>
    <xf numFmtId="0" fontId="29" fillId="0" borderId="53" xfId="2450" applyFont="1" applyBorder="1" applyAlignment="1">
      <alignment horizontal="center" vertical="center" wrapText="1"/>
    </xf>
    <xf numFmtId="0" fontId="29" fillId="5" borderId="55" xfId="2450" applyFont="1" applyFill="1" applyBorder="1" applyAlignment="1">
      <alignment horizontal="center" vertical="center"/>
    </xf>
    <xf numFmtId="0" fontId="29" fillId="5" borderId="54" xfId="2450" applyFont="1" applyFill="1" applyBorder="1" applyAlignment="1">
      <alignment horizontal="center" vertical="center"/>
    </xf>
    <xf numFmtId="0" fontId="29" fillId="0" borderId="36" xfId="2450" applyFont="1" applyFill="1" applyBorder="1" applyAlignment="1">
      <alignment horizontal="center" vertical="center"/>
    </xf>
    <xf numFmtId="0" fontId="29" fillId="0" borderId="9" xfId="2450" applyFont="1" applyFill="1" applyBorder="1" applyAlignment="1">
      <alignment horizontal="center" vertical="center"/>
    </xf>
    <xf numFmtId="9" fontId="29" fillId="0" borderId="12" xfId="2473" applyFont="1" applyFill="1" applyBorder="1" applyAlignment="1">
      <alignment horizontal="center" vertical="center"/>
    </xf>
    <xf numFmtId="9" fontId="29" fillId="0" borderId="26" xfId="2473" applyFont="1" applyFill="1" applyBorder="1" applyAlignment="1">
      <alignment horizontal="center" vertical="center"/>
    </xf>
    <xf numFmtId="9" fontId="29" fillId="0" borderId="37" xfId="2459" applyFont="1" applyFill="1" applyBorder="1" applyAlignment="1">
      <alignment horizontal="center" vertical="center"/>
    </xf>
    <xf numFmtId="9" fontId="29" fillId="0" borderId="22" xfId="2459" applyFont="1" applyFill="1" applyBorder="1" applyAlignment="1">
      <alignment horizontal="center" vertical="center"/>
    </xf>
    <xf numFmtId="0" fontId="29" fillId="0" borderId="6" xfId="2450" applyFont="1" applyBorder="1" applyAlignment="1">
      <alignment horizontal="center" vertical="center" wrapText="1"/>
    </xf>
    <xf numFmtId="0" fontId="29" fillId="0" borderId="3" xfId="2450" applyFont="1" applyBorder="1" applyAlignment="1">
      <alignment horizontal="center" vertical="center" wrapText="1"/>
    </xf>
    <xf numFmtId="0" fontId="29" fillId="0" borderId="9" xfId="2450" applyFont="1" applyBorder="1" applyAlignment="1">
      <alignment horizontal="center" vertical="center" wrapText="1"/>
    </xf>
    <xf numFmtId="0" fontId="29" fillId="0" borderId="45" xfId="2450" applyFont="1" applyBorder="1" applyAlignment="1">
      <alignment horizontal="center" vertical="center" wrapText="1"/>
    </xf>
    <xf numFmtId="0" fontId="29" fillId="0" borderId="47" xfId="2450" applyFont="1" applyBorder="1" applyAlignment="1">
      <alignment horizontal="center" vertical="center" wrapText="1"/>
    </xf>
    <xf numFmtId="0" fontId="29" fillId="0" borderId="7" xfId="2450" applyFont="1" applyFill="1" applyBorder="1" applyAlignment="1">
      <alignment horizontal="center" vertical="center"/>
    </xf>
    <xf numFmtId="0" fontId="29" fillId="0" borderId="16" xfId="2450" applyFont="1" applyFill="1" applyBorder="1" applyAlignment="1">
      <alignment horizontal="center" vertical="center"/>
    </xf>
    <xf numFmtId="0" fontId="29" fillId="3" borderId="55" xfId="2450" applyFont="1" applyFill="1" applyBorder="1" applyAlignment="1">
      <alignment horizontal="center" vertical="center"/>
    </xf>
    <xf numFmtId="0" fontId="29" fillId="3" borderId="54" xfId="2450" applyFont="1" applyFill="1" applyBorder="1" applyAlignment="1">
      <alignment horizontal="center" vertical="center"/>
    </xf>
    <xf numFmtId="0" fontId="29" fillId="0" borderId="27" xfId="2450" applyFont="1" applyBorder="1" applyAlignment="1">
      <alignment horizontal="center" vertical="center" wrapText="1"/>
    </xf>
    <xf numFmtId="0" fontId="29" fillId="0" borderId="65" xfId="2450" applyFont="1" applyBorder="1" applyAlignment="1">
      <alignment horizontal="center" vertical="center" wrapText="1"/>
    </xf>
    <xf numFmtId="0" fontId="29" fillId="0" borderId="54" xfId="2450" applyFont="1" applyBorder="1" applyAlignment="1">
      <alignment horizontal="center" vertical="center" wrapText="1"/>
    </xf>
    <xf numFmtId="0" fontId="29" fillId="0" borderId="50" xfId="2450" applyFont="1" applyBorder="1" applyAlignment="1">
      <alignment horizontal="center" vertical="center" wrapText="1"/>
    </xf>
    <xf numFmtId="0" fontId="29" fillId="3" borderId="117" xfId="2450" applyFont="1" applyFill="1" applyBorder="1" applyAlignment="1">
      <alignment horizontal="center" vertical="center"/>
    </xf>
    <xf numFmtId="0" fontId="29" fillId="3" borderId="89" xfId="2450" applyFont="1" applyFill="1" applyBorder="1" applyAlignment="1">
      <alignment horizontal="center" vertical="center"/>
    </xf>
    <xf numFmtId="0" fontId="29" fillId="3" borderId="37" xfId="0" applyFont="1" applyFill="1" applyBorder="1" applyAlignment="1">
      <alignment horizontal="center" vertical="center"/>
    </xf>
    <xf numFmtId="0" fontId="29" fillId="3" borderId="22" xfId="0" applyFont="1" applyFill="1" applyBorder="1" applyAlignment="1">
      <alignment horizontal="center" vertical="center"/>
    </xf>
    <xf numFmtId="0" fontId="29" fillId="6" borderId="24" xfId="0" applyFont="1" applyFill="1" applyBorder="1" applyAlignment="1">
      <alignment horizontal="center" vertical="center"/>
    </xf>
    <xf numFmtId="0" fontId="29" fillId="6" borderId="56" xfId="0" applyFont="1" applyFill="1" applyBorder="1" applyAlignment="1">
      <alignment horizontal="center" vertical="center"/>
    </xf>
    <xf numFmtId="0" fontId="29" fillId="6" borderId="21" xfId="0" applyFont="1" applyFill="1" applyBorder="1" applyAlignment="1">
      <alignment horizontal="center" vertical="center"/>
    </xf>
    <xf numFmtId="0" fontId="29" fillId="3" borderId="55" xfId="0" applyFont="1" applyFill="1" applyBorder="1" applyAlignment="1">
      <alignment horizontal="center" vertical="center"/>
    </xf>
    <xf numFmtId="0" fontId="29" fillId="3" borderId="54" xfId="0" applyFont="1" applyFill="1" applyBorder="1" applyAlignment="1">
      <alignment horizontal="center" vertical="center"/>
    </xf>
    <xf numFmtId="0" fontId="29" fillId="3" borderId="27" xfId="0" applyFont="1" applyFill="1" applyBorder="1" applyAlignment="1">
      <alignment horizontal="center" vertical="center"/>
    </xf>
    <xf numFmtId="0" fontId="29" fillId="3" borderId="65" xfId="0" applyFont="1" applyFill="1" applyBorder="1" applyAlignment="1">
      <alignment horizontal="center" vertical="center"/>
    </xf>
    <xf numFmtId="0" fontId="29" fillId="3" borderId="50" xfId="0" applyFont="1" applyFill="1" applyBorder="1" applyAlignment="1">
      <alignment horizontal="center" vertical="center"/>
    </xf>
    <xf numFmtId="0" fontId="29" fillId="3" borderId="35" xfId="0" applyFont="1" applyFill="1" applyBorder="1" applyAlignment="1">
      <alignment horizontal="center" vertical="center"/>
    </xf>
    <xf numFmtId="0" fontId="29" fillId="3" borderId="46" xfId="0" applyFont="1" applyFill="1" applyBorder="1" applyAlignment="1">
      <alignment horizontal="center" vertical="center"/>
    </xf>
    <xf numFmtId="0" fontId="29" fillId="2" borderId="6" xfId="0" applyFont="1" applyFill="1" applyBorder="1" applyAlignment="1">
      <alignment horizontal="center" vertical="center"/>
    </xf>
    <xf numFmtId="0" fontId="29" fillId="2" borderId="3" xfId="0" applyFont="1" applyFill="1" applyBorder="1" applyAlignment="1">
      <alignment horizontal="center" vertical="center"/>
    </xf>
    <xf numFmtId="0" fontId="29" fillId="2" borderId="20" xfId="0" applyFont="1" applyFill="1" applyBorder="1" applyAlignment="1">
      <alignment horizontal="center" vertical="center"/>
    </xf>
    <xf numFmtId="176" fontId="29" fillId="3" borderId="27" xfId="2452" applyNumberFormat="1" applyFont="1" applyFill="1" applyBorder="1" applyAlignment="1">
      <alignment horizontal="center" vertical="center" wrapText="1"/>
    </xf>
    <xf numFmtId="176" fontId="29" fillId="3" borderId="65" xfId="2452" applyNumberFormat="1" applyFont="1" applyFill="1" applyBorder="1" applyAlignment="1">
      <alignment horizontal="center" vertical="center" wrapText="1"/>
    </xf>
    <xf numFmtId="176" fontId="29" fillId="3" borderId="54" xfId="2452" applyNumberFormat="1" applyFont="1" applyFill="1" applyBorder="1" applyAlignment="1">
      <alignment horizontal="center" vertical="center" wrapText="1"/>
    </xf>
    <xf numFmtId="9" fontId="29" fillId="3" borderId="29" xfId="2452" applyNumberFormat="1" applyFont="1" applyFill="1" applyBorder="1" applyAlignment="1">
      <alignment horizontal="center" vertical="center"/>
    </xf>
    <xf numFmtId="9" fontId="29" fillId="3" borderId="79" xfId="2452" applyNumberFormat="1" applyFont="1" applyFill="1" applyBorder="1" applyAlignment="1">
      <alignment horizontal="center" vertical="center"/>
    </xf>
    <xf numFmtId="9" fontId="29" fillId="3" borderId="55" xfId="2484" applyNumberFormat="1" applyFont="1" applyFill="1" applyBorder="1" applyAlignment="1">
      <alignment horizontal="center" vertical="center"/>
    </xf>
    <xf numFmtId="9" fontId="29" fillId="3" borderId="65" xfId="2484" applyNumberFormat="1" applyFont="1" applyFill="1" applyBorder="1" applyAlignment="1">
      <alignment horizontal="center" vertical="center"/>
    </xf>
    <xf numFmtId="9" fontId="29" fillId="3" borderId="50" xfId="2484" applyNumberFormat="1" applyFont="1" applyFill="1" applyBorder="1" applyAlignment="1">
      <alignment horizontal="center" vertical="center"/>
    </xf>
    <xf numFmtId="176" fontId="29" fillId="3" borderId="55" xfId="2484" applyNumberFormat="1" applyFont="1" applyFill="1" applyBorder="1" applyAlignment="1">
      <alignment horizontal="center" vertical="center"/>
    </xf>
    <xf numFmtId="176" fontId="29" fillId="3" borderId="54" xfId="2484" applyNumberFormat="1" applyFont="1" applyFill="1" applyBorder="1" applyAlignment="1">
      <alignment horizontal="center" vertical="center"/>
    </xf>
    <xf numFmtId="9" fontId="29" fillId="3" borderId="54" xfId="2484" applyNumberFormat="1" applyFont="1" applyFill="1" applyBorder="1" applyAlignment="1">
      <alignment horizontal="center" vertical="center"/>
    </xf>
    <xf numFmtId="176" fontId="29" fillId="3" borderId="82" xfId="2450" applyNumberFormat="1" applyFont="1" applyFill="1" applyBorder="1" applyAlignment="1">
      <alignment horizontal="center" vertical="center" wrapText="1"/>
    </xf>
    <xf numFmtId="176" fontId="29" fillId="3" borderId="84" xfId="2450" applyNumberFormat="1" applyFont="1" applyFill="1" applyBorder="1" applyAlignment="1">
      <alignment horizontal="center" vertical="center" wrapText="1"/>
    </xf>
    <xf numFmtId="9" fontId="29" fillId="3" borderId="55" xfId="2452" applyNumberFormat="1" applyFont="1" applyFill="1" applyBorder="1" applyAlignment="1">
      <alignment horizontal="center" vertical="center"/>
    </xf>
    <xf numFmtId="9" fontId="29" fillId="3" borderId="65" xfId="2452" applyNumberFormat="1" applyFont="1" applyFill="1" applyBorder="1" applyAlignment="1">
      <alignment horizontal="center" vertical="center"/>
    </xf>
    <xf numFmtId="176" fontId="29" fillId="0" borderId="25" xfId="2452" applyNumberFormat="1" applyFont="1" applyFill="1" applyBorder="1" applyAlignment="1">
      <alignment horizontal="center" vertical="center"/>
    </xf>
    <xf numFmtId="177" fontId="28" fillId="4" borderId="36" xfId="2452" applyNumberFormat="1" applyFont="1" applyFill="1" applyBorder="1" applyAlignment="1">
      <alignment horizontal="center" vertical="center"/>
    </xf>
    <xf numFmtId="177" fontId="28" fillId="4" borderId="3" xfId="2452" applyNumberFormat="1" applyFont="1" applyFill="1" applyBorder="1" applyAlignment="1">
      <alignment horizontal="center" vertical="center"/>
    </xf>
    <xf numFmtId="177" fontId="28" fillId="4" borderId="20" xfId="2452" applyNumberFormat="1" applyFont="1" applyFill="1" applyBorder="1" applyAlignment="1">
      <alignment horizontal="center" vertical="center"/>
    </xf>
    <xf numFmtId="176" fontId="29" fillId="0" borderId="118" xfId="2452" applyNumberFormat="1" applyFont="1" applyBorder="1" applyAlignment="1">
      <alignment horizontal="center" vertical="center"/>
    </xf>
    <xf numFmtId="176" fontId="29" fillId="0" borderId="84" xfId="2452" applyNumberFormat="1" applyFont="1" applyBorder="1" applyAlignment="1">
      <alignment horizontal="center" vertical="center"/>
    </xf>
    <xf numFmtId="176" fontId="29" fillId="0" borderId="60" xfId="2452" applyNumberFormat="1" applyFont="1" applyFill="1" applyBorder="1" applyAlignment="1">
      <alignment horizontal="center" vertical="center"/>
    </xf>
    <xf numFmtId="177" fontId="28" fillId="4" borderId="55" xfId="2452" applyNumberFormat="1" applyFont="1" applyFill="1" applyBorder="1" applyAlignment="1">
      <alignment horizontal="center" vertical="center"/>
    </xf>
    <xf numFmtId="177" fontId="28" fillId="4" borderId="65" xfId="2452" applyNumberFormat="1" applyFont="1" applyFill="1" applyBorder="1" applyAlignment="1">
      <alignment horizontal="center" vertical="center"/>
    </xf>
    <xf numFmtId="177" fontId="28" fillId="4" borderId="50" xfId="2452" applyNumberFormat="1" applyFont="1" applyFill="1" applyBorder="1" applyAlignment="1">
      <alignment horizontal="center" vertical="center"/>
    </xf>
    <xf numFmtId="176" fontId="29" fillId="0" borderId="82" xfId="2452" applyNumberFormat="1" applyFont="1" applyBorder="1" applyAlignment="1">
      <alignment horizontal="center" vertical="center"/>
    </xf>
    <xf numFmtId="176" fontId="37" fillId="7" borderId="36" xfId="2452" applyNumberFormat="1" applyFont="1" applyFill="1" applyBorder="1" applyAlignment="1">
      <alignment horizontal="center" vertical="center"/>
    </xf>
    <xf numFmtId="176" fontId="37" fillId="7" borderId="3" xfId="2452" applyNumberFormat="1" applyFont="1" applyFill="1" applyBorder="1" applyAlignment="1">
      <alignment horizontal="center" vertical="center"/>
    </xf>
    <xf numFmtId="176" fontId="37" fillId="7" borderId="20" xfId="2452" applyNumberFormat="1" applyFont="1" applyFill="1" applyBorder="1" applyAlignment="1">
      <alignment horizontal="center" vertical="center"/>
    </xf>
    <xf numFmtId="176" fontId="29" fillId="0" borderId="87" xfId="2452" applyNumberFormat="1" applyFont="1" applyBorder="1" applyAlignment="1">
      <alignment horizontal="center" vertical="center"/>
    </xf>
    <xf numFmtId="176" fontId="37" fillId="4" borderId="36" xfId="2452" applyNumberFormat="1" applyFont="1" applyFill="1" applyBorder="1" applyAlignment="1">
      <alignment horizontal="center" vertical="center"/>
    </xf>
    <xf numFmtId="176" fontId="37" fillId="4" borderId="3" xfId="2452" applyNumberFormat="1" applyFont="1" applyFill="1" applyBorder="1" applyAlignment="1">
      <alignment horizontal="center" vertical="center"/>
    </xf>
    <xf numFmtId="176" fontId="37" fillId="4" borderId="20" xfId="2452" applyNumberFormat="1" applyFont="1" applyFill="1" applyBorder="1" applyAlignment="1">
      <alignment horizontal="center" vertical="center"/>
    </xf>
    <xf numFmtId="177" fontId="37" fillId="4" borderId="55" xfId="2452" applyNumberFormat="1" applyFont="1" applyFill="1" applyBorder="1" applyAlignment="1">
      <alignment horizontal="center" vertical="center" wrapText="1"/>
    </xf>
    <xf numFmtId="177" fontId="37" fillId="4" borderId="65" xfId="2452" applyNumberFormat="1" applyFont="1" applyFill="1" applyBorder="1" applyAlignment="1">
      <alignment horizontal="center" vertical="center" wrapText="1"/>
    </xf>
    <xf numFmtId="177" fontId="37" fillId="4" borderId="50" xfId="2452" applyNumberFormat="1" applyFont="1" applyFill="1" applyBorder="1" applyAlignment="1">
      <alignment horizontal="center" vertical="center" wrapText="1"/>
    </xf>
    <xf numFmtId="0" fontId="28" fillId="5" borderId="38" xfId="2450" applyFont="1" applyFill="1" applyBorder="1" applyAlignment="1">
      <alignment horizontal="center" vertical="center"/>
    </xf>
    <xf numFmtId="0" fontId="28" fillId="5" borderId="39" xfId="2450" applyFont="1" applyFill="1" applyBorder="1" applyAlignment="1">
      <alignment horizontal="center" vertical="center"/>
    </xf>
    <xf numFmtId="0" fontId="28" fillId="5" borderId="40" xfId="2450" applyFont="1" applyFill="1" applyBorder="1" applyAlignment="1">
      <alignment horizontal="center" vertical="center"/>
    </xf>
    <xf numFmtId="0" fontId="28" fillId="5" borderId="32" xfId="2450" applyFont="1" applyFill="1" applyBorder="1" applyAlignment="1">
      <alignment horizontal="center" vertical="center"/>
    </xf>
    <xf numFmtId="0" fontId="29" fillId="0" borderId="38" xfId="2450" applyFont="1" applyFill="1" applyBorder="1" applyAlignment="1">
      <alignment horizontal="left" vertical="center" wrapText="1"/>
    </xf>
    <xf numFmtId="0" fontId="29" fillId="0" borderId="0" xfId="2450" applyFont="1" applyFill="1" applyBorder="1" applyAlignment="1">
      <alignment horizontal="left" vertical="center" wrapText="1"/>
    </xf>
    <xf numFmtId="0" fontId="29" fillId="0" borderId="39" xfId="2450" applyFont="1" applyFill="1" applyBorder="1" applyAlignment="1">
      <alignment horizontal="left" vertical="center" wrapText="1"/>
    </xf>
    <xf numFmtId="0" fontId="29" fillId="0" borderId="40" xfId="2450" applyFont="1" applyFill="1" applyBorder="1" applyAlignment="1">
      <alignment horizontal="left" vertical="center" wrapText="1"/>
    </xf>
    <xf numFmtId="0" fontId="29" fillId="0" borderId="5" xfId="2450" applyFont="1" applyFill="1" applyBorder="1" applyAlignment="1">
      <alignment horizontal="left" vertical="center" wrapText="1"/>
    </xf>
    <xf numFmtId="0" fontId="29" fillId="0" borderId="32" xfId="2450" applyFont="1" applyFill="1" applyBorder="1" applyAlignment="1">
      <alignment horizontal="left" vertical="center" wrapText="1"/>
    </xf>
    <xf numFmtId="0" fontId="29" fillId="0" borderId="38" xfId="2450" applyFont="1" applyFill="1" applyBorder="1" applyAlignment="1">
      <alignment horizontal="center" vertical="center" wrapText="1"/>
    </xf>
    <xf numFmtId="0" fontId="29" fillId="0" borderId="0" xfId="2450" applyFont="1" applyFill="1" applyBorder="1" applyAlignment="1">
      <alignment horizontal="center" vertical="center" wrapText="1"/>
    </xf>
    <xf numFmtId="0" fontId="29" fillId="0" borderId="33" xfId="2450" applyFont="1" applyFill="1" applyBorder="1" applyAlignment="1">
      <alignment horizontal="center" vertical="center" wrapText="1"/>
    </xf>
    <xf numFmtId="0" fontId="29" fillId="0" borderId="40" xfId="2450" applyFont="1" applyFill="1" applyBorder="1" applyAlignment="1">
      <alignment horizontal="center" vertical="center" wrapText="1"/>
    </xf>
    <xf numFmtId="0" fontId="29" fillId="0" borderId="5" xfId="2450" applyFont="1" applyFill="1" applyBorder="1" applyAlignment="1">
      <alignment horizontal="center" vertical="center" wrapText="1"/>
    </xf>
    <xf numFmtId="0" fontId="29" fillId="0" borderId="48" xfId="2450" applyFont="1" applyFill="1" applyBorder="1" applyAlignment="1">
      <alignment horizontal="center" vertical="center" wrapText="1"/>
    </xf>
    <xf numFmtId="0" fontId="27" fillId="0" borderId="58" xfId="2450" applyFont="1" applyBorder="1" applyAlignment="1">
      <alignment horizontal="center" vertical="center"/>
    </xf>
    <xf numFmtId="0" fontId="27" fillId="0" borderId="20" xfId="2450" applyFont="1" applyBorder="1" applyAlignment="1">
      <alignment horizontal="center" vertical="center"/>
    </xf>
    <xf numFmtId="0" fontId="27" fillId="0" borderId="21" xfId="2450" applyFont="1" applyBorder="1" applyAlignment="1">
      <alignment horizontal="center" vertical="center"/>
    </xf>
    <xf numFmtId="0" fontId="27" fillId="0" borderId="25" xfId="2450" applyFont="1" applyBorder="1" applyAlignment="1">
      <alignment horizontal="center" vertical="center" wrapText="1"/>
    </xf>
    <xf numFmtId="0" fontId="27" fillId="0" borderId="68" xfId="2450" applyFont="1" applyBorder="1" applyAlignment="1">
      <alignment horizontal="center" vertical="center"/>
    </xf>
    <xf numFmtId="0" fontId="27" fillId="0" borderId="79" xfId="2450" applyFont="1" applyBorder="1" applyAlignment="1">
      <alignment horizontal="center" vertical="center"/>
    </xf>
    <xf numFmtId="0" fontId="29" fillId="0" borderId="25" xfId="2450" applyFont="1" applyFill="1" applyBorder="1" applyAlignment="1">
      <alignment horizontal="center" vertical="center"/>
    </xf>
    <xf numFmtId="0" fontId="29" fillId="0" borderId="68" xfId="2450" applyFont="1" applyFill="1" applyBorder="1" applyAlignment="1">
      <alignment horizontal="center" vertical="center"/>
    </xf>
    <xf numFmtId="0" fontId="29" fillId="0" borderId="18" xfId="2450" applyFont="1" applyFill="1" applyBorder="1" applyAlignment="1">
      <alignment horizontal="center" vertical="center"/>
    </xf>
    <xf numFmtId="0" fontId="28" fillId="5" borderId="11" xfId="2450" applyFont="1" applyFill="1" applyBorder="1" applyAlignment="1">
      <alignment horizontal="center" vertical="center"/>
    </xf>
    <xf numFmtId="0" fontId="29" fillId="6" borderId="35" xfId="2450" applyFont="1" applyFill="1" applyBorder="1" applyAlignment="1">
      <alignment horizontal="left" vertical="center"/>
    </xf>
    <xf numFmtId="0" fontId="29" fillId="6" borderId="45" xfId="2450" applyFont="1" applyFill="1" applyBorder="1" applyAlignment="1">
      <alignment horizontal="left" vertical="center"/>
    </xf>
    <xf numFmtId="0" fontId="29" fillId="6" borderId="47" xfId="2450" applyFont="1" applyFill="1" applyBorder="1" applyAlignment="1">
      <alignment horizontal="left" vertical="center"/>
    </xf>
    <xf numFmtId="0" fontId="29" fillId="6" borderId="78" xfId="2450" applyFont="1" applyFill="1" applyBorder="1" applyAlignment="1">
      <alignment horizontal="left" vertical="center"/>
    </xf>
    <xf numFmtId="0" fontId="29" fillId="6" borderId="49" xfId="2450" applyFont="1" applyFill="1" applyBorder="1" applyAlignment="1">
      <alignment horizontal="left" vertical="center"/>
    </xf>
    <xf numFmtId="0" fontId="29" fillId="6" borderId="58" xfId="2450" applyFont="1" applyFill="1" applyBorder="1" applyAlignment="1">
      <alignment horizontal="left" vertical="center"/>
    </xf>
    <xf numFmtId="0" fontId="28" fillId="5" borderId="78" xfId="2450" applyFont="1" applyFill="1" applyBorder="1" applyAlignment="1">
      <alignment horizontal="center" vertical="center"/>
    </xf>
    <xf numFmtId="0" fontId="28" fillId="5" borderId="49" xfId="2450" applyFont="1" applyFill="1" applyBorder="1" applyAlignment="1">
      <alignment horizontal="center" vertical="center"/>
    </xf>
    <xf numFmtId="0" fontId="28" fillId="5" borderId="37" xfId="2450" applyFont="1" applyFill="1" applyBorder="1" applyAlignment="1">
      <alignment horizontal="center" vertical="center"/>
    </xf>
    <xf numFmtId="0" fontId="28" fillId="5" borderId="56" xfId="2450" applyFont="1" applyFill="1" applyBorder="1" applyAlignment="1">
      <alignment horizontal="center" vertical="center"/>
    </xf>
    <xf numFmtId="0" fontId="29" fillId="6" borderId="38" xfId="2450" applyFont="1" applyFill="1" applyBorder="1" applyAlignment="1">
      <alignment horizontal="left" vertical="center"/>
    </xf>
    <xf numFmtId="0" fontId="29" fillId="6" borderId="0" xfId="2450" applyFont="1" applyFill="1" applyBorder="1" applyAlignment="1">
      <alignment horizontal="left" vertical="center"/>
    </xf>
    <xf numFmtId="0" fontId="29" fillId="6" borderId="39" xfId="2450" applyFont="1" applyFill="1" applyBorder="1" applyAlignment="1">
      <alignment horizontal="left" vertical="center"/>
    </xf>
    <xf numFmtId="0" fontId="28" fillId="5" borderId="8" xfId="2450" applyFont="1" applyFill="1" applyBorder="1" applyAlignment="1">
      <alignment horizontal="center" vertical="center"/>
    </xf>
    <xf numFmtId="0" fontId="28" fillId="5" borderId="22" xfId="2450" applyFont="1" applyFill="1" applyBorder="1" applyAlignment="1">
      <alignment horizontal="center" vertical="center"/>
    </xf>
    <xf numFmtId="0" fontId="28" fillId="3" borderId="30" xfId="2453" applyFont="1" applyFill="1" applyBorder="1" applyAlignment="1">
      <alignment horizontal="center" vertical="center"/>
    </xf>
    <xf numFmtId="0" fontId="28" fillId="3" borderId="14" xfId="2453" applyFont="1" applyFill="1" applyBorder="1" applyAlignment="1">
      <alignment horizontal="center" vertical="center"/>
    </xf>
    <xf numFmtId="0" fontId="28" fillId="3" borderId="41" xfId="2453" applyFont="1" applyFill="1" applyBorder="1" applyAlignment="1">
      <alignment horizontal="center" vertical="center"/>
    </xf>
    <xf numFmtId="0" fontId="28" fillId="3" borderId="42" xfId="2453" applyFont="1" applyFill="1" applyBorder="1" applyAlignment="1">
      <alignment horizontal="center" vertical="center"/>
    </xf>
    <xf numFmtId="0" fontId="28" fillId="3" borderId="65" xfId="2453" applyFont="1" applyFill="1" applyBorder="1" applyAlignment="1">
      <alignment horizontal="center" vertical="center"/>
    </xf>
    <xf numFmtId="0" fontId="28" fillId="3" borderId="54" xfId="2453" applyFont="1" applyFill="1" applyBorder="1" applyAlignment="1">
      <alignment horizontal="center" vertical="center"/>
    </xf>
    <xf numFmtId="0" fontId="29" fillId="0" borderId="35" xfId="2450" applyFont="1" applyFill="1" applyBorder="1" applyAlignment="1">
      <alignment horizontal="left" vertical="center"/>
    </xf>
    <xf numFmtId="0" fontId="29" fillId="0" borderId="45" xfId="2450" applyFont="1" applyFill="1" applyBorder="1" applyAlignment="1">
      <alignment horizontal="left" vertical="center"/>
    </xf>
    <xf numFmtId="0" fontId="29" fillId="0" borderId="47" xfId="2450" applyFont="1" applyFill="1" applyBorder="1" applyAlignment="1">
      <alignment horizontal="left" vertical="center"/>
    </xf>
    <xf numFmtId="0" fontId="29" fillId="0" borderId="78" xfId="2450" applyFont="1" applyFill="1" applyBorder="1" applyAlignment="1">
      <alignment horizontal="left" vertical="center"/>
    </xf>
    <xf numFmtId="0" fontId="29" fillId="0" borderId="49" xfId="2450" applyFont="1" applyFill="1" applyBorder="1" applyAlignment="1">
      <alignment horizontal="left" vertical="center"/>
    </xf>
    <xf numFmtId="0" fontId="29" fillId="0" borderId="58" xfId="2450" applyFont="1" applyFill="1" applyBorder="1" applyAlignment="1">
      <alignment horizontal="left" vertical="center"/>
    </xf>
    <xf numFmtId="0" fontId="29" fillId="0" borderId="35" xfId="2450" applyFont="1" applyBorder="1" applyAlignment="1">
      <alignment horizontal="center" vertical="center" wrapText="1"/>
    </xf>
    <xf numFmtId="0" fontId="29" fillId="0" borderId="46" xfId="2450" applyFont="1" applyBorder="1" applyAlignment="1">
      <alignment horizontal="center" vertical="center" wrapText="1"/>
    </xf>
    <xf numFmtId="0" fontId="29" fillId="0" borderId="38" xfId="2450" applyFont="1" applyBorder="1" applyAlignment="1">
      <alignment horizontal="center" vertical="center" wrapText="1"/>
    </xf>
    <xf numFmtId="0" fontId="29" fillId="0" borderId="33" xfId="2450" applyFont="1" applyBorder="1" applyAlignment="1">
      <alignment horizontal="center" vertical="center" wrapText="1"/>
    </xf>
    <xf numFmtId="0" fontId="29" fillId="0" borderId="78" xfId="2450" applyFont="1" applyBorder="1" applyAlignment="1">
      <alignment horizontal="center" vertical="center" wrapText="1"/>
    </xf>
    <xf numFmtId="0" fontId="29" fillId="0" borderId="49" xfId="2450" applyFont="1" applyBorder="1" applyAlignment="1">
      <alignment horizontal="center" vertical="center" wrapText="1"/>
    </xf>
    <xf numFmtId="0" fontId="29" fillId="0" borderId="8" xfId="2450" applyFont="1" applyBorder="1" applyAlignment="1">
      <alignment horizontal="center" vertical="center" wrapText="1"/>
    </xf>
    <xf numFmtId="0" fontId="28" fillId="3" borderId="14" xfId="2450" applyFont="1" applyFill="1" applyBorder="1" applyAlignment="1">
      <alignment horizontal="center" vertical="center"/>
    </xf>
    <xf numFmtId="0" fontId="28" fillId="3" borderId="55" xfId="2450" applyFont="1" applyFill="1" applyBorder="1" applyAlignment="1">
      <alignment horizontal="center" vertical="center"/>
    </xf>
    <xf numFmtId="0" fontId="28" fillId="3" borderId="65" xfId="2450" applyFont="1" applyFill="1" applyBorder="1" applyAlignment="1">
      <alignment horizontal="center" vertical="center"/>
    </xf>
    <xf numFmtId="0" fontId="28" fillId="3" borderId="54" xfId="2450" applyFont="1" applyFill="1" applyBorder="1" applyAlignment="1">
      <alignment horizontal="center" vertical="center"/>
    </xf>
    <xf numFmtId="0" fontId="28" fillId="3" borderId="27" xfId="2450" applyFont="1" applyFill="1" applyBorder="1" applyAlignment="1">
      <alignment horizontal="center" vertical="center"/>
    </xf>
    <xf numFmtId="0" fontId="28" fillId="3" borderId="50" xfId="2450" applyFont="1" applyFill="1" applyBorder="1" applyAlignment="1">
      <alignment horizontal="center" vertical="center"/>
    </xf>
    <xf numFmtId="0" fontId="28" fillId="3" borderId="19" xfId="2453" applyFont="1" applyFill="1" applyBorder="1" applyAlignment="1">
      <alignment horizontal="center" vertical="center"/>
    </xf>
    <xf numFmtId="0" fontId="28" fillId="3" borderId="11" xfId="2453" applyFont="1" applyFill="1" applyBorder="1" applyAlignment="1">
      <alignment horizontal="center" vertical="center"/>
    </xf>
    <xf numFmtId="0" fontId="28" fillId="3" borderId="15" xfId="2453" applyFont="1" applyFill="1" applyBorder="1" applyAlignment="1">
      <alignment horizontal="center" vertical="center"/>
    </xf>
    <xf numFmtId="0" fontId="28" fillId="3" borderId="16" xfId="2453" applyFont="1" applyFill="1" applyBorder="1" applyAlignment="1">
      <alignment horizontal="center" vertical="center"/>
    </xf>
    <xf numFmtId="0" fontId="29" fillId="0" borderId="38" xfId="2450" applyFont="1" applyBorder="1" applyAlignment="1">
      <alignment horizontal="left" vertical="center" wrapText="1"/>
    </xf>
    <xf numFmtId="0" fontId="29" fillId="0" borderId="0" xfId="2450" applyFont="1" applyBorder="1" applyAlignment="1">
      <alignment horizontal="left" vertical="center" wrapText="1"/>
    </xf>
    <xf numFmtId="0" fontId="29" fillId="0" borderId="33" xfId="2450" applyFont="1" applyBorder="1" applyAlignment="1">
      <alignment horizontal="left" vertical="center" wrapText="1"/>
    </xf>
    <xf numFmtId="0" fontId="29" fillId="0" borderId="40" xfId="2450" applyFont="1" applyBorder="1" applyAlignment="1">
      <alignment horizontal="left" vertical="center" wrapText="1"/>
    </xf>
    <xf numFmtId="0" fontId="29" fillId="0" borderId="5" xfId="2450" applyFont="1" applyBorder="1" applyAlignment="1">
      <alignment horizontal="left" vertical="center" wrapText="1"/>
    </xf>
    <xf numFmtId="0" fontId="29" fillId="0" borderId="48" xfId="2450" applyFont="1" applyBorder="1" applyAlignment="1">
      <alignment horizontal="left" vertical="center" wrapText="1"/>
    </xf>
    <xf numFmtId="0" fontId="103" fillId="0" borderId="34" xfId="2450" applyFont="1" applyBorder="1" applyAlignment="1">
      <alignment horizontal="center" vertical="center" wrapText="1"/>
    </xf>
    <xf numFmtId="0" fontId="28" fillId="3" borderId="15" xfId="2450" applyFont="1" applyFill="1" applyBorder="1" applyAlignment="1">
      <alignment horizontal="center" vertical="center"/>
    </xf>
    <xf numFmtId="0" fontId="28" fillId="3" borderId="16" xfId="2450" applyFont="1" applyFill="1" applyBorder="1" applyAlignment="1">
      <alignment horizontal="center" vertical="center"/>
    </xf>
    <xf numFmtId="0" fontId="29" fillId="0" borderId="37" xfId="2450" applyFont="1" applyBorder="1" applyAlignment="1">
      <alignment horizontal="left" vertical="center"/>
    </xf>
    <xf numFmtId="0" fontId="29" fillId="0" borderId="56" xfId="2450" applyFont="1" applyBorder="1" applyAlignment="1">
      <alignment horizontal="left" vertical="center"/>
    </xf>
    <xf numFmtId="0" fontId="29" fillId="0" borderId="22" xfId="2450" applyFont="1" applyBorder="1" applyAlignment="1">
      <alignment horizontal="left" vertical="center"/>
    </xf>
    <xf numFmtId="0" fontId="29" fillId="0" borderId="24" xfId="2450" applyFont="1" applyFill="1" applyBorder="1" applyAlignment="1">
      <alignment horizontal="center" vertical="center"/>
    </xf>
    <xf numFmtId="0" fontId="29" fillId="0" borderId="56" xfId="2450" applyFont="1" applyFill="1" applyBorder="1" applyAlignment="1">
      <alignment horizontal="center" vertical="center"/>
    </xf>
    <xf numFmtId="0" fontId="29" fillId="0" borderId="21" xfId="2450" applyFont="1" applyFill="1" applyBorder="1" applyAlignment="1">
      <alignment horizontal="center" vertical="center"/>
    </xf>
    <xf numFmtId="177" fontId="28" fillId="4" borderId="27" xfId="2452" applyNumberFormat="1" applyFont="1" applyFill="1" applyBorder="1" applyAlignment="1">
      <alignment horizontal="center" vertical="center"/>
    </xf>
    <xf numFmtId="176" fontId="107" fillId="4" borderId="6" xfId="2452" applyNumberFormat="1" applyFont="1" applyFill="1" applyBorder="1" applyAlignment="1">
      <alignment horizontal="center" vertical="center"/>
    </xf>
    <xf numFmtId="176" fontId="107" fillId="4" borderId="20" xfId="2452" applyNumberFormat="1" applyFont="1" applyFill="1" applyBorder="1" applyAlignment="1">
      <alignment horizontal="center" vertical="center"/>
    </xf>
    <xf numFmtId="177" fontId="107" fillId="4" borderId="27" xfId="2452" applyNumberFormat="1" applyFont="1" applyFill="1" applyBorder="1" applyAlignment="1">
      <alignment horizontal="center" vertical="center"/>
    </xf>
    <xf numFmtId="177" fontId="107" fillId="4" borderId="50" xfId="2452" applyNumberFormat="1" applyFont="1" applyFill="1" applyBorder="1" applyAlignment="1">
      <alignment horizontal="center" vertical="center"/>
    </xf>
    <xf numFmtId="41" fontId="29" fillId="4" borderId="12" xfId="2463" applyFont="1" applyFill="1" applyBorder="1" applyAlignment="1">
      <alignment horizontal="center" vertical="center"/>
    </xf>
    <xf numFmtId="41" fontId="29" fillId="4" borderId="26" xfId="2463" applyFont="1" applyFill="1" applyBorder="1" applyAlignment="1">
      <alignment horizontal="center" vertical="center"/>
    </xf>
    <xf numFmtId="41" fontId="29" fillId="4" borderId="25" xfId="2463" applyFont="1" applyFill="1" applyBorder="1" applyAlignment="1">
      <alignment horizontal="center" vertical="center"/>
    </xf>
    <xf numFmtId="41" fontId="29" fillId="4" borderId="79" xfId="2463" applyFont="1" applyFill="1" applyBorder="1" applyAlignment="1">
      <alignment horizontal="center" vertical="center"/>
    </xf>
    <xf numFmtId="176" fontId="28" fillId="4" borderId="6" xfId="2452" applyNumberFormat="1" applyFont="1" applyFill="1" applyBorder="1" applyAlignment="1">
      <alignment horizontal="center" vertical="center"/>
    </xf>
    <xf numFmtId="176" fontId="28" fillId="4" borderId="20" xfId="2452" applyNumberFormat="1" applyFont="1" applyFill="1" applyBorder="1" applyAlignment="1">
      <alignment horizontal="center" vertical="center"/>
    </xf>
    <xf numFmtId="41" fontId="29" fillId="4" borderId="31" xfId="2463" applyFont="1" applyFill="1" applyBorder="1" applyAlignment="1">
      <alignment horizontal="center" vertical="center"/>
    </xf>
    <xf numFmtId="176" fontId="107" fillId="4" borderId="44" xfId="2452" applyNumberFormat="1" applyFont="1" applyFill="1" applyBorder="1" applyAlignment="1">
      <alignment horizontal="center" vertical="center"/>
    </xf>
    <xf numFmtId="176" fontId="107" fillId="4" borderId="58" xfId="2452" applyNumberFormat="1" applyFont="1" applyFill="1" applyBorder="1" applyAlignment="1">
      <alignment horizontal="center" vertical="center"/>
    </xf>
    <xf numFmtId="176" fontId="29" fillId="8" borderId="65" xfId="2452" applyNumberFormat="1" applyFont="1" applyFill="1" applyBorder="1" applyAlignment="1">
      <alignment horizontal="center" vertical="center" wrapText="1"/>
    </xf>
    <xf numFmtId="176" fontId="29" fillId="8" borderId="50" xfId="2452" applyNumberFormat="1" applyFont="1" applyFill="1" applyBorder="1" applyAlignment="1">
      <alignment horizontal="center" vertical="center" wrapText="1"/>
    </xf>
    <xf numFmtId="176" fontId="29" fillId="3" borderId="55" xfId="2452" applyNumberFormat="1" applyFont="1" applyFill="1" applyBorder="1" applyAlignment="1">
      <alignment horizontal="center" vertical="center" wrapText="1"/>
    </xf>
    <xf numFmtId="176" fontId="29" fillId="3" borderId="50" xfId="2452" applyNumberFormat="1" applyFont="1" applyFill="1" applyBorder="1" applyAlignment="1">
      <alignment horizontal="center" vertical="center" wrapText="1"/>
    </xf>
    <xf numFmtId="176" fontId="29" fillId="3" borderId="55" xfId="2452" applyNumberFormat="1" applyFont="1" applyFill="1" applyBorder="1" applyAlignment="1">
      <alignment horizontal="center" vertical="center"/>
    </xf>
    <xf numFmtId="176" fontId="29" fillId="3" borderId="54" xfId="2452" applyNumberFormat="1" applyFont="1" applyFill="1" applyBorder="1" applyAlignment="1">
      <alignment horizontal="center" vertical="center"/>
    </xf>
    <xf numFmtId="176" fontId="29" fillId="3" borderId="55" xfId="2494" applyNumberFormat="1" applyFont="1" applyFill="1" applyBorder="1" applyAlignment="1">
      <alignment horizontal="center" vertical="center"/>
    </xf>
    <xf numFmtId="176" fontId="29" fillId="3" borderId="54" xfId="2494" applyNumberFormat="1" applyFont="1" applyFill="1" applyBorder="1" applyAlignment="1">
      <alignment horizontal="center" vertical="center"/>
    </xf>
    <xf numFmtId="0" fontId="29" fillId="3" borderId="78" xfId="2450" applyFont="1" applyFill="1" applyBorder="1" applyAlignment="1">
      <alignment horizontal="center" vertical="center"/>
    </xf>
    <xf numFmtId="0" fontId="29" fillId="3" borderId="8" xfId="2450" applyFont="1" applyFill="1" applyBorder="1" applyAlignment="1">
      <alignment horizontal="center" vertical="center"/>
    </xf>
    <xf numFmtId="0" fontId="29" fillId="0" borderId="10" xfId="2450" applyFont="1" applyBorder="1" applyAlignment="1">
      <alignment horizontal="center" vertical="center" wrapText="1"/>
    </xf>
    <xf numFmtId="0" fontId="29" fillId="0" borderId="44" xfId="2450" applyFont="1" applyBorder="1" applyAlignment="1">
      <alignment horizontal="center" vertical="center" wrapText="1"/>
    </xf>
    <xf numFmtId="0" fontId="29" fillId="5" borderId="44" xfId="2450" applyFont="1" applyFill="1" applyBorder="1" applyAlignment="1">
      <alignment horizontal="center" vertical="center"/>
    </xf>
    <xf numFmtId="0" fontId="29" fillId="5" borderId="49" xfId="2450" applyFont="1" applyFill="1" applyBorder="1" applyAlignment="1">
      <alignment horizontal="center" vertical="center"/>
    </xf>
    <xf numFmtId="0" fontId="29" fillId="5" borderId="126" xfId="2450" applyFont="1" applyFill="1" applyBorder="1" applyAlignment="1">
      <alignment horizontal="center" vertical="center"/>
    </xf>
    <xf numFmtId="0" fontId="29" fillId="5" borderId="127" xfId="2450" applyFont="1" applyFill="1" applyBorder="1" applyAlignment="1">
      <alignment horizontal="center" vertical="center"/>
    </xf>
    <xf numFmtId="0" fontId="29" fillId="5" borderId="3" xfId="2450" applyFont="1" applyFill="1" applyBorder="1" applyAlignment="1">
      <alignment horizontal="center" vertical="center"/>
    </xf>
    <xf numFmtId="0" fontId="29" fillId="0" borderId="6" xfId="2450" applyFont="1" applyBorder="1" applyAlignment="1">
      <alignment horizontal="center" vertical="center"/>
    </xf>
    <xf numFmtId="0" fontId="29" fillId="0" borderId="3" xfId="2450" applyFont="1" applyBorder="1" applyAlignment="1">
      <alignment horizontal="center" vertical="center"/>
    </xf>
    <xf numFmtId="9" fontId="29" fillId="0" borderId="150" xfId="2450" applyNumberFormat="1" applyFont="1" applyBorder="1" applyAlignment="1">
      <alignment horizontal="center" vertical="center"/>
    </xf>
    <xf numFmtId="0" fontId="29" fillId="0" borderId="148" xfId="2450" applyFont="1" applyBorder="1" applyAlignment="1">
      <alignment horizontal="center" vertical="center"/>
    </xf>
    <xf numFmtId="9" fontId="29" fillId="0" borderId="3" xfId="2450" applyNumberFormat="1" applyFont="1" applyBorder="1" applyAlignment="1">
      <alignment horizontal="center" vertical="center"/>
    </xf>
    <xf numFmtId="0" fontId="29" fillId="3" borderId="41" xfId="2450" applyFont="1" applyFill="1" applyBorder="1" applyAlignment="1">
      <alignment horizontal="center" vertical="center"/>
    </xf>
    <xf numFmtId="0" fontId="29" fillId="3" borderId="42" xfId="2450" applyFont="1" applyFill="1" applyBorder="1" applyAlignment="1">
      <alignment horizontal="center" vertical="center"/>
    </xf>
    <xf numFmtId="0" fontId="29" fillId="3" borderId="43" xfId="2450" applyFont="1" applyFill="1" applyBorder="1" applyAlignment="1">
      <alignment horizontal="center" vertical="center"/>
    </xf>
    <xf numFmtId="0" fontId="29" fillId="0" borderId="66" xfId="2450" applyFont="1" applyBorder="1" applyAlignment="1">
      <alignment horizontal="center" vertical="center" wrapText="1"/>
    </xf>
    <xf numFmtId="0" fontId="29" fillId="0" borderId="42" xfId="2450" applyFont="1" applyBorder="1" applyAlignment="1">
      <alignment horizontal="center" vertical="center" wrapText="1"/>
    </xf>
    <xf numFmtId="0" fontId="29" fillId="0" borderId="67" xfId="2450" applyFont="1" applyBorder="1" applyAlignment="1">
      <alignment horizontal="center" vertical="center" wrapText="1"/>
    </xf>
    <xf numFmtId="0" fontId="29" fillId="5" borderId="27" xfId="2450" applyFont="1" applyFill="1" applyBorder="1" applyAlignment="1">
      <alignment horizontal="center" vertical="center"/>
    </xf>
    <xf numFmtId="0" fontId="29" fillId="5" borderId="65" xfId="2450" applyFont="1" applyFill="1" applyBorder="1" applyAlignment="1">
      <alignment horizontal="center" vertical="center"/>
    </xf>
    <xf numFmtId="0" fontId="29" fillId="5" borderId="12" xfId="2450" applyFont="1" applyFill="1" applyBorder="1" applyAlignment="1">
      <alignment horizontal="center" vertical="center"/>
    </xf>
    <xf numFmtId="0" fontId="29" fillId="0" borderId="6" xfId="2450" applyFont="1" applyFill="1" applyBorder="1" applyAlignment="1">
      <alignment horizontal="center" vertical="center"/>
    </xf>
    <xf numFmtId="0" fontId="29" fillId="0" borderId="3" xfId="2450" applyFont="1" applyFill="1" applyBorder="1" applyAlignment="1">
      <alignment horizontal="center" vertical="center"/>
    </xf>
    <xf numFmtId="0" fontId="29" fillId="0" borderId="20" xfId="2450" applyFont="1" applyFill="1" applyBorder="1" applyAlignment="1">
      <alignment horizontal="center" vertical="center"/>
    </xf>
    <xf numFmtId="0" fontId="29" fillId="5" borderId="4" xfId="2450" applyFont="1" applyFill="1" applyBorder="1" applyAlignment="1">
      <alignment horizontal="center" vertical="center"/>
    </xf>
    <xf numFmtId="0" fontId="29" fillId="5" borderId="10" xfId="2450" applyFont="1" applyFill="1" applyBorder="1" applyAlignment="1">
      <alignment horizontal="center" vertical="center"/>
    </xf>
    <xf numFmtId="0" fontId="29" fillId="5" borderId="46" xfId="2450" applyFont="1" applyFill="1" applyBorder="1" applyAlignment="1">
      <alignment horizontal="center" vertical="center"/>
    </xf>
    <xf numFmtId="0" fontId="29" fillId="5" borderId="34" xfId="2450" applyFont="1" applyFill="1" applyBorder="1" applyAlignment="1">
      <alignment horizontal="center" vertical="center"/>
    </xf>
    <xf numFmtId="0" fontId="29" fillId="5" borderId="33" xfId="2450" applyFont="1" applyFill="1" applyBorder="1" applyAlignment="1">
      <alignment horizontal="center" vertical="center"/>
    </xf>
    <xf numFmtId="0" fontId="29" fillId="5" borderId="8" xfId="2450" applyFont="1" applyFill="1" applyBorder="1" applyAlignment="1">
      <alignment horizontal="center" vertical="center"/>
    </xf>
    <xf numFmtId="0" fontId="29" fillId="6" borderId="4" xfId="2450" applyFont="1" applyFill="1" applyBorder="1" applyAlignment="1">
      <alignment horizontal="center" vertical="center"/>
    </xf>
    <xf numFmtId="0" fontId="29" fillId="6" borderId="6" xfId="2450" applyFont="1" applyFill="1" applyBorder="1" applyAlignment="1">
      <alignment horizontal="center" vertical="center"/>
    </xf>
    <xf numFmtId="0" fontId="29" fillId="6" borderId="3" xfId="2450" applyFont="1" applyFill="1" applyBorder="1" applyAlignment="1">
      <alignment horizontal="center" vertical="center"/>
    </xf>
    <xf numFmtId="0" fontId="29" fillId="6" borderId="0" xfId="2450" applyFont="1" applyFill="1" applyBorder="1" applyAlignment="1">
      <alignment horizontal="center" vertical="center"/>
    </xf>
    <xf numFmtId="0" fontId="29" fillId="6" borderId="45" xfId="2450" applyFont="1" applyFill="1" applyBorder="1" applyAlignment="1">
      <alignment horizontal="center" vertical="center"/>
    </xf>
    <xf numFmtId="0" fontId="29" fillId="6" borderId="20" xfId="2450" applyFont="1" applyFill="1" applyBorder="1" applyAlignment="1">
      <alignment horizontal="center" vertical="center"/>
    </xf>
    <xf numFmtId="0" fontId="103" fillId="3" borderId="19" xfId="2450" applyFont="1" applyFill="1" applyBorder="1" applyAlignment="1">
      <alignment horizontal="center" vertical="center"/>
    </xf>
    <xf numFmtId="0" fontId="103" fillId="3" borderId="4" xfId="2450" applyFont="1" applyFill="1" applyBorder="1" applyAlignment="1">
      <alignment horizontal="center" vertical="center"/>
    </xf>
    <xf numFmtId="0" fontId="103" fillId="3" borderId="15" xfId="2450" applyFont="1" applyFill="1" applyBorder="1" applyAlignment="1">
      <alignment horizontal="center" vertical="center"/>
    </xf>
    <xf numFmtId="0" fontId="103" fillId="3" borderId="7" xfId="2450" applyFont="1" applyFill="1" applyBorder="1" applyAlignment="1">
      <alignment horizontal="center" vertical="center"/>
    </xf>
    <xf numFmtId="0" fontId="29" fillId="5" borderId="36" xfId="2450" applyFont="1" applyFill="1" applyBorder="1" applyAlignment="1">
      <alignment horizontal="center" vertical="center"/>
    </xf>
    <xf numFmtId="0" fontId="29" fillId="5" borderId="9" xfId="2450" applyFont="1" applyFill="1" applyBorder="1" applyAlignment="1">
      <alignment horizontal="center" vertical="center"/>
    </xf>
    <xf numFmtId="0" fontId="29" fillId="5" borderId="37" xfId="2450" applyFont="1" applyFill="1" applyBorder="1" applyAlignment="1">
      <alignment horizontal="center" vertical="center"/>
    </xf>
    <xf numFmtId="0" fontId="29" fillId="5" borderId="22" xfId="2450" applyFont="1" applyFill="1" applyBorder="1" applyAlignment="1">
      <alignment horizontal="center" vertical="center"/>
    </xf>
    <xf numFmtId="0" fontId="103" fillId="0" borderId="4" xfId="2450" applyFont="1" applyFill="1" applyBorder="1" applyAlignment="1">
      <alignment horizontal="center" vertical="center"/>
    </xf>
    <xf numFmtId="0" fontId="103" fillId="0" borderId="11" xfId="2450" applyFont="1" applyFill="1" applyBorder="1" applyAlignment="1">
      <alignment horizontal="center" vertical="center"/>
    </xf>
    <xf numFmtId="0" fontId="103" fillId="0" borderId="7" xfId="2450" applyFont="1" applyFill="1" applyBorder="1" applyAlignment="1">
      <alignment horizontal="center" vertical="center"/>
    </xf>
    <xf numFmtId="0" fontId="103" fillId="0" borderId="16" xfId="2450" applyFont="1" applyFill="1" applyBorder="1" applyAlignment="1">
      <alignment horizontal="center" vertical="center"/>
    </xf>
    <xf numFmtId="0" fontId="29" fillId="5" borderId="50" xfId="2450" applyFont="1" applyFill="1" applyBorder="1" applyAlignment="1">
      <alignment horizontal="center" vertical="center"/>
    </xf>
    <xf numFmtId="0" fontId="29" fillId="0" borderId="24" xfId="2450" applyFont="1" applyFill="1" applyBorder="1" applyAlignment="1">
      <alignment horizontal="center" vertical="center" wrapText="1"/>
    </xf>
    <xf numFmtId="0" fontId="29" fillId="0" borderId="56" xfId="2450" applyFont="1" applyFill="1" applyBorder="1" applyAlignment="1">
      <alignment horizontal="center" vertical="center" wrapText="1"/>
    </xf>
    <xf numFmtId="0" fontId="29" fillId="0" borderId="21" xfId="2450" applyFont="1" applyFill="1" applyBorder="1" applyAlignment="1">
      <alignment horizontal="center" vertical="center" wrapText="1"/>
    </xf>
    <xf numFmtId="0" fontId="29" fillId="0" borderId="65" xfId="2450" applyFont="1" applyFill="1" applyBorder="1" applyAlignment="1">
      <alignment horizontal="center" vertical="center"/>
    </xf>
    <xf numFmtId="0" fontId="29" fillId="0" borderId="50" xfId="2450" applyFont="1" applyFill="1" applyBorder="1" applyAlignment="1">
      <alignment horizontal="center" vertical="center"/>
    </xf>
    <xf numFmtId="0" fontId="29" fillId="3" borderId="37" xfId="2450" applyFont="1" applyFill="1" applyBorder="1" applyAlignment="1">
      <alignment horizontal="center" vertical="center"/>
    </xf>
    <xf numFmtId="0" fontId="29" fillId="3" borderId="22" xfId="2450" applyFont="1" applyFill="1" applyBorder="1" applyAlignment="1">
      <alignment horizontal="center" vertical="center"/>
    </xf>
    <xf numFmtId="0" fontId="29" fillId="3" borderId="36" xfId="2450" applyFont="1" applyFill="1" applyBorder="1" applyAlignment="1">
      <alignment horizontal="center" vertical="center"/>
    </xf>
    <xf numFmtId="9" fontId="29" fillId="0" borderId="4" xfId="2481" applyFont="1" applyBorder="1" applyAlignment="1">
      <alignment horizontal="center" vertical="center"/>
    </xf>
    <xf numFmtId="9" fontId="29" fillId="0" borderId="11" xfId="2481" applyFont="1" applyBorder="1" applyAlignment="1">
      <alignment horizontal="center" vertical="center"/>
    </xf>
    <xf numFmtId="0" fontId="29" fillId="5" borderId="7" xfId="2450" applyFont="1" applyFill="1" applyBorder="1" applyAlignment="1">
      <alignment horizontal="center" vertical="center"/>
    </xf>
    <xf numFmtId="9" fontId="29" fillId="0" borderId="31" xfId="2473" applyFont="1" applyFill="1" applyBorder="1" applyAlignment="1">
      <alignment horizontal="center" vertical="center"/>
    </xf>
    <xf numFmtId="9" fontId="29" fillId="0" borderId="13" xfId="2473" applyFont="1" applyFill="1" applyBorder="1" applyAlignment="1">
      <alignment horizontal="center" vertical="center"/>
    </xf>
    <xf numFmtId="9" fontId="29" fillId="0" borderId="25" xfId="2473" applyFont="1" applyFill="1" applyBorder="1" applyAlignment="1">
      <alignment horizontal="center" vertical="center"/>
    </xf>
    <xf numFmtId="9" fontId="29" fillId="0" borderId="68" xfId="2473" applyFont="1" applyFill="1" applyBorder="1" applyAlignment="1">
      <alignment horizontal="center" vertical="center"/>
    </xf>
    <xf numFmtId="9" fontId="29" fillId="0" borderId="18" xfId="2473" applyFont="1" applyFill="1" applyBorder="1" applyAlignment="1">
      <alignment horizontal="center" vertical="center"/>
    </xf>
    <xf numFmtId="0" fontId="29" fillId="0" borderId="10" xfId="2450" applyFont="1" applyFill="1" applyBorder="1" applyAlignment="1">
      <alignment horizontal="center" vertical="center"/>
    </xf>
    <xf numFmtId="0" fontId="29" fillId="0" borderId="45" xfId="2450" applyFont="1" applyFill="1" applyBorder="1" applyAlignment="1">
      <alignment horizontal="center" vertical="center"/>
    </xf>
    <xf numFmtId="0" fontId="29" fillId="0" borderId="47" xfId="2450" applyFont="1" applyFill="1" applyBorder="1" applyAlignment="1">
      <alignment horizontal="center" vertical="center"/>
    </xf>
    <xf numFmtId="0" fontId="29" fillId="0" borderId="44" xfId="2450" applyFont="1" applyFill="1" applyBorder="1" applyAlignment="1">
      <alignment horizontal="center" vertical="center"/>
    </xf>
    <xf numFmtId="0" fontId="29" fillId="0" borderId="49" xfId="2450" applyFont="1" applyFill="1" applyBorder="1" applyAlignment="1">
      <alignment horizontal="center" vertical="center"/>
    </xf>
    <xf numFmtId="0" fontId="29" fillId="0" borderId="58" xfId="2450" applyFont="1" applyFill="1" applyBorder="1" applyAlignment="1">
      <alignment horizontal="center" vertical="center"/>
    </xf>
    <xf numFmtId="0" fontId="29" fillId="0" borderId="48" xfId="2450" applyFont="1" applyBorder="1" applyAlignment="1">
      <alignment horizontal="center" vertical="center" wrapText="1"/>
    </xf>
    <xf numFmtId="0" fontId="29" fillId="5" borderId="6" xfId="2450" applyFont="1" applyFill="1" applyBorder="1" applyAlignment="1">
      <alignment horizontal="center" vertical="center"/>
    </xf>
    <xf numFmtId="0" fontId="29" fillId="5" borderId="11" xfId="2450" applyFont="1" applyFill="1" applyBorder="1" applyAlignment="1">
      <alignment horizontal="center" vertical="center"/>
    </xf>
    <xf numFmtId="41" fontId="29" fillId="0" borderId="31" xfId="2483" applyFont="1" applyFill="1" applyBorder="1" applyAlignment="1">
      <alignment horizontal="center" vertical="center"/>
    </xf>
    <xf numFmtId="41" fontId="29" fillId="0" borderId="13" xfId="2483" applyFont="1" applyFill="1" applyBorder="1" applyAlignment="1">
      <alignment horizontal="center" vertical="center"/>
    </xf>
    <xf numFmtId="41" fontId="29" fillId="0" borderId="12" xfId="2483" applyFont="1" applyFill="1" applyBorder="1" applyAlignment="1">
      <alignment horizontal="center" vertical="center"/>
    </xf>
    <xf numFmtId="176" fontId="29" fillId="0" borderId="17" xfId="2452" applyNumberFormat="1" applyFont="1" applyBorder="1" applyAlignment="1">
      <alignment horizontal="center" vertical="center"/>
    </xf>
    <xf numFmtId="176" fontId="29" fillId="0" borderId="19" xfId="2452" applyNumberFormat="1" applyFont="1" applyBorder="1" applyAlignment="1">
      <alignment horizontal="center" vertical="center"/>
    </xf>
    <xf numFmtId="176" fontId="29" fillId="0" borderId="60" xfId="2452" applyNumberFormat="1" applyFont="1" applyBorder="1" applyAlignment="1">
      <alignment vertical="center"/>
    </xf>
    <xf numFmtId="176" fontId="29" fillId="0" borderId="17" xfId="2452" applyNumberFormat="1" applyFont="1" applyBorder="1" applyAlignment="1">
      <alignment vertical="center"/>
    </xf>
    <xf numFmtId="176" fontId="29" fillId="0" borderId="12" xfId="2452" applyNumberFormat="1" applyFont="1" applyBorder="1" applyAlignment="1">
      <alignment horizontal="center" vertical="center"/>
    </xf>
    <xf numFmtId="176" fontId="29" fillId="0" borderId="13" xfId="2452" applyNumberFormat="1" applyFont="1" applyBorder="1" applyAlignment="1">
      <alignment horizontal="center" vertical="center"/>
    </xf>
    <xf numFmtId="176" fontId="29" fillId="0" borderId="11" xfId="2452" applyNumberFormat="1" applyFont="1" applyFill="1" applyBorder="1" applyAlignment="1">
      <alignment horizontal="center" vertical="center"/>
    </xf>
    <xf numFmtId="176" fontId="29" fillId="0" borderId="8" xfId="2452" applyNumberFormat="1" applyFont="1" applyFill="1" applyBorder="1" applyAlignment="1">
      <alignment horizontal="center" vertical="center"/>
    </xf>
    <xf numFmtId="176" fontId="29" fillId="0" borderId="9" xfId="2452" applyNumberFormat="1" applyFont="1" applyFill="1" applyBorder="1" applyAlignment="1">
      <alignment horizontal="center" vertical="center"/>
    </xf>
    <xf numFmtId="176" fontId="29" fillId="0" borderId="31" xfId="2452" applyNumberFormat="1" applyFont="1" applyBorder="1" applyAlignment="1">
      <alignment horizontal="center" vertical="center"/>
    </xf>
    <xf numFmtId="176" fontId="29" fillId="0" borderId="4" xfId="2452" applyNumberFormat="1" applyFont="1" applyBorder="1" applyAlignment="1">
      <alignment horizontal="center" vertical="center"/>
    </xf>
    <xf numFmtId="176" fontId="29" fillId="3" borderId="67" xfId="2450" applyNumberFormat="1" applyFont="1" applyFill="1" applyBorder="1" applyAlignment="1">
      <alignment horizontal="center" vertical="center" wrapText="1"/>
    </xf>
    <xf numFmtId="0" fontId="27" fillId="3" borderId="48" xfId="2450" applyFont="1" applyFill="1" applyBorder="1" applyAlignment="1">
      <alignment vertical="center"/>
    </xf>
    <xf numFmtId="176" fontId="29" fillId="3" borderId="27" xfId="2452" applyNumberFormat="1" applyFont="1" applyFill="1" applyBorder="1" applyAlignment="1">
      <alignment horizontal="center" vertical="center"/>
    </xf>
    <xf numFmtId="176" fontId="29" fillId="3" borderId="65" xfId="2452" applyNumberFormat="1" applyFont="1" applyFill="1" applyBorder="1" applyAlignment="1">
      <alignment horizontal="center" vertical="center"/>
    </xf>
    <xf numFmtId="0" fontId="102" fillId="3" borderId="27" xfId="2482" applyFont="1" applyFill="1" applyBorder="1" applyAlignment="1">
      <alignment horizontal="center" vertical="center"/>
    </xf>
    <xf numFmtId="0" fontId="102" fillId="3" borderId="65" xfId="2482" applyFont="1" applyFill="1" applyBorder="1" applyAlignment="1">
      <alignment horizontal="center" vertical="center"/>
    </xf>
    <xf numFmtId="0" fontId="102" fillId="3" borderId="54" xfId="2482" applyFont="1" applyFill="1" applyBorder="1" applyAlignment="1">
      <alignment horizontal="center" vertical="center"/>
    </xf>
    <xf numFmtId="9" fontId="29" fillId="3" borderId="55" xfId="2482" applyNumberFormat="1" applyFont="1" applyFill="1" applyBorder="1" applyAlignment="1">
      <alignment horizontal="center" vertical="center"/>
    </xf>
    <xf numFmtId="9" fontId="29" fillId="3" borderId="65" xfId="2482" applyNumberFormat="1" applyFont="1" applyFill="1" applyBorder="1" applyAlignment="1">
      <alignment horizontal="center" vertical="center"/>
    </xf>
    <xf numFmtId="9" fontId="29" fillId="3" borderId="50" xfId="2482" applyNumberFormat="1" applyFont="1" applyFill="1" applyBorder="1" applyAlignment="1">
      <alignment horizontal="center" vertical="center"/>
    </xf>
    <xf numFmtId="176" fontId="29" fillId="3" borderId="55" xfId="2482" applyNumberFormat="1" applyFont="1" applyFill="1" applyBorder="1" applyAlignment="1">
      <alignment horizontal="center" vertical="center"/>
    </xf>
    <xf numFmtId="176" fontId="29" fillId="3" borderId="54" xfId="2482" applyNumberFormat="1" applyFont="1" applyFill="1" applyBorder="1" applyAlignment="1">
      <alignment horizontal="center" vertical="center"/>
    </xf>
    <xf numFmtId="9" fontId="29" fillId="3" borderId="54" xfId="2482" applyNumberFormat="1" applyFont="1" applyFill="1" applyBorder="1" applyAlignment="1">
      <alignment horizontal="center" vertical="center"/>
    </xf>
    <xf numFmtId="41" fontId="29" fillId="0" borderId="26" xfId="2483" applyFont="1" applyFill="1" applyBorder="1" applyAlignment="1">
      <alignment horizontal="center" vertical="center"/>
    </xf>
    <xf numFmtId="176" fontId="37" fillId="4" borderId="78" xfId="2452" applyNumberFormat="1" applyFont="1" applyFill="1" applyBorder="1" applyAlignment="1">
      <alignment horizontal="center" vertical="center"/>
    </xf>
    <xf numFmtId="176" fontId="37" fillId="4" borderId="49" xfId="2452" applyNumberFormat="1" applyFont="1" applyFill="1" applyBorder="1" applyAlignment="1">
      <alignment horizontal="center" vertical="center"/>
    </xf>
    <xf numFmtId="176" fontId="37" fillId="4" borderId="58" xfId="2452" applyNumberFormat="1" applyFont="1" applyFill="1" applyBorder="1" applyAlignment="1">
      <alignment horizontal="center" vertical="center"/>
    </xf>
    <xf numFmtId="176" fontId="29" fillId="0" borderId="64" xfId="2452" applyNumberFormat="1" applyFont="1" applyBorder="1" applyAlignment="1">
      <alignment vertical="center"/>
    </xf>
    <xf numFmtId="176" fontId="29" fillId="0" borderId="80" xfId="2452" applyNumberFormat="1" applyFont="1" applyBorder="1" applyAlignment="1">
      <alignment vertical="center"/>
    </xf>
    <xf numFmtId="176" fontId="29" fillId="0" borderId="26" xfId="2452" applyNumberFormat="1" applyFont="1" applyBorder="1" applyAlignment="1">
      <alignment horizontal="center" vertical="center"/>
    </xf>
    <xf numFmtId="49" fontId="28" fillId="3" borderId="19" xfId="2453" applyNumberFormat="1" applyFont="1" applyFill="1" applyBorder="1" applyAlignment="1">
      <alignment horizontal="center" vertical="center"/>
    </xf>
    <xf numFmtId="49" fontId="28" fillId="3" borderId="4" xfId="2453" applyNumberFormat="1" applyFont="1" applyFill="1" applyBorder="1" applyAlignment="1">
      <alignment horizontal="center" vertical="center"/>
    </xf>
    <xf numFmtId="0" fontId="28" fillId="3" borderId="19" xfId="2453" applyFont="1" applyFill="1" applyBorder="1" applyAlignment="1">
      <alignment horizontal="center" vertical="center" wrapText="1"/>
    </xf>
    <xf numFmtId="0" fontId="28" fillId="3" borderId="4" xfId="2453" applyFont="1" applyFill="1" applyBorder="1" applyAlignment="1">
      <alignment horizontal="center" vertical="center"/>
    </xf>
    <xf numFmtId="0" fontId="29" fillId="2" borderId="45" xfId="2453" applyFont="1" applyFill="1" applyBorder="1" applyAlignment="1">
      <alignment horizontal="center" vertical="center" wrapText="1"/>
    </xf>
    <xf numFmtId="0" fontId="29" fillId="2" borderId="47" xfId="2453" applyFont="1" applyFill="1" applyBorder="1" applyAlignment="1">
      <alignment horizontal="center" vertical="center" wrapText="1"/>
    </xf>
    <xf numFmtId="0" fontId="29" fillId="2" borderId="0" xfId="2453" applyFont="1" applyFill="1" applyBorder="1" applyAlignment="1">
      <alignment horizontal="center" vertical="center" wrapText="1"/>
    </xf>
    <xf numFmtId="0" fontId="29" fillId="2" borderId="39" xfId="2453" applyFont="1" applyFill="1" applyBorder="1" applyAlignment="1">
      <alignment horizontal="center" vertical="center" wrapText="1"/>
    </xf>
    <xf numFmtId="0" fontId="29" fillId="2" borderId="49" xfId="2453" applyFont="1" applyFill="1" applyBorder="1" applyAlignment="1">
      <alignment horizontal="center" vertical="center" wrapText="1"/>
    </xf>
    <xf numFmtId="0" fontId="29" fillId="2" borderId="58" xfId="2453" applyFont="1" applyFill="1" applyBorder="1" applyAlignment="1">
      <alignment horizontal="center" vertical="center" wrapText="1"/>
    </xf>
    <xf numFmtId="0" fontId="28" fillId="3" borderId="63" xfId="2453" applyFont="1" applyFill="1" applyBorder="1" applyAlignment="1">
      <alignment horizontal="center" vertical="center" wrapText="1"/>
    </xf>
    <xf numFmtId="0" fontId="28" fillId="3" borderId="64" xfId="2453" applyFont="1" applyFill="1" applyBorder="1" applyAlignment="1">
      <alignment horizontal="center" vertical="center" wrapText="1"/>
    </xf>
    <xf numFmtId="0" fontId="28" fillId="3" borderId="80" xfId="2453" applyFont="1" applyFill="1" applyBorder="1" applyAlignment="1">
      <alignment horizontal="center" vertical="center" wrapText="1"/>
    </xf>
    <xf numFmtId="0" fontId="29" fillId="2" borderId="20" xfId="2453" applyFont="1" applyFill="1" applyBorder="1" applyAlignment="1">
      <alignment horizontal="center" vertical="center"/>
    </xf>
    <xf numFmtId="0" fontId="28" fillId="3" borderId="38" xfId="2453" applyFont="1" applyFill="1" applyBorder="1" applyAlignment="1">
      <alignment horizontal="center" vertical="center" wrapText="1"/>
    </xf>
    <xf numFmtId="0" fontId="28" fillId="3" borderId="33" xfId="2453" applyFont="1" applyFill="1" applyBorder="1" applyAlignment="1">
      <alignment horizontal="center" vertical="center" wrapText="1"/>
    </xf>
    <xf numFmtId="0" fontId="28" fillId="3" borderId="40" xfId="2453" applyFont="1" applyFill="1" applyBorder="1" applyAlignment="1">
      <alignment horizontal="center" vertical="center" wrapText="1"/>
    </xf>
    <xf numFmtId="0" fontId="28" fillId="3" borderId="48" xfId="2453" applyFont="1" applyFill="1" applyBorder="1" applyAlignment="1">
      <alignment horizontal="center" vertical="center" wrapText="1"/>
    </xf>
    <xf numFmtId="0" fontId="29" fillId="2" borderId="34" xfId="2453" applyFont="1" applyFill="1" applyBorder="1" applyAlignment="1">
      <alignment horizontal="center" vertical="center" wrapText="1"/>
    </xf>
    <xf numFmtId="0" fontId="29" fillId="2" borderId="53" xfId="2453" applyFont="1" applyFill="1" applyBorder="1" applyAlignment="1">
      <alignment horizontal="center" vertical="center" wrapText="1"/>
    </xf>
    <xf numFmtId="0" fontId="29" fillId="2" borderId="5" xfId="2453" applyFont="1" applyFill="1" applyBorder="1" applyAlignment="1">
      <alignment horizontal="center" vertical="center" wrapText="1"/>
    </xf>
    <xf numFmtId="0" fontId="29" fillId="2" borderId="87" xfId="2453" applyFont="1" applyFill="1" applyBorder="1" applyAlignment="1">
      <alignment horizontal="center" vertical="center"/>
    </xf>
    <xf numFmtId="0" fontId="29" fillId="2" borderId="21" xfId="2453" applyFont="1" applyFill="1" applyBorder="1" applyAlignment="1">
      <alignment horizontal="center" vertical="center"/>
    </xf>
    <xf numFmtId="49" fontId="28" fillId="3" borderId="15" xfId="2453" applyNumberFormat="1" applyFont="1" applyFill="1" applyBorder="1" applyAlignment="1">
      <alignment horizontal="center" vertical="center"/>
    </xf>
    <xf numFmtId="49" fontId="28" fillId="3" borderId="7" xfId="2453" applyNumberFormat="1" applyFont="1" applyFill="1" applyBorder="1" applyAlignment="1">
      <alignment horizontal="center" vertical="center"/>
    </xf>
    <xf numFmtId="0" fontId="28" fillId="3" borderId="23" xfId="2453" applyFont="1" applyFill="1" applyBorder="1" applyAlignment="1">
      <alignment horizontal="center" vertical="center"/>
    </xf>
    <xf numFmtId="0" fontId="28" fillId="3" borderId="27" xfId="2453" applyFont="1" applyFill="1" applyBorder="1" applyAlignment="1">
      <alignment horizontal="center" vertical="center"/>
    </xf>
    <xf numFmtId="0" fontId="28" fillId="3" borderId="28" xfId="2453" applyFont="1" applyFill="1" applyBorder="1" applyAlignment="1">
      <alignment horizontal="center" vertical="center"/>
    </xf>
    <xf numFmtId="0" fontId="28" fillId="3" borderId="66" xfId="2453" applyFont="1" applyFill="1" applyBorder="1" applyAlignment="1">
      <alignment horizontal="center" vertical="center"/>
    </xf>
    <xf numFmtId="0" fontId="28" fillId="3" borderId="50" xfId="2453" applyFont="1" applyFill="1" applyBorder="1" applyAlignment="1">
      <alignment horizontal="center" vertical="center"/>
    </xf>
    <xf numFmtId="0" fontId="29" fillId="2" borderId="6" xfId="2453" applyFont="1" applyFill="1" applyBorder="1" applyAlignment="1">
      <alignment horizontal="center" vertical="center"/>
    </xf>
    <xf numFmtId="0" fontId="29" fillId="2" borderId="3" xfId="2453" applyFont="1" applyFill="1" applyBorder="1" applyAlignment="1">
      <alignment horizontal="center" vertical="center"/>
    </xf>
    <xf numFmtId="0" fontId="28" fillId="3" borderId="80" xfId="2453" applyFont="1" applyFill="1" applyBorder="1" applyAlignment="1">
      <alignment horizontal="center" vertical="center"/>
    </xf>
    <xf numFmtId="0" fontId="28" fillId="3" borderId="26" xfId="2453" applyFont="1" applyFill="1" applyBorder="1" applyAlignment="1">
      <alignment horizontal="center" vertical="center"/>
    </xf>
    <xf numFmtId="0" fontId="103" fillId="2" borderId="24" xfId="2453" applyFont="1" applyFill="1" applyBorder="1" applyAlignment="1">
      <alignment horizontal="center" vertical="center"/>
    </xf>
    <xf numFmtId="0" fontId="103" fillId="2" borderId="56" xfId="2453" applyFont="1" applyFill="1" applyBorder="1" applyAlignment="1">
      <alignment horizontal="center" vertical="center"/>
    </xf>
    <xf numFmtId="0" fontId="103" fillId="2" borderId="21" xfId="2453" applyFont="1" applyFill="1" applyBorder="1" applyAlignment="1">
      <alignment horizontal="center" vertical="center"/>
    </xf>
    <xf numFmtId="0" fontId="29" fillId="2" borderId="53" xfId="2453" applyFont="1" applyFill="1" applyBorder="1" applyAlignment="1">
      <alignment horizontal="center" vertical="center"/>
    </xf>
    <xf numFmtId="0" fontId="29" fillId="2" borderId="5" xfId="2453" applyFont="1" applyFill="1" applyBorder="1" applyAlignment="1">
      <alignment horizontal="center" vertical="center"/>
    </xf>
    <xf numFmtId="0" fontId="29" fillId="2" borderId="32" xfId="2453" applyFont="1" applyFill="1" applyBorder="1" applyAlignment="1">
      <alignment horizontal="center" vertical="center"/>
    </xf>
    <xf numFmtId="0" fontId="21" fillId="4" borderId="61" xfId="2453" applyFont="1" applyFill="1" applyBorder="1" applyAlignment="1">
      <alignment horizontal="center" vertical="center"/>
    </xf>
    <xf numFmtId="0" fontId="28" fillId="3" borderId="43" xfId="2453" applyFont="1" applyFill="1" applyBorder="1" applyAlignment="1">
      <alignment horizontal="center" vertical="center"/>
    </xf>
    <xf numFmtId="0" fontId="28" fillId="3" borderId="35" xfId="2453" applyFont="1" applyFill="1" applyBorder="1" applyAlignment="1">
      <alignment horizontal="center" vertical="center" wrapText="1"/>
    </xf>
    <xf numFmtId="0" fontId="28" fillId="3" borderId="46" xfId="2453" applyFont="1" applyFill="1" applyBorder="1" applyAlignment="1">
      <alignment horizontal="center" vertical="center"/>
    </xf>
    <xf numFmtId="0" fontId="28" fillId="3" borderId="38" xfId="2453" applyFont="1" applyFill="1" applyBorder="1" applyAlignment="1">
      <alignment horizontal="center" vertical="center"/>
    </xf>
    <xf numFmtId="0" fontId="28" fillId="3" borderId="33" xfId="2453" applyFont="1" applyFill="1" applyBorder="1" applyAlignment="1">
      <alignment horizontal="center" vertical="center"/>
    </xf>
    <xf numFmtId="0" fontId="28" fillId="3" borderId="78" xfId="2453" applyFont="1" applyFill="1" applyBorder="1" applyAlignment="1">
      <alignment horizontal="center" vertical="center"/>
    </xf>
    <xf numFmtId="0" fontId="28" fillId="3" borderId="8" xfId="2453" applyFont="1" applyFill="1" applyBorder="1" applyAlignment="1">
      <alignment horizontal="center" vertical="center"/>
    </xf>
    <xf numFmtId="0" fontId="29" fillId="0" borderId="10" xfId="2453" applyFont="1" applyFill="1" applyBorder="1" applyAlignment="1">
      <alignment horizontal="center" vertical="center" wrapText="1"/>
    </xf>
    <xf numFmtId="0" fontId="29" fillId="0" borderId="45" xfId="2453" applyFont="1" applyFill="1" applyBorder="1" applyAlignment="1">
      <alignment horizontal="center" vertical="center"/>
    </xf>
    <xf numFmtId="0" fontId="29" fillId="0" borderId="46" xfId="2453" applyFont="1" applyFill="1" applyBorder="1" applyAlignment="1">
      <alignment horizontal="center" vertical="center"/>
    </xf>
    <xf numFmtId="0" fontId="29" fillId="0" borderId="34" xfId="2453" applyFont="1" applyFill="1" applyBorder="1" applyAlignment="1">
      <alignment horizontal="center" vertical="center" wrapText="1"/>
    </xf>
    <xf numFmtId="0" fontId="29" fillId="0" borderId="0" xfId="2453" applyFont="1" applyFill="1" applyBorder="1" applyAlignment="1">
      <alignment horizontal="center" vertical="center"/>
    </xf>
    <xf numFmtId="0" fontId="29" fillId="0" borderId="33" xfId="2453" applyFont="1" applyFill="1" applyBorder="1" applyAlignment="1">
      <alignment horizontal="center" vertical="center"/>
    </xf>
    <xf numFmtId="0" fontId="29" fillId="0" borderId="44" xfId="2453" applyFont="1" applyFill="1" applyBorder="1" applyAlignment="1">
      <alignment horizontal="center" vertical="center"/>
    </xf>
    <xf numFmtId="0" fontId="29" fillId="0" borderId="49" xfId="2453" applyFont="1" applyFill="1" applyBorder="1" applyAlignment="1">
      <alignment horizontal="center" vertical="center"/>
    </xf>
    <xf numFmtId="0" fontId="29" fillId="0" borderId="8" xfId="2453" applyFont="1" applyFill="1" applyBorder="1" applyAlignment="1">
      <alignment horizontal="center" vertical="center"/>
    </xf>
    <xf numFmtId="0" fontId="29" fillId="2" borderId="10" xfId="2453" applyFont="1" applyFill="1" applyBorder="1" applyAlignment="1">
      <alignment horizontal="center" vertical="center" wrapText="1"/>
    </xf>
    <xf numFmtId="0" fontId="29" fillId="2" borderId="32" xfId="2453" applyFont="1" applyFill="1" applyBorder="1" applyAlignment="1">
      <alignment horizontal="center" vertical="center" wrapText="1"/>
    </xf>
    <xf numFmtId="0" fontId="28" fillId="3" borderId="17" xfId="2453" applyFont="1" applyFill="1" applyBorder="1" applyAlignment="1">
      <alignment horizontal="center" vertical="center"/>
    </xf>
    <xf numFmtId="0" fontId="28" fillId="3" borderId="13" xfId="2453" applyFont="1" applyFill="1" applyBorder="1" applyAlignment="1">
      <alignment horizontal="center" vertical="center"/>
    </xf>
    <xf numFmtId="0" fontId="28" fillId="3" borderId="7" xfId="2453" applyFont="1" applyFill="1" applyBorder="1" applyAlignment="1">
      <alignment horizontal="center" vertical="center"/>
    </xf>
    <xf numFmtId="0" fontId="29" fillId="0" borderId="0" xfId="2453" applyFont="1" applyFill="1" applyBorder="1" applyAlignment="1">
      <alignment horizontal="center" vertical="center" wrapText="1"/>
    </xf>
    <xf numFmtId="0" fontId="29" fillId="0" borderId="39" xfId="2453" applyFont="1" applyFill="1" applyBorder="1" applyAlignment="1">
      <alignment horizontal="center" vertical="center" wrapText="1"/>
    </xf>
    <xf numFmtId="0" fontId="29" fillId="0" borderId="53" xfId="2453" applyFont="1" applyFill="1" applyBorder="1" applyAlignment="1">
      <alignment horizontal="center" vertical="center" wrapText="1"/>
    </xf>
    <xf numFmtId="0" fontId="29" fillId="0" borderId="5" xfId="2453" applyFont="1" applyFill="1" applyBorder="1" applyAlignment="1">
      <alignment horizontal="center" vertical="center" wrapText="1"/>
    </xf>
    <xf numFmtId="0" fontId="29" fillId="0" borderId="32" xfId="2453" applyFont="1" applyFill="1" applyBorder="1" applyAlignment="1">
      <alignment horizontal="center" vertical="center" wrapText="1"/>
    </xf>
    <xf numFmtId="0" fontId="28" fillId="3" borderId="55" xfId="2453" applyFont="1" applyFill="1" applyBorder="1" applyAlignment="1">
      <alignment horizontal="center" vertical="center"/>
    </xf>
    <xf numFmtId="0" fontId="28" fillId="3" borderId="35" xfId="2453" applyFont="1" applyFill="1" applyBorder="1" applyAlignment="1">
      <alignment horizontal="center" vertical="center"/>
    </xf>
    <xf numFmtId="0" fontId="28" fillId="3" borderId="45" xfId="2453" applyFont="1" applyFill="1" applyBorder="1" applyAlignment="1">
      <alignment horizontal="center" vertical="center"/>
    </xf>
    <xf numFmtId="0" fontId="28" fillId="3" borderId="40" xfId="2453" applyFont="1" applyFill="1" applyBorder="1" applyAlignment="1">
      <alignment horizontal="center" vertical="center"/>
    </xf>
    <xf numFmtId="0" fontId="28" fillId="3" borderId="48" xfId="2453" applyFont="1" applyFill="1" applyBorder="1" applyAlignment="1">
      <alignment horizontal="center" vertical="center"/>
    </xf>
    <xf numFmtId="177" fontId="37" fillId="4" borderId="13" xfId="2452" applyNumberFormat="1" applyFont="1" applyFill="1" applyBorder="1" applyAlignment="1">
      <alignment horizontal="center" vertical="center"/>
    </xf>
    <xf numFmtId="177" fontId="37" fillId="4" borderId="18" xfId="2452" applyNumberFormat="1" applyFont="1" applyFill="1" applyBorder="1" applyAlignment="1">
      <alignment horizontal="center" vertical="center"/>
    </xf>
    <xf numFmtId="176" fontId="29" fillId="0" borderId="14" xfId="2452" applyNumberFormat="1" applyFont="1" applyFill="1" applyBorder="1" applyAlignment="1">
      <alignment horizontal="center" vertical="center"/>
    </xf>
    <xf numFmtId="177" fontId="107" fillId="4" borderId="13" xfId="2452" applyNumberFormat="1" applyFont="1" applyFill="1" applyBorder="1" applyAlignment="1">
      <alignment horizontal="center" vertical="center" wrapText="1"/>
    </xf>
    <xf numFmtId="176" fontId="29" fillId="0" borderId="16" xfId="2452" applyNumberFormat="1" applyFont="1" applyFill="1" applyBorder="1" applyAlignment="1">
      <alignment horizontal="center" vertical="center"/>
    </xf>
    <xf numFmtId="176" fontId="28" fillId="4" borderId="13" xfId="2452" applyNumberFormat="1" applyFont="1" applyFill="1" applyBorder="1" applyAlignment="1">
      <alignment horizontal="center" vertical="center"/>
    </xf>
    <xf numFmtId="176" fontId="28" fillId="4" borderId="18" xfId="2452" applyNumberFormat="1" applyFont="1" applyFill="1" applyBorder="1" applyAlignment="1">
      <alignment horizontal="center" vertical="center"/>
    </xf>
    <xf numFmtId="177" fontId="28" fillId="4" borderId="6" xfId="2452" applyNumberFormat="1" applyFont="1" applyFill="1" applyBorder="1" applyAlignment="1">
      <alignment horizontal="center" vertical="center"/>
    </xf>
    <xf numFmtId="176" fontId="37" fillId="4" borderId="4" xfId="2452" applyNumberFormat="1" applyFont="1" applyFill="1" applyBorder="1" applyAlignment="1">
      <alignment horizontal="center" vertical="center"/>
    </xf>
    <xf numFmtId="176" fontId="37" fillId="4" borderId="11" xfId="2452" applyNumberFormat="1" applyFont="1" applyFill="1" applyBorder="1" applyAlignment="1">
      <alignment horizontal="center" vertical="center"/>
    </xf>
    <xf numFmtId="9" fontId="29" fillId="3" borderId="18" xfId="2452" applyNumberFormat="1" applyFont="1" applyFill="1" applyBorder="1" applyAlignment="1">
      <alignment horizontal="center" vertical="center"/>
    </xf>
    <xf numFmtId="176" fontId="29" fillId="3" borderId="60" xfId="2453" applyNumberFormat="1" applyFont="1" applyFill="1" applyBorder="1" applyAlignment="1">
      <alignment horizontal="center" vertical="center"/>
    </xf>
    <xf numFmtId="176" fontId="29" fillId="3" borderId="12" xfId="2452" applyNumberFormat="1" applyFont="1" applyFill="1" applyBorder="1" applyAlignment="1">
      <alignment horizontal="center" vertical="center" wrapText="1"/>
    </xf>
    <xf numFmtId="176" fontId="29" fillId="3" borderId="25" xfId="2452" applyNumberFormat="1" applyFont="1" applyFill="1" applyBorder="1" applyAlignment="1">
      <alignment horizontal="center" vertical="center" wrapText="1"/>
    </xf>
    <xf numFmtId="176" fontId="29" fillId="3" borderId="79" xfId="2452" applyNumberFormat="1" applyFont="1" applyFill="1" applyBorder="1" applyAlignment="1">
      <alignment horizontal="center" vertical="center" wrapText="1"/>
    </xf>
    <xf numFmtId="176" fontId="29" fillId="3" borderId="60" xfId="2495" applyNumberFormat="1" applyFont="1" applyFill="1" applyBorder="1" applyAlignment="1">
      <alignment horizontal="center" vertical="center"/>
    </xf>
    <xf numFmtId="176" fontId="29" fillId="3" borderId="80" xfId="2495" applyNumberFormat="1" applyFont="1" applyFill="1" applyBorder="1" applyAlignment="1">
      <alignment horizontal="center" vertical="center"/>
    </xf>
    <xf numFmtId="176" fontId="29" fillId="3" borderId="12" xfId="2495" applyNumberFormat="1" applyFont="1" applyFill="1" applyBorder="1" applyAlignment="1">
      <alignment horizontal="center" vertical="center" wrapText="1"/>
    </xf>
    <xf numFmtId="176" fontId="29" fillId="3" borderId="26" xfId="2495" applyNumberFormat="1" applyFont="1" applyFill="1" applyBorder="1" applyAlignment="1">
      <alignment horizontal="center" vertical="center" wrapText="1"/>
    </xf>
    <xf numFmtId="176" fontId="29" fillId="3" borderId="25" xfId="2495" applyNumberFormat="1" applyFont="1" applyFill="1" applyBorder="1" applyAlignment="1">
      <alignment horizontal="center" vertical="center"/>
    </xf>
    <xf numFmtId="176" fontId="29" fillId="3" borderId="79" xfId="2495" applyNumberFormat="1" applyFont="1" applyFill="1" applyBorder="1" applyAlignment="1">
      <alignment horizontal="center" vertical="center"/>
    </xf>
    <xf numFmtId="176" fontId="37" fillId="4" borderId="23" xfId="2452" applyNumberFormat="1" applyFont="1" applyFill="1" applyBorder="1" applyAlignment="1">
      <alignment horizontal="center" vertical="center"/>
    </xf>
    <xf numFmtId="176" fontId="37" fillId="4" borderId="14" xfId="2452" applyNumberFormat="1" applyFont="1" applyFill="1" applyBorder="1" applyAlignment="1">
      <alignment horizontal="center" vertical="center"/>
    </xf>
    <xf numFmtId="176" fontId="29" fillId="3" borderId="41" xfId="2452" applyNumberFormat="1" applyFont="1" applyFill="1" applyBorder="1" applyAlignment="1">
      <alignment horizontal="center" vertical="center"/>
    </xf>
    <xf numFmtId="176" fontId="29" fillId="3" borderId="67" xfId="2452" applyNumberFormat="1" applyFont="1" applyFill="1" applyBorder="1" applyAlignment="1">
      <alignment horizontal="center" vertical="center"/>
    </xf>
    <xf numFmtId="176" fontId="29" fillId="3" borderId="78" xfId="2452" applyNumberFormat="1" applyFont="1" applyFill="1" applyBorder="1" applyAlignment="1">
      <alignment horizontal="center" vertical="center"/>
    </xf>
    <xf numFmtId="176" fontId="29" fillId="3" borderId="8" xfId="2452" applyNumberFormat="1" applyFont="1" applyFill="1" applyBorder="1" applyAlignment="1">
      <alignment horizontal="center" vertical="center"/>
    </xf>
    <xf numFmtId="9" fontId="29" fillId="3" borderId="41" xfId="2495" applyNumberFormat="1" applyFont="1" applyFill="1" applyBorder="1" applyAlignment="1">
      <alignment horizontal="center" vertical="center"/>
    </xf>
    <xf numFmtId="9" fontId="29" fillId="3" borderId="67" xfId="2495" applyNumberFormat="1" applyFont="1" applyFill="1" applyBorder="1" applyAlignment="1">
      <alignment horizontal="center" vertical="center"/>
    </xf>
    <xf numFmtId="9" fontId="29" fillId="3" borderId="78" xfId="2495" applyNumberFormat="1" applyFont="1" applyFill="1" applyBorder="1" applyAlignment="1">
      <alignment horizontal="center" vertical="center"/>
    </xf>
    <xf numFmtId="9" fontId="29" fillId="3" borderId="8" xfId="2495" applyNumberFormat="1" applyFont="1" applyFill="1" applyBorder="1" applyAlignment="1">
      <alignment horizontal="center" vertical="center"/>
    </xf>
    <xf numFmtId="176" fontId="21" fillId="4" borderId="97" xfId="2452" applyNumberFormat="1" applyFont="1" applyFill="1" applyBorder="1" applyAlignment="1">
      <alignment horizontal="center" vertical="center"/>
    </xf>
    <xf numFmtId="176" fontId="29" fillId="3" borderId="31" xfId="2452" applyNumberFormat="1" applyFont="1" applyFill="1" applyBorder="1" applyAlignment="1">
      <alignment horizontal="center" vertical="center" wrapText="1"/>
    </xf>
    <xf numFmtId="176" fontId="29" fillId="8" borderId="28" xfId="2452" applyNumberFormat="1" applyFont="1" applyFill="1" applyBorder="1" applyAlignment="1">
      <alignment horizontal="center" vertical="center"/>
    </xf>
    <xf numFmtId="176" fontId="29" fillId="8" borderId="31" xfId="2452" applyNumberFormat="1" applyFont="1" applyFill="1" applyBorder="1" applyAlignment="1">
      <alignment horizontal="center" vertical="center"/>
    </xf>
    <xf numFmtId="176" fontId="29" fillId="8" borderId="66" xfId="2452" applyNumberFormat="1" applyFont="1" applyFill="1" applyBorder="1" applyAlignment="1">
      <alignment horizontal="center" vertical="center" wrapText="1"/>
    </xf>
    <xf numFmtId="176" fontId="29" fillId="8" borderId="67" xfId="2452" applyNumberFormat="1" applyFont="1" applyFill="1" applyBorder="1" applyAlignment="1">
      <alignment horizontal="center" vertical="center" wrapText="1"/>
    </xf>
    <xf numFmtId="176" fontId="29" fillId="8" borderId="44" xfId="2452" applyNumberFormat="1" applyFont="1" applyFill="1" applyBorder="1" applyAlignment="1">
      <alignment horizontal="center" vertical="center" wrapText="1"/>
    </xf>
    <xf numFmtId="176" fontId="29" fillId="8" borderId="8" xfId="2452" applyNumberFormat="1" applyFont="1" applyFill="1" applyBorder="1" applyAlignment="1">
      <alignment horizontal="center" vertical="center" wrapText="1"/>
    </xf>
    <xf numFmtId="0" fontId="29" fillId="8" borderId="66" xfId="2452" applyNumberFormat="1" applyFont="1" applyFill="1" applyBorder="1" applyAlignment="1">
      <alignment horizontal="center" vertical="center" wrapText="1"/>
    </xf>
    <xf numFmtId="0" fontId="29" fillId="8" borderId="43" xfId="2452" applyNumberFormat="1" applyFont="1" applyFill="1" applyBorder="1" applyAlignment="1">
      <alignment horizontal="center" vertical="center" wrapText="1"/>
    </xf>
    <xf numFmtId="0" fontId="29" fillId="8" borderId="44" xfId="2452" applyNumberFormat="1" applyFont="1" applyFill="1" applyBorder="1" applyAlignment="1">
      <alignment horizontal="center" vertical="center" wrapText="1"/>
    </xf>
    <xf numFmtId="0" fontId="29" fillId="8" borderId="58" xfId="2452" applyNumberFormat="1" applyFont="1" applyFill="1" applyBorder="1" applyAlignment="1">
      <alignment horizontal="center" vertical="center" wrapText="1"/>
    </xf>
    <xf numFmtId="176" fontId="29" fillId="3" borderId="41" xfId="2452" applyNumberFormat="1" applyFont="1" applyFill="1" applyBorder="1" applyAlignment="1">
      <alignment horizontal="center" vertical="center" wrapText="1"/>
    </xf>
    <xf numFmtId="176" fontId="29" fillId="3" borderId="42" xfId="2452" applyNumberFormat="1" applyFont="1" applyFill="1" applyBorder="1" applyAlignment="1">
      <alignment horizontal="center" vertical="center" wrapText="1"/>
    </xf>
    <xf numFmtId="176" fontId="29" fillId="3" borderId="43" xfId="2452" applyNumberFormat="1" applyFont="1" applyFill="1" applyBorder="1" applyAlignment="1">
      <alignment horizontal="center" vertical="center" wrapText="1"/>
    </xf>
    <xf numFmtId="176" fontId="29" fillId="3" borderId="78" xfId="2452" applyNumberFormat="1" applyFont="1" applyFill="1" applyBorder="1" applyAlignment="1">
      <alignment horizontal="center" vertical="center" wrapText="1"/>
    </xf>
    <xf numFmtId="176" fontId="29" fillId="3" borderId="49" xfId="2452" applyNumberFormat="1" applyFont="1" applyFill="1" applyBorder="1" applyAlignment="1">
      <alignment horizontal="center" vertical="center" wrapText="1"/>
    </xf>
    <xf numFmtId="176" fontId="29" fillId="3" borderId="58" xfId="2452" applyNumberFormat="1" applyFont="1" applyFill="1" applyBorder="1" applyAlignment="1">
      <alignment horizontal="center" vertical="center" wrapText="1"/>
    </xf>
    <xf numFmtId="176" fontId="28" fillId="3" borderId="41" xfId="2452" applyNumberFormat="1" applyFont="1" applyFill="1" applyBorder="1" applyAlignment="1">
      <alignment horizontal="center" vertical="center" wrapText="1"/>
    </xf>
    <xf numFmtId="176" fontId="28" fillId="3" borderId="42" xfId="2452" applyNumberFormat="1" applyFont="1" applyFill="1" applyBorder="1" applyAlignment="1">
      <alignment horizontal="center" vertical="center" wrapText="1"/>
    </xf>
    <xf numFmtId="176" fontId="28" fillId="3" borderId="43" xfId="2452" applyNumberFormat="1" applyFont="1" applyFill="1" applyBorder="1" applyAlignment="1">
      <alignment horizontal="center" vertical="center" wrapText="1"/>
    </xf>
    <xf numFmtId="176" fontId="28" fillId="3" borderId="78" xfId="2452" applyNumberFormat="1" applyFont="1" applyFill="1" applyBorder="1" applyAlignment="1">
      <alignment horizontal="center" vertical="center" wrapText="1"/>
    </xf>
    <xf numFmtId="176" fontId="28" fillId="3" borderId="49" xfId="2452" applyNumberFormat="1" applyFont="1" applyFill="1" applyBorder="1" applyAlignment="1">
      <alignment horizontal="center" vertical="center" wrapText="1"/>
    </xf>
    <xf numFmtId="176" fontId="28" fillId="3" borderId="58" xfId="2452" applyNumberFormat="1" applyFont="1" applyFill="1" applyBorder="1" applyAlignment="1">
      <alignment horizontal="center" vertical="center" wrapText="1"/>
    </xf>
    <xf numFmtId="176" fontId="29" fillId="3" borderId="63" xfId="0" applyNumberFormat="1" applyFont="1" applyFill="1" applyBorder="1" applyAlignment="1">
      <alignment horizontal="center" vertical="center" wrapText="1"/>
    </xf>
    <xf numFmtId="176" fontId="29" fillId="3" borderId="64" xfId="0" applyNumberFormat="1" applyFont="1" applyFill="1" applyBorder="1" applyAlignment="1">
      <alignment horizontal="center" vertical="center" wrapText="1"/>
    </xf>
    <xf numFmtId="0" fontId="27" fillId="3" borderId="80" xfId="0" applyFont="1" applyFill="1" applyBorder="1" applyAlignment="1">
      <alignment vertical="center"/>
    </xf>
    <xf numFmtId="0" fontId="29" fillId="3" borderId="19" xfId="2450" applyFont="1" applyFill="1" applyBorder="1" applyAlignment="1">
      <alignment horizontal="center" vertical="center" wrapText="1"/>
    </xf>
    <xf numFmtId="0" fontId="29" fillId="6" borderId="10" xfId="2450" applyFont="1" applyFill="1" applyBorder="1" applyAlignment="1">
      <alignment horizontal="center" vertical="center" wrapText="1"/>
    </xf>
    <xf numFmtId="0" fontId="29" fillId="6" borderId="47" xfId="2450" applyFont="1" applyFill="1" applyBorder="1" applyAlignment="1">
      <alignment horizontal="center" vertical="center"/>
    </xf>
    <xf numFmtId="0" fontId="29" fillId="6" borderId="53" xfId="2450" applyFont="1" applyFill="1" applyBorder="1" applyAlignment="1">
      <alignment horizontal="center" vertical="center"/>
    </xf>
    <xf numFmtId="0" fontId="29" fillId="6" borderId="5" xfId="2450" applyFont="1" applyFill="1" applyBorder="1" applyAlignment="1">
      <alignment horizontal="center" vertical="center"/>
    </xf>
    <xf numFmtId="0" fontId="29" fillId="6" borderId="32" xfId="2450" applyFont="1" applyFill="1" applyBorder="1" applyAlignment="1">
      <alignment horizontal="center" vertical="center"/>
    </xf>
    <xf numFmtId="0" fontId="29" fillId="2" borderId="4" xfId="2450" applyFont="1" applyFill="1" applyBorder="1" applyAlignment="1">
      <alignment horizontal="center" vertical="center"/>
    </xf>
    <xf numFmtId="0" fontId="29" fillId="2" borderId="11" xfId="2450" applyFont="1" applyFill="1" applyBorder="1" applyAlignment="1">
      <alignment horizontal="center" vertical="center"/>
    </xf>
    <xf numFmtId="0" fontId="29" fillId="2" borderId="6" xfId="2450" applyFont="1" applyFill="1" applyBorder="1" applyAlignment="1">
      <alignment horizontal="center" vertical="center"/>
    </xf>
    <xf numFmtId="0" fontId="29" fillId="2" borderId="3" xfId="2450" applyFont="1" applyFill="1" applyBorder="1" applyAlignment="1">
      <alignment horizontal="center" vertical="center"/>
    </xf>
    <xf numFmtId="0" fontId="29" fillId="2" borderId="9" xfId="2450" applyFont="1" applyFill="1" applyBorder="1" applyAlignment="1">
      <alignment horizontal="center" vertical="center"/>
    </xf>
    <xf numFmtId="0" fontId="27" fillId="3" borderId="19" xfId="2450" applyFont="1" applyFill="1" applyBorder="1" applyAlignment="1">
      <alignment horizontal="center" vertical="center"/>
    </xf>
    <xf numFmtId="0" fontId="27" fillId="3" borderId="4" xfId="2450" applyFont="1" applyFill="1" applyBorder="1" applyAlignment="1">
      <alignment horizontal="center" vertical="center"/>
    </xf>
    <xf numFmtId="0" fontId="29" fillId="6" borderId="10" xfId="2450" applyFont="1" applyFill="1" applyBorder="1" applyAlignment="1">
      <alignment horizontal="center" vertical="center"/>
    </xf>
    <xf numFmtId="0" fontId="29" fillId="2" borderId="46" xfId="2450" applyFont="1" applyFill="1" applyBorder="1" applyAlignment="1">
      <alignment horizontal="center" vertical="center"/>
    </xf>
    <xf numFmtId="0" fontId="29" fillId="2" borderId="44" xfId="2450" applyFont="1" applyFill="1" applyBorder="1" applyAlignment="1">
      <alignment horizontal="center" vertical="center"/>
    </xf>
    <xf numFmtId="0" fontId="29" fillId="2" borderId="49" xfId="2450" applyFont="1" applyFill="1" applyBorder="1" applyAlignment="1">
      <alignment horizontal="center" vertical="center"/>
    </xf>
    <xf numFmtId="0" fontId="29" fillId="2" borderId="8" xfId="2450" applyFont="1" applyFill="1" applyBorder="1" applyAlignment="1">
      <alignment horizontal="center" vertical="center"/>
    </xf>
    <xf numFmtId="0" fontId="30" fillId="2" borderId="10" xfId="2450" applyFont="1" applyFill="1" applyBorder="1" applyAlignment="1">
      <alignment horizontal="center" vertical="center"/>
    </xf>
    <xf numFmtId="0" fontId="30" fillId="2" borderId="45" xfId="2450" applyFont="1" applyFill="1" applyBorder="1" applyAlignment="1">
      <alignment horizontal="center" vertical="center"/>
    </xf>
    <xf numFmtId="0" fontId="30" fillId="2" borderId="47" xfId="2450" applyFont="1" applyFill="1" applyBorder="1" applyAlignment="1">
      <alignment horizontal="center" vertical="center"/>
    </xf>
    <xf numFmtId="0" fontId="107" fillId="2" borderId="44" xfId="2450" applyFont="1" applyFill="1" applyBorder="1" applyAlignment="1">
      <alignment horizontal="center" vertical="center"/>
    </xf>
    <xf numFmtId="0" fontId="90" fillId="2" borderId="49" xfId="2450" applyFont="1" applyFill="1" applyBorder="1" applyAlignment="1">
      <alignment horizontal="center" vertical="center"/>
    </xf>
    <xf numFmtId="0" fontId="90" fillId="2" borderId="58" xfId="2450" applyFont="1" applyFill="1" applyBorder="1" applyAlignment="1">
      <alignment horizontal="center" vertical="center"/>
    </xf>
    <xf numFmtId="0" fontId="27" fillId="3" borderId="35" xfId="2450" applyFont="1" applyFill="1" applyBorder="1" applyAlignment="1">
      <alignment horizontal="center" vertical="center"/>
    </xf>
    <xf numFmtId="0" fontId="27" fillId="3" borderId="46" xfId="2450" applyFont="1" applyFill="1" applyBorder="1" applyAlignment="1">
      <alignment horizontal="center" vertical="center"/>
    </xf>
    <xf numFmtId="0" fontId="27" fillId="3" borderId="40" xfId="2450" applyFont="1" applyFill="1" applyBorder="1" applyAlignment="1">
      <alignment horizontal="center" vertical="center"/>
    </xf>
    <xf numFmtId="0" fontId="27" fillId="3" borderId="48" xfId="2450" applyFont="1" applyFill="1" applyBorder="1" applyAlignment="1">
      <alignment horizontal="center" vertical="center"/>
    </xf>
    <xf numFmtId="0" fontId="29" fillId="2" borderId="32" xfId="2450" applyFont="1" applyFill="1" applyBorder="1" applyAlignment="1">
      <alignment horizontal="center" vertical="center"/>
    </xf>
    <xf numFmtId="0" fontId="29" fillId="2" borderId="48" xfId="2450" applyFont="1" applyFill="1" applyBorder="1" applyAlignment="1">
      <alignment horizontal="center" vertical="center"/>
    </xf>
    <xf numFmtId="0" fontId="29" fillId="2" borderId="34" xfId="2450" applyFont="1" applyFill="1" applyBorder="1" applyAlignment="1">
      <alignment horizontal="center" vertical="center"/>
    </xf>
    <xf numFmtId="0" fontId="29" fillId="2" borderId="0" xfId="2450" applyFont="1" applyFill="1" applyBorder="1" applyAlignment="1">
      <alignment horizontal="center" vertical="center"/>
    </xf>
    <xf numFmtId="0" fontId="29" fillId="2" borderId="33" xfId="2450" applyFont="1" applyFill="1" applyBorder="1" applyAlignment="1">
      <alignment horizontal="center" vertical="center"/>
    </xf>
    <xf numFmtId="0" fontId="30" fillId="2" borderId="34" xfId="2450" applyFont="1" applyFill="1" applyBorder="1" applyAlignment="1">
      <alignment horizontal="center" vertical="center"/>
    </xf>
    <xf numFmtId="0" fontId="30" fillId="2" borderId="0" xfId="2450" applyFont="1" applyFill="1" applyBorder="1" applyAlignment="1">
      <alignment horizontal="center" vertical="center"/>
    </xf>
    <xf numFmtId="0" fontId="30" fillId="2" borderId="39" xfId="2450" applyFont="1" applyFill="1" applyBorder="1" applyAlignment="1">
      <alignment horizontal="center" vertical="center"/>
    </xf>
    <xf numFmtId="0" fontId="29" fillId="2" borderId="58" xfId="2450" applyFont="1" applyFill="1" applyBorder="1" applyAlignment="1">
      <alignment horizontal="center" vertical="center"/>
    </xf>
    <xf numFmtId="0" fontId="27" fillId="3" borderId="36" xfId="2450" applyFont="1" applyFill="1" applyBorder="1" applyAlignment="1">
      <alignment horizontal="center" vertical="center"/>
    </xf>
    <xf numFmtId="0" fontId="27" fillId="3" borderId="9" xfId="2450" applyFont="1" applyFill="1" applyBorder="1" applyAlignment="1">
      <alignment horizontal="center" vertical="center"/>
    </xf>
    <xf numFmtId="0" fontId="29" fillId="2" borderId="39" xfId="2450" applyFont="1" applyFill="1" applyBorder="1" applyAlignment="1">
      <alignment horizontal="center" vertical="center"/>
    </xf>
    <xf numFmtId="0" fontId="29" fillId="3" borderId="9" xfId="2450" applyFont="1" applyFill="1" applyBorder="1" applyAlignment="1">
      <alignment horizontal="center" vertical="center"/>
    </xf>
    <xf numFmtId="0" fontId="29" fillId="2" borderId="20" xfId="2450" applyFont="1" applyFill="1" applyBorder="1" applyAlignment="1">
      <alignment horizontal="center" vertical="center"/>
    </xf>
    <xf numFmtId="0" fontId="30" fillId="2" borderId="44" xfId="2450" applyFont="1" applyFill="1" applyBorder="1" applyAlignment="1">
      <alignment horizontal="center" vertical="center"/>
    </xf>
    <xf numFmtId="0" fontId="30" fillId="2" borderId="49" xfId="2450" applyFont="1" applyFill="1" applyBorder="1" applyAlignment="1">
      <alignment horizontal="center" vertical="center"/>
    </xf>
    <xf numFmtId="0" fontId="30" fillId="2" borderId="58" xfId="2450" applyFont="1" applyFill="1" applyBorder="1" applyAlignment="1">
      <alignment horizontal="center" vertical="center"/>
    </xf>
    <xf numFmtId="0" fontId="29" fillId="6" borderId="44" xfId="2450" applyFont="1" applyFill="1" applyBorder="1" applyAlignment="1">
      <alignment horizontal="center" vertical="center"/>
    </xf>
    <xf numFmtId="0" fontId="29" fillId="6" borderId="49" xfId="2450" applyFont="1" applyFill="1" applyBorder="1" applyAlignment="1">
      <alignment horizontal="center" vertical="center"/>
    </xf>
    <xf numFmtId="0" fontId="103" fillId="3" borderId="40" xfId="2450" applyFont="1" applyFill="1" applyBorder="1" applyAlignment="1">
      <alignment horizontal="center" vertical="center"/>
    </xf>
    <xf numFmtId="0" fontId="103" fillId="3" borderId="48" xfId="2450" applyFont="1" applyFill="1" applyBorder="1" applyAlignment="1">
      <alignment horizontal="center" vertical="center"/>
    </xf>
    <xf numFmtId="0" fontId="103" fillId="6" borderId="24" xfId="2450" applyFont="1" applyFill="1" applyBorder="1" applyAlignment="1">
      <alignment horizontal="center" vertical="center"/>
    </xf>
    <xf numFmtId="0" fontId="103" fillId="6" borderId="56" xfId="2450" applyFont="1" applyFill="1" applyBorder="1" applyAlignment="1">
      <alignment horizontal="center" vertical="center"/>
    </xf>
    <xf numFmtId="0" fontId="103" fillId="6" borderId="21" xfId="2450" applyFont="1" applyFill="1" applyBorder="1" applyAlignment="1">
      <alignment horizontal="center" vertical="center"/>
    </xf>
    <xf numFmtId="0" fontId="29" fillId="6" borderId="10" xfId="2450" applyFont="1" applyFill="1" applyBorder="1" applyAlignment="1">
      <alignment horizontal="center"/>
    </xf>
    <xf numFmtId="0" fontId="29" fillId="6" borderId="45" xfId="2450" applyFont="1" applyFill="1" applyBorder="1" applyAlignment="1">
      <alignment horizontal="center"/>
    </xf>
    <xf numFmtId="0" fontId="29" fillId="6" borderId="46" xfId="2450" applyFont="1" applyFill="1" applyBorder="1" applyAlignment="1">
      <alignment horizontal="center"/>
    </xf>
    <xf numFmtId="0" fontId="29" fillId="2" borderId="47" xfId="2450" applyFont="1" applyFill="1" applyBorder="1" applyAlignment="1">
      <alignment horizontal="center"/>
    </xf>
    <xf numFmtId="0" fontId="29" fillId="6" borderId="31" xfId="2450" applyFont="1" applyFill="1" applyBorder="1" applyAlignment="1">
      <alignment horizontal="center" vertical="center"/>
    </xf>
    <xf numFmtId="0" fontId="29" fillId="6" borderId="33" xfId="2450" applyFont="1" applyFill="1" applyBorder="1" applyAlignment="1">
      <alignment horizontal="center" vertical="center"/>
    </xf>
    <xf numFmtId="0" fontId="29" fillId="2" borderId="34" xfId="2450" applyFont="1" applyFill="1" applyBorder="1" applyAlignment="1">
      <alignment horizontal="center" vertical="center" wrapText="1"/>
    </xf>
    <xf numFmtId="0" fontId="29" fillId="2" borderId="0" xfId="2450" applyFont="1" applyFill="1" applyBorder="1" applyAlignment="1">
      <alignment horizontal="center" vertical="center" wrapText="1"/>
    </xf>
    <xf numFmtId="0" fontId="29" fillId="2" borderId="39" xfId="2450" applyFont="1" applyFill="1" applyBorder="1" applyAlignment="1">
      <alignment horizontal="center" vertical="center" wrapText="1"/>
    </xf>
    <xf numFmtId="0" fontId="107" fillId="2" borderId="44" xfId="2450" applyFont="1" applyFill="1" applyBorder="1" applyAlignment="1">
      <alignment horizontal="center" vertical="top"/>
    </xf>
    <xf numFmtId="0" fontId="29" fillId="2" borderId="49" xfId="2450" applyFont="1" applyFill="1" applyBorder="1" applyAlignment="1">
      <alignment horizontal="center" vertical="top"/>
    </xf>
    <xf numFmtId="0" fontId="29" fillId="2" borderId="8" xfId="2450" applyFont="1" applyFill="1" applyBorder="1" applyAlignment="1">
      <alignment horizontal="center" vertical="top"/>
    </xf>
    <xf numFmtId="0" fontId="130" fillId="2" borderId="44" xfId="2450" applyFont="1" applyFill="1" applyBorder="1" applyAlignment="1">
      <alignment horizontal="center" vertical="top"/>
    </xf>
    <xf numFmtId="0" fontId="130" fillId="2" borderId="49" xfId="2450" applyFont="1" applyFill="1" applyBorder="1" applyAlignment="1">
      <alignment horizontal="center" vertical="top"/>
    </xf>
    <xf numFmtId="0" fontId="130" fillId="2" borderId="58" xfId="2450" applyFont="1" applyFill="1" applyBorder="1" applyAlignment="1">
      <alignment horizontal="center" vertical="top"/>
    </xf>
    <xf numFmtId="0" fontId="29" fillId="6" borderId="12" xfId="2450" applyFont="1" applyFill="1" applyBorder="1" applyAlignment="1">
      <alignment horizontal="center" vertical="center"/>
    </xf>
    <xf numFmtId="0" fontId="29" fillId="2" borderId="10" xfId="2450" applyFont="1" applyFill="1" applyBorder="1" applyAlignment="1">
      <alignment horizontal="center"/>
    </xf>
    <xf numFmtId="0" fontId="29" fillId="2" borderId="45" xfId="2450" applyFont="1" applyFill="1" applyBorder="1" applyAlignment="1">
      <alignment horizontal="center"/>
    </xf>
    <xf numFmtId="0" fontId="29" fillId="2" borderId="46" xfId="2450" applyFont="1" applyFill="1" applyBorder="1" applyAlignment="1">
      <alignment horizontal="center"/>
    </xf>
    <xf numFmtId="0" fontId="29" fillId="2" borderId="10" xfId="2450" applyFont="1" applyFill="1" applyBorder="1" applyAlignment="1">
      <alignment horizontal="center" vertical="center"/>
    </xf>
    <xf numFmtId="0" fontId="29" fillId="2" borderId="45" xfId="2450" applyFont="1" applyFill="1" applyBorder="1" applyAlignment="1">
      <alignment horizontal="center" vertical="center"/>
    </xf>
    <xf numFmtId="0" fontId="29" fillId="2" borderId="47" xfId="2450" applyFont="1" applyFill="1" applyBorder="1" applyAlignment="1">
      <alignment horizontal="center" vertical="center"/>
    </xf>
    <xf numFmtId="0" fontId="29" fillId="3" borderId="60" xfId="2450" applyFont="1" applyFill="1" applyBorder="1" applyAlignment="1">
      <alignment horizontal="center" vertical="center"/>
    </xf>
    <xf numFmtId="0" fontId="29" fillId="3" borderId="12" xfId="2450" applyFont="1" applyFill="1" applyBorder="1" applyAlignment="1">
      <alignment horizontal="center" vertical="center"/>
    </xf>
    <xf numFmtId="0" fontId="106" fillId="0" borderId="4" xfId="2450" applyFont="1" applyBorder="1" applyAlignment="1">
      <alignment horizontal="center" vertical="center" wrapText="1"/>
    </xf>
    <xf numFmtId="0" fontId="106" fillId="0" borderId="4" xfId="2450" applyFont="1" applyBorder="1" applyAlignment="1">
      <alignment horizontal="center" vertical="center"/>
    </xf>
    <xf numFmtId="0" fontId="106" fillId="0" borderId="11" xfId="2450" applyFont="1" applyBorder="1" applyAlignment="1">
      <alignment horizontal="center" vertical="center"/>
    </xf>
    <xf numFmtId="0" fontId="106" fillId="0" borderId="12" xfId="2450" applyFont="1" applyBorder="1" applyAlignment="1">
      <alignment horizontal="center" vertical="center"/>
    </xf>
    <xf numFmtId="0" fontId="106" fillId="0" borderId="25" xfId="2450" applyFont="1" applyBorder="1" applyAlignment="1">
      <alignment horizontal="center" vertical="center"/>
    </xf>
    <xf numFmtId="176" fontId="29" fillId="2" borderId="3" xfId="2450" applyNumberFormat="1" applyFont="1" applyFill="1" applyBorder="1" applyAlignment="1">
      <alignment horizontal="center" vertical="center"/>
    </xf>
    <xf numFmtId="176" fontId="29" fillId="2" borderId="103" xfId="2450" applyNumberFormat="1" applyFont="1" applyFill="1" applyBorder="1" applyAlignment="1">
      <alignment horizontal="center" vertical="center"/>
    </xf>
    <xf numFmtId="176" fontId="29" fillId="2" borderId="105" xfId="2450" applyNumberFormat="1" applyFont="1" applyFill="1" applyBorder="1" applyAlignment="1">
      <alignment horizontal="center" vertical="center"/>
    </xf>
    <xf numFmtId="176" fontId="29" fillId="2" borderId="20" xfId="2450" applyNumberFormat="1" applyFont="1" applyFill="1" applyBorder="1" applyAlignment="1">
      <alignment horizontal="center" vertical="center"/>
    </xf>
    <xf numFmtId="0" fontId="28" fillId="4" borderId="19" xfId="2450" applyFont="1" applyFill="1" applyBorder="1" applyAlignment="1">
      <alignment horizontal="center" vertical="center"/>
    </xf>
    <xf numFmtId="0" fontId="28" fillId="4" borderId="4" xfId="2450" applyFont="1" applyFill="1" applyBorder="1" applyAlignment="1">
      <alignment horizontal="center" vertical="center"/>
    </xf>
    <xf numFmtId="0" fontId="28" fillId="4" borderId="11" xfId="2450" applyFont="1" applyFill="1" applyBorder="1" applyAlignment="1">
      <alignment horizontal="center" vertical="center"/>
    </xf>
    <xf numFmtId="176" fontId="29" fillId="2" borderId="49" xfId="2450" applyNumberFormat="1" applyFont="1" applyFill="1" applyBorder="1" applyAlignment="1">
      <alignment horizontal="center" vertical="center"/>
    </xf>
    <xf numFmtId="176" fontId="29" fillId="2" borderId="56" xfId="2450" applyNumberFormat="1" applyFont="1" applyFill="1" applyBorder="1" applyAlignment="1">
      <alignment horizontal="center" vertical="center"/>
    </xf>
    <xf numFmtId="176" fontId="29" fillId="2" borderId="18" xfId="2450" applyNumberFormat="1" applyFont="1" applyFill="1" applyBorder="1" applyAlignment="1">
      <alignment horizontal="center" vertical="center"/>
    </xf>
    <xf numFmtId="176" fontId="29" fillId="2" borderId="16" xfId="2450" applyNumberFormat="1" applyFont="1" applyFill="1" applyBorder="1" applyAlignment="1">
      <alignment horizontal="center" vertical="center"/>
    </xf>
    <xf numFmtId="176" fontId="29" fillId="2" borderId="17" xfId="2450" applyNumberFormat="1" applyFont="1" applyFill="1" applyBorder="1" applyAlignment="1">
      <alignment horizontal="center" vertical="center"/>
    </xf>
    <xf numFmtId="176" fontId="29" fillId="2" borderId="15" xfId="2450" applyNumberFormat="1" applyFont="1" applyFill="1" applyBorder="1" applyAlignment="1">
      <alignment horizontal="center" vertical="center"/>
    </xf>
    <xf numFmtId="176" fontId="29" fillId="2" borderId="13" xfId="2450" applyNumberFormat="1" applyFont="1" applyFill="1" applyBorder="1" applyAlignment="1">
      <alignment horizontal="center" vertical="center"/>
    </xf>
    <xf numFmtId="176" fontId="29" fillId="2" borderId="7" xfId="2450" applyNumberFormat="1" applyFont="1" applyFill="1" applyBorder="1" applyAlignment="1">
      <alignment horizontal="center" vertical="center"/>
    </xf>
    <xf numFmtId="176" fontId="29" fillId="2" borderId="34" xfId="2450" applyNumberFormat="1" applyFont="1" applyFill="1" applyBorder="1" applyAlignment="1">
      <alignment horizontal="center" vertical="center"/>
    </xf>
    <xf numFmtId="176" fontId="29" fillId="2" borderId="53" xfId="2450" applyNumberFormat="1" applyFont="1" applyFill="1" applyBorder="1" applyAlignment="1">
      <alignment horizontal="center" vertical="center"/>
    </xf>
    <xf numFmtId="176" fontId="29" fillId="2" borderId="116" xfId="2450" applyNumberFormat="1" applyFont="1" applyFill="1" applyBorder="1" applyAlignment="1">
      <alignment horizontal="center" vertical="center"/>
    </xf>
    <xf numFmtId="176" fontId="29" fillId="2" borderId="115" xfId="2450" applyNumberFormat="1" applyFont="1" applyFill="1" applyBorder="1" applyAlignment="1">
      <alignment horizontal="center" vertical="center"/>
    </xf>
    <xf numFmtId="176" fontId="29" fillId="2" borderId="75" xfId="2450" applyNumberFormat="1" applyFont="1" applyFill="1" applyBorder="1" applyAlignment="1">
      <alignment horizontal="center" vertical="center"/>
    </xf>
    <xf numFmtId="176" fontId="29" fillId="2" borderId="76" xfId="2450" applyNumberFormat="1" applyFont="1" applyFill="1" applyBorder="1" applyAlignment="1">
      <alignment horizontal="center" vertical="center"/>
    </xf>
    <xf numFmtId="176" fontId="29" fillId="2" borderId="33" xfId="2450" applyNumberFormat="1" applyFont="1" applyFill="1" applyBorder="1" applyAlignment="1">
      <alignment horizontal="center" vertical="center"/>
    </xf>
    <xf numFmtId="176" fontId="29" fillId="2" borderId="48" xfId="2450" applyNumberFormat="1" applyFont="1" applyFill="1" applyBorder="1" applyAlignment="1">
      <alignment horizontal="center" vertical="center"/>
    </xf>
    <xf numFmtId="176" fontId="29" fillId="2" borderId="10" xfId="2450" applyNumberFormat="1" applyFont="1" applyFill="1" applyBorder="1" applyAlignment="1">
      <alignment horizontal="center" vertical="center"/>
    </xf>
    <xf numFmtId="176" fontId="29" fillId="2" borderId="104" xfId="2450" applyNumberFormat="1" applyFont="1" applyFill="1" applyBorder="1" applyAlignment="1">
      <alignment horizontal="center" vertical="center"/>
    </xf>
    <xf numFmtId="176" fontId="29" fillId="2" borderId="156" xfId="2450" applyNumberFormat="1" applyFont="1" applyFill="1" applyBorder="1" applyAlignment="1">
      <alignment horizontal="center" vertical="center"/>
    </xf>
    <xf numFmtId="176" fontId="29" fillId="2" borderId="74" xfId="2450" applyNumberFormat="1" applyFont="1" applyFill="1" applyBorder="1" applyAlignment="1">
      <alignment horizontal="center" vertical="center"/>
    </xf>
    <xf numFmtId="176" fontId="29" fillId="2" borderId="59" xfId="2450" applyNumberFormat="1" applyFont="1" applyFill="1" applyBorder="1" applyAlignment="1">
      <alignment horizontal="center" vertical="center"/>
    </xf>
    <xf numFmtId="176" fontId="29" fillId="2" borderId="73" xfId="2450" applyNumberFormat="1" applyFont="1" applyFill="1" applyBorder="1" applyAlignment="1">
      <alignment horizontal="center" vertical="center"/>
    </xf>
    <xf numFmtId="176" fontId="29" fillId="2" borderId="77" xfId="2450" applyNumberFormat="1" applyFont="1" applyFill="1" applyBorder="1" applyAlignment="1">
      <alignment horizontal="center" vertical="center"/>
    </xf>
    <xf numFmtId="176" fontId="29" fillId="2" borderId="58" xfId="2450" applyNumberFormat="1" applyFont="1" applyFill="1" applyBorder="1" applyAlignment="1">
      <alignment horizontal="center" vertical="center"/>
    </xf>
    <xf numFmtId="176" fontId="29" fillId="2" borderId="21" xfId="2450" applyNumberFormat="1" applyFont="1" applyFill="1" applyBorder="1" applyAlignment="1">
      <alignment horizontal="center" vertical="center"/>
    </xf>
    <xf numFmtId="176" fontId="29" fillId="2" borderId="46" xfId="2450" applyNumberFormat="1" applyFont="1" applyFill="1" applyBorder="1" applyAlignment="1">
      <alignment horizontal="center" vertical="center"/>
    </xf>
    <xf numFmtId="176" fontId="29" fillId="2" borderId="8" xfId="2450" applyNumberFormat="1" applyFont="1" applyFill="1" applyBorder="1" applyAlignment="1">
      <alignment horizontal="center" vertical="center"/>
    </xf>
    <xf numFmtId="176" fontId="29" fillId="2" borderId="44" xfId="2450" applyNumberFormat="1" applyFont="1" applyFill="1" applyBorder="1" applyAlignment="1">
      <alignment horizontal="center" vertical="center"/>
    </xf>
    <xf numFmtId="176" fontId="29" fillId="2" borderId="155" xfId="2450" applyNumberFormat="1" applyFont="1" applyFill="1" applyBorder="1" applyAlignment="1">
      <alignment horizontal="center" vertical="center"/>
    </xf>
    <xf numFmtId="176" fontId="29" fillId="2" borderId="70" xfId="2450" applyNumberFormat="1" applyFont="1" applyFill="1" applyBorder="1" applyAlignment="1">
      <alignment horizontal="center" vertical="center"/>
    </xf>
    <xf numFmtId="176" fontId="29" fillId="2" borderId="71" xfId="2450" applyNumberFormat="1" applyFont="1" applyFill="1" applyBorder="1" applyAlignment="1">
      <alignment horizontal="center" vertical="center"/>
    </xf>
    <xf numFmtId="176" fontId="29" fillId="2" borderId="69" xfId="2450" applyNumberFormat="1" applyFont="1" applyFill="1" applyBorder="1" applyAlignment="1">
      <alignment horizontal="center" vertical="center"/>
    </xf>
    <xf numFmtId="176" fontId="29" fillId="2" borderId="11" xfId="2450" applyNumberFormat="1" applyFont="1" applyFill="1" applyBorder="1" applyAlignment="1">
      <alignment horizontal="center" vertical="center"/>
    </xf>
    <xf numFmtId="176" fontId="29" fillId="2" borderId="19" xfId="2450" applyNumberFormat="1" applyFont="1" applyFill="1" applyBorder="1" applyAlignment="1">
      <alignment horizontal="center" vertical="center"/>
    </xf>
    <xf numFmtId="176" fontId="29" fillId="2" borderId="4" xfId="2450" applyNumberFormat="1" applyFont="1" applyFill="1" applyBorder="1" applyAlignment="1">
      <alignment horizontal="center" vertical="center"/>
    </xf>
    <xf numFmtId="176" fontId="29" fillId="2" borderId="102" xfId="2450" applyNumberFormat="1" applyFont="1" applyFill="1" applyBorder="1" applyAlignment="1">
      <alignment horizontal="center" vertical="center"/>
    </xf>
    <xf numFmtId="176" fontId="29" fillId="2" borderId="72" xfId="2450" applyNumberFormat="1" applyFont="1" applyFill="1" applyBorder="1" applyAlignment="1">
      <alignment horizontal="center" vertical="center"/>
    </xf>
    <xf numFmtId="176" fontId="29" fillId="3" borderId="27" xfId="2450" applyNumberFormat="1" applyFont="1" applyFill="1" applyBorder="1" applyAlignment="1">
      <alignment horizontal="center" vertical="center" wrapText="1"/>
    </xf>
    <xf numFmtId="176" fontId="29" fillId="3" borderId="65" xfId="2450" applyNumberFormat="1" applyFont="1" applyFill="1" applyBorder="1" applyAlignment="1">
      <alignment horizontal="center" vertical="center" wrapText="1"/>
    </xf>
    <xf numFmtId="176" fontId="29" fillId="3" borderId="54" xfId="2450" applyNumberFormat="1" applyFont="1" applyFill="1" applyBorder="1" applyAlignment="1">
      <alignment horizontal="center" vertical="center" wrapText="1"/>
    </xf>
    <xf numFmtId="176" fontId="29" fillId="3" borderId="50" xfId="2450" applyNumberFormat="1" applyFont="1" applyFill="1" applyBorder="1" applyAlignment="1">
      <alignment horizontal="center" vertical="center" wrapText="1"/>
    </xf>
    <xf numFmtId="9" fontId="29" fillId="3" borderId="55" xfId="2450" applyNumberFormat="1" applyFont="1" applyFill="1" applyBorder="1" applyAlignment="1">
      <alignment horizontal="center" vertical="center"/>
    </xf>
    <xf numFmtId="9" fontId="29" fillId="3" borderId="65" xfId="2450" applyNumberFormat="1" applyFont="1" applyFill="1" applyBorder="1" applyAlignment="1">
      <alignment horizontal="center" vertical="center"/>
    </xf>
    <xf numFmtId="176" fontId="29" fillId="3" borderId="55" xfId="2450" applyNumberFormat="1" applyFont="1" applyFill="1" applyBorder="1" applyAlignment="1">
      <alignment horizontal="center" vertical="center"/>
    </xf>
    <xf numFmtId="176" fontId="29" fillId="3" borderId="54" xfId="2450" applyNumberFormat="1" applyFont="1" applyFill="1" applyBorder="1" applyAlignment="1">
      <alignment horizontal="center" vertical="center"/>
    </xf>
    <xf numFmtId="176" fontId="29" fillId="3" borderId="65" xfId="2450" applyNumberFormat="1" applyFont="1" applyFill="1" applyBorder="1" applyAlignment="1">
      <alignment horizontal="center" vertical="center"/>
    </xf>
    <xf numFmtId="9" fontId="29" fillId="3" borderId="54" xfId="2450" applyNumberFormat="1" applyFont="1" applyFill="1" applyBorder="1" applyAlignment="1">
      <alignment horizontal="center" vertical="center"/>
    </xf>
    <xf numFmtId="0" fontId="28" fillId="4" borderId="17" xfId="2450" applyFont="1" applyFill="1" applyBorder="1" applyAlignment="1">
      <alignment horizontal="center" vertical="center"/>
    </xf>
    <xf numFmtId="0" fontId="28" fillId="4" borderId="13" xfId="2450" applyFont="1" applyFill="1" applyBorder="1" applyAlignment="1">
      <alignment horizontal="center" vertical="center"/>
    </xf>
    <xf numFmtId="0" fontId="28" fillId="4" borderId="18" xfId="2450" applyFont="1" applyFill="1" applyBorder="1" applyAlignment="1">
      <alignment horizontal="center" vertical="center"/>
    </xf>
    <xf numFmtId="176" fontId="29" fillId="2" borderId="9" xfId="2450" applyNumberFormat="1" applyFont="1" applyFill="1" applyBorder="1" applyAlignment="1">
      <alignment horizontal="center" vertical="center"/>
    </xf>
    <xf numFmtId="176" fontId="29" fillId="2" borderId="31" xfId="2450" applyNumberFormat="1" applyFont="1" applyFill="1" applyBorder="1" applyAlignment="1">
      <alignment horizontal="center" vertical="center"/>
    </xf>
    <xf numFmtId="176" fontId="28" fillId="3" borderId="30" xfId="2450" applyNumberFormat="1" applyFont="1" applyFill="1" applyBorder="1" applyAlignment="1">
      <alignment horizontal="center" vertical="center" wrapText="1"/>
    </xf>
    <xf numFmtId="176" fontId="28" fillId="3" borderId="23" xfId="2450" applyNumberFormat="1" applyFont="1" applyFill="1" applyBorder="1" applyAlignment="1">
      <alignment horizontal="center" vertical="center" wrapText="1"/>
    </xf>
    <xf numFmtId="176" fontId="28" fillId="3" borderId="14" xfId="2450" applyNumberFormat="1" applyFont="1" applyFill="1" applyBorder="1" applyAlignment="1">
      <alignment horizontal="center" vertical="center" wrapText="1"/>
    </xf>
    <xf numFmtId="176" fontId="29" fillId="3" borderId="23" xfId="2450" applyNumberFormat="1" applyFont="1" applyFill="1" applyBorder="1" applyAlignment="1">
      <alignment horizontal="center" vertical="center" wrapText="1"/>
    </xf>
    <xf numFmtId="176" fontId="29" fillId="2" borderId="66" xfId="2450" applyNumberFormat="1" applyFont="1" applyFill="1" applyBorder="1" applyAlignment="1">
      <alignment horizontal="center" vertical="center"/>
    </xf>
    <xf numFmtId="176" fontId="29" fillId="2" borderId="154" xfId="2450" applyNumberFormat="1" applyFont="1" applyFill="1" applyBorder="1" applyAlignment="1">
      <alignment horizontal="center" vertical="center"/>
    </xf>
    <xf numFmtId="176" fontId="29" fillId="2" borderId="12" xfId="2450" applyNumberFormat="1" applyFont="1" applyFill="1" applyBorder="1" applyAlignment="1">
      <alignment horizontal="center" vertical="center"/>
    </xf>
    <xf numFmtId="176" fontId="29" fillId="2" borderId="25" xfId="2450" applyNumberFormat="1" applyFont="1" applyFill="1" applyBorder="1" applyAlignment="1">
      <alignment horizontal="center" vertical="center"/>
    </xf>
    <xf numFmtId="176" fontId="29" fillId="2" borderId="60" xfId="2450" applyNumberFormat="1" applyFont="1" applyFill="1" applyBorder="1" applyAlignment="1">
      <alignment horizontal="center" vertical="center"/>
    </xf>
    <xf numFmtId="176" fontId="29" fillId="2" borderId="129" xfId="2450" applyNumberFormat="1" applyFont="1" applyFill="1" applyBorder="1" applyAlignment="1">
      <alignment horizontal="center" vertical="center"/>
    </xf>
    <xf numFmtId="176" fontId="29" fillId="2" borderId="130" xfId="2450" applyNumberFormat="1" applyFont="1" applyFill="1" applyBorder="1" applyAlignment="1">
      <alignment horizontal="center" vertical="center"/>
    </xf>
    <xf numFmtId="0" fontId="29" fillId="2" borderId="10" xfId="0" applyFont="1" applyFill="1" applyBorder="1" applyAlignment="1">
      <alignment horizontal="center" vertical="center"/>
    </xf>
    <xf numFmtId="0" fontId="29" fillId="2" borderId="45" xfId="0" applyFont="1" applyFill="1" applyBorder="1" applyAlignment="1">
      <alignment horizontal="center" vertical="center"/>
    </xf>
    <xf numFmtId="0" fontId="29" fillId="2" borderId="47" xfId="0" applyFont="1" applyFill="1" applyBorder="1" applyAlignment="1">
      <alignment horizontal="center" vertical="center"/>
    </xf>
    <xf numFmtId="0" fontId="29" fillId="2" borderId="34" xfId="0" applyFont="1" applyFill="1" applyBorder="1" applyAlignment="1">
      <alignment horizontal="center" vertical="center"/>
    </xf>
    <xf numFmtId="0" fontId="29" fillId="2" borderId="0" xfId="0" applyFont="1" applyFill="1" applyBorder="1" applyAlignment="1">
      <alignment horizontal="center" vertical="center"/>
    </xf>
    <xf numFmtId="0" fontId="29" fillId="2" borderId="39" xfId="0" applyFont="1" applyFill="1" applyBorder="1" applyAlignment="1">
      <alignment horizontal="center" vertical="center"/>
    </xf>
    <xf numFmtId="0" fontId="29" fillId="2" borderId="44" xfId="0" applyFont="1" applyFill="1" applyBorder="1" applyAlignment="1">
      <alignment horizontal="center" vertical="center"/>
    </xf>
    <xf numFmtId="0" fontId="29" fillId="2" borderId="49" xfId="0" applyFont="1" applyFill="1" applyBorder="1" applyAlignment="1">
      <alignment horizontal="center" vertical="center"/>
    </xf>
    <xf numFmtId="0" fontId="29" fillId="3" borderId="30" xfId="0" applyFont="1" applyFill="1" applyBorder="1" applyAlignment="1">
      <alignment horizontal="center" vertical="center"/>
    </xf>
    <xf numFmtId="0" fontId="29" fillId="3" borderId="23" xfId="0" applyFont="1" applyFill="1" applyBorder="1" applyAlignment="1">
      <alignment horizontal="center" vertical="center"/>
    </xf>
    <xf numFmtId="0" fontId="29" fillId="3" borderId="14" xfId="0" applyFont="1" applyFill="1" applyBorder="1" applyAlignment="1">
      <alignment horizontal="center" vertical="center"/>
    </xf>
    <xf numFmtId="0" fontId="29" fillId="3" borderId="78" xfId="0" applyFont="1" applyFill="1" applyBorder="1" applyAlignment="1">
      <alignment horizontal="center" vertical="center"/>
    </xf>
    <xf numFmtId="0" fontId="29" fillId="3" borderId="8" xfId="0" applyFont="1" applyFill="1" applyBorder="1" applyAlignment="1">
      <alignment horizontal="center" vertical="center"/>
    </xf>
    <xf numFmtId="0" fontId="29" fillId="0" borderId="10" xfId="0" applyFont="1" applyFill="1" applyBorder="1" applyAlignment="1">
      <alignment horizontal="center" vertical="center"/>
    </xf>
    <xf numFmtId="0" fontId="29" fillId="0" borderId="45" xfId="0" applyFont="1" applyFill="1" applyBorder="1" applyAlignment="1">
      <alignment horizontal="center" vertical="center"/>
    </xf>
    <xf numFmtId="0" fontId="29" fillId="0" borderId="46" xfId="0" applyFont="1" applyFill="1" applyBorder="1" applyAlignment="1">
      <alignment horizontal="center" vertical="center"/>
    </xf>
    <xf numFmtId="0" fontId="29" fillId="0" borderId="44" xfId="0" applyFont="1" applyFill="1" applyBorder="1" applyAlignment="1">
      <alignment horizontal="center" vertical="center"/>
    </xf>
    <xf numFmtId="0" fontId="29" fillId="0" borderId="49" xfId="0" applyFont="1" applyFill="1" applyBorder="1" applyAlignment="1">
      <alignment horizontal="center" vertical="center"/>
    </xf>
    <xf numFmtId="0" fontId="29" fillId="0" borderId="8" xfId="0" applyFont="1" applyFill="1" applyBorder="1" applyAlignment="1">
      <alignment horizontal="center" vertical="center"/>
    </xf>
    <xf numFmtId="0" fontId="29" fillId="2" borderId="12" xfId="0" applyFont="1" applyFill="1" applyBorder="1" applyAlignment="1">
      <alignment horizontal="center" vertical="center"/>
    </xf>
    <xf numFmtId="0" fontId="29" fillId="2" borderId="25" xfId="0" applyFont="1" applyFill="1" applyBorder="1" applyAlignment="1">
      <alignment horizontal="center" vertical="center"/>
    </xf>
    <xf numFmtId="0" fontId="29" fillId="2" borderId="58" xfId="0" applyFont="1" applyFill="1" applyBorder="1" applyAlignment="1">
      <alignment horizontal="center" vertical="center"/>
    </xf>
    <xf numFmtId="0" fontId="29" fillId="3" borderId="19" xfId="0" applyFont="1" applyFill="1" applyBorder="1" applyAlignment="1">
      <alignment horizontal="center" vertical="center"/>
    </xf>
    <xf numFmtId="0" fontId="29" fillId="3" borderId="4" xfId="0" applyFont="1" applyFill="1" applyBorder="1" applyAlignment="1">
      <alignment horizontal="center" vertical="center"/>
    </xf>
    <xf numFmtId="0" fontId="29" fillId="0" borderId="6" xfId="0" applyFont="1" applyBorder="1" applyAlignment="1">
      <alignment horizontal="center" vertical="center"/>
    </xf>
    <xf numFmtId="0" fontId="29" fillId="0" borderId="3" xfId="0" applyFont="1" applyBorder="1" applyAlignment="1">
      <alignment horizontal="center" vertical="center"/>
    </xf>
    <xf numFmtId="0" fontId="29" fillId="0" borderId="9" xfId="0" applyFont="1" applyBorder="1" applyAlignment="1">
      <alignment horizontal="center" vertical="center"/>
    </xf>
    <xf numFmtId="0" fontId="29" fillId="0" borderId="4" xfId="0" applyFont="1" applyFill="1" applyBorder="1" applyAlignment="1">
      <alignment horizontal="center" vertical="center"/>
    </xf>
    <xf numFmtId="0" fontId="29" fillId="0" borderId="11" xfId="0" applyFont="1" applyFill="1" applyBorder="1" applyAlignment="1">
      <alignment horizontal="center" vertical="center"/>
    </xf>
    <xf numFmtId="0" fontId="29" fillId="3" borderId="15" xfId="0" applyFont="1" applyFill="1" applyBorder="1" applyAlignment="1">
      <alignment horizontal="center" vertical="center"/>
    </xf>
    <xf numFmtId="0" fontId="29" fillId="3" borderId="7" xfId="0" applyFont="1" applyFill="1" applyBorder="1" applyAlignment="1">
      <alignment horizontal="center" vertical="center"/>
    </xf>
    <xf numFmtId="0" fontId="29" fillId="0" borderId="24" xfId="0" applyFont="1" applyBorder="1" applyAlignment="1">
      <alignment horizontal="center" vertical="center"/>
    </xf>
    <xf numFmtId="0" fontId="29" fillId="0" borderId="56" xfId="0" applyFont="1" applyBorder="1" applyAlignment="1">
      <alignment horizontal="center" vertical="center"/>
    </xf>
    <xf numFmtId="0" fontId="29" fillId="0" borderId="22" xfId="0" applyFont="1" applyBorder="1" applyAlignment="1">
      <alignment horizontal="center" vertical="center"/>
    </xf>
    <xf numFmtId="0" fontId="29" fillId="0" borderId="7" xfId="0" applyFont="1" applyFill="1" applyBorder="1" applyAlignment="1">
      <alignment horizontal="center" vertical="center"/>
    </xf>
    <xf numFmtId="0" fontId="29" fillId="0" borderId="16" xfId="0" applyFont="1" applyFill="1" applyBorder="1" applyAlignment="1">
      <alignment horizontal="center" vertical="center"/>
    </xf>
    <xf numFmtId="0" fontId="29" fillId="3" borderId="28" xfId="0" applyFont="1" applyFill="1" applyBorder="1" applyAlignment="1">
      <alignment horizontal="center" vertical="center"/>
    </xf>
    <xf numFmtId="0" fontId="29" fillId="3" borderId="29" xfId="0" applyFont="1" applyFill="1" applyBorder="1" applyAlignment="1">
      <alignment horizontal="center" vertical="center"/>
    </xf>
    <xf numFmtId="0" fontId="29" fillId="2" borderId="46" xfId="0" applyFont="1" applyFill="1" applyBorder="1" applyAlignment="1">
      <alignment horizontal="center" vertical="center"/>
    </xf>
    <xf numFmtId="0" fontId="29" fillId="2" borderId="8" xfId="0" applyFont="1" applyFill="1" applyBorder="1" applyAlignment="1">
      <alignment horizontal="center" vertical="center"/>
    </xf>
    <xf numFmtId="0" fontId="29" fillId="3" borderId="6" xfId="0" applyFont="1" applyFill="1" applyBorder="1" applyAlignment="1">
      <alignment horizontal="center" vertical="center"/>
    </xf>
    <xf numFmtId="0" fontId="29" fillId="3" borderId="3" xfId="0" applyFont="1" applyFill="1" applyBorder="1" applyAlignment="1">
      <alignment horizontal="center" vertical="center"/>
    </xf>
    <xf numFmtId="0" fontId="29" fillId="3" borderId="9" xfId="0" applyFont="1" applyFill="1" applyBorder="1" applyAlignment="1">
      <alignment horizontal="center" vertical="center"/>
    </xf>
    <xf numFmtId="0" fontId="29" fillId="2" borderId="12" xfId="0" applyFont="1" applyFill="1" applyBorder="1" applyAlignment="1">
      <alignment vertical="center"/>
    </xf>
    <xf numFmtId="0" fontId="29" fillId="3" borderId="35" xfId="0" applyFont="1" applyFill="1" applyBorder="1" applyAlignment="1">
      <alignment horizontal="center" vertical="center" wrapText="1"/>
    </xf>
    <xf numFmtId="0" fontId="29" fillId="3" borderId="45" xfId="0" applyFont="1" applyFill="1" applyBorder="1" applyAlignment="1">
      <alignment horizontal="center" vertical="center"/>
    </xf>
    <xf numFmtId="0" fontId="29" fillId="3" borderId="38" xfId="0" applyFont="1" applyFill="1" applyBorder="1" applyAlignment="1">
      <alignment horizontal="center" vertical="center"/>
    </xf>
    <xf numFmtId="0" fontId="29" fillId="3" borderId="0" xfId="0" applyFont="1" applyFill="1" applyBorder="1" applyAlignment="1">
      <alignment horizontal="center" vertical="center"/>
    </xf>
    <xf numFmtId="0" fontId="29" fillId="3" borderId="49" xfId="0" applyFont="1" applyFill="1" applyBorder="1" applyAlignment="1">
      <alignment horizontal="center" vertical="center"/>
    </xf>
    <xf numFmtId="0" fontId="92" fillId="2" borderId="44" xfId="0" applyFont="1" applyFill="1" applyBorder="1" applyAlignment="1">
      <alignment vertical="center"/>
    </xf>
    <xf numFmtId="0" fontId="92" fillId="2" borderId="49" xfId="0" applyFont="1" applyFill="1" applyBorder="1" applyAlignment="1">
      <alignment vertical="center"/>
    </xf>
    <xf numFmtId="0" fontId="92" fillId="2" borderId="8" xfId="0" applyFont="1" applyFill="1" applyBorder="1" applyAlignment="1">
      <alignment vertical="center"/>
    </xf>
    <xf numFmtId="0" fontId="29" fillId="2" borderId="31" xfId="0" applyFont="1" applyFill="1" applyBorder="1" applyAlignment="1">
      <alignment vertical="center"/>
    </xf>
    <xf numFmtId="0" fontId="92" fillId="0" borderId="34" xfId="0" applyFont="1" applyFill="1" applyBorder="1" applyAlignment="1">
      <alignment vertical="center"/>
    </xf>
    <xf numFmtId="0" fontId="92" fillId="0" borderId="0" xfId="0" applyFont="1" applyFill="1" applyBorder="1" applyAlignment="1">
      <alignment vertical="center"/>
    </xf>
    <xf numFmtId="0" fontId="92" fillId="0" borderId="33" xfId="0" applyFont="1" applyFill="1" applyBorder="1" applyAlignment="1">
      <alignment vertical="center"/>
    </xf>
    <xf numFmtId="0" fontId="103" fillId="3" borderId="15" xfId="0" applyFont="1" applyFill="1" applyBorder="1" applyAlignment="1">
      <alignment horizontal="center" vertical="center"/>
    </xf>
    <xf numFmtId="0" fontId="103" fillId="3" borderId="7" xfId="0" applyFont="1" applyFill="1" applyBorder="1" applyAlignment="1">
      <alignment horizontal="center" vertical="center"/>
    </xf>
    <xf numFmtId="0" fontId="30" fillId="0" borderId="24" xfId="0" applyFont="1" applyBorder="1" applyAlignment="1">
      <alignment horizontal="center" vertical="center"/>
    </xf>
    <xf numFmtId="0" fontId="30" fillId="0" borderId="56" xfId="0" applyFont="1" applyBorder="1" applyAlignment="1">
      <alignment horizontal="center" vertical="center"/>
    </xf>
    <xf numFmtId="0" fontId="30" fillId="0" borderId="5" xfId="0" applyFont="1" applyBorder="1" applyAlignment="1">
      <alignment horizontal="center" vertical="center"/>
    </xf>
    <xf numFmtId="0" fontId="30" fillId="0" borderId="32" xfId="0" applyFont="1" applyBorder="1" applyAlignment="1">
      <alignment horizontal="center" vertical="center"/>
    </xf>
    <xf numFmtId="0" fontId="29" fillId="0" borderId="6" xfId="0" applyFont="1" applyFill="1" applyBorder="1" applyAlignment="1">
      <alignment horizontal="center" vertical="center"/>
    </xf>
    <xf numFmtId="0" fontId="29" fillId="0" borderId="0" xfId="0" applyFont="1" applyFill="1" applyBorder="1" applyAlignment="1">
      <alignment horizontal="center" vertical="center"/>
    </xf>
    <xf numFmtId="0" fontId="29" fillId="0" borderId="58" xfId="0" applyFont="1" applyFill="1" applyBorder="1" applyAlignment="1">
      <alignment horizontal="center" vertical="center"/>
    </xf>
    <xf numFmtId="0" fontId="29" fillId="3" borderId="34" xfId="0" applyFont="1" applyFill="1" applyBorder="1" applyAlignment="1">
      <alignment horizontal="center" vertical="center"/>
    </xf>
    <xf numFmtId="0" fontId="29" fillId="3" borderId="34" xfId="0" quotePrefix="1" applyFont="1" applyFill="1" applyBorder="1" applyAlignment="1">
      <alignment horizontal="center" vertical="center"/>
    </xf>
    <xf numFmtId="0" fontId="29" fillId="3" borderId="33" xfId="0" applyFont="1" applyFill="1" applyBorder="1" applyAlignment="1">
      <alignment horizontal="center" vertical="center"/>
    </xf>
    <xf numFmtId="0" fontId="29" fillId="3" borderId="40" xfId="0" applyFont="1" applyFill="1" applyBorder="1" applyAlignment="1">
      <alignment horizontal="center" vertical="center"/>
    </xf>
    <xf numFmtId="0" fontId="29" fillId="3" borderId="48" xfId="0" applyFont="1" applyFill="1" applyBorder="1" applyAlignment="1">
      <alignment horizontal="center" vertical="center"/>
    </xf>
    <xf numFmtId="0" fontId="29" fillId="2" borderId="10" xfId="0" applyFont="1" applyFill="1" applyBorder="1" applyAlignment="1">
      <alignment horizontal="left" vertical="center" wrapText="1"/>
    </xf>
    <xf numFmtId="0" fontId="29" fillId="2" borderId="45" xfId="0" applyFont="1" applyFill="1" applyBorder="1" applyAlignment="1">
      <alignment horizontal="left" vertical="center" wrapText="1"/>
    </xf>
    <xf numFmtId="0" fontId="29" fillId="2" borderId="46" xfId="0" applyFont="1" applyFill="1" applyBorder="1" applyAlignment="1">
      <alignment horizontal="left" vertical="center" wrapText="1"/>
    </xf>
    <xf numFmtId="0" fontId="29" fillId="2" borderId="34" xfId="0" applyFont="1" applyFill="1" applyBorder="1" applyAlignment="1">
      <alignment horizontal="left" vertical="center" wrapText="1"/>
    </xf>
    <xf numFmtId="0" fontId="29" fillId="2" borderId="0" xfId="0" applyFont="1" applyFill="1" applyBorder="1" applyAlignment="1">
      <alignment horizontal="left" vertical="center" wrapText="1"/>
    </xf>
    <xf numFmtId="0" fontId="29" fillId="2" borderId="33" xfId="0" applyFont="1" applyFill="1" applyBorder="1" applyAlignment="1">
      <alignment horizontal="left" vertical="center" wrapText="1"/>
    </xf>
    <xf numFmtId="0" fontId="29" fillId="2" borderId="53" xfId="0" applyFont="1" applyFill="1" applyBorder="1" applyAlignment="1">
      <alignment horizontal="left" vertical="center" wrapText="1"/>
    </xf>
    <xf numFmtId="0" fontId="29" fillId="2" borderId="5" xfId="0" applyFont="1" applyFill="1" applyBorder="1" applyAlignment="1">
      <alignment horizontal="left" vertical="center" wrapText="1"/>
    </xf>
    <xf numFmtId="0" fontId="29" fillId="2" borderId="48" xfId="0" applyFont="1" applyFill="1" applyBorder="1" applyAlignment="1">
      <alignment horizontal="left" vertical="center" wrapText="1"/>
    </xf>
    <xf numFmtId="0" fontId="29" fillId="3" borderId="0" xfId="0" quotePrefix="1" applyFont="1" applyFill="1" applyBorder="1" applyAlignment="1">
      <alignment horizontal="center" vertical="center"/>
    </xf>
    <xf numFmtId="0" fontId="29" fillId="2" borderId="13" xfId="0" applyFont="1" applyFill="1" applyBorder="1" applyAlignment="1">
      <alignment vertical="center"/>
    </xf>
    <xf numFmtId="0" fontId="29" fillId="0" borderId="3" xfId="0" applyFont="1" applyFill="1" applyBorder="1" applyAlignment="1">
      <alignment horizontal="center" vertical="center"/>
    </xf>
    <xf numFmtId="0" fontId="29" fillId="0" borderId="20" xfId="0" applyFont="1" applyFill="1" applyBorder="1" applyAlignment="1">
      <alignment horizontal="center" vertical="center"/>
    </xf>
    <xf numFmtId="0" fontId="29" fillId="3" borderId="53" xfId="0" quotePrefix="1" applyFont="1" applyFill="1" applyBorder="1" applyAlignment="1">
      <alignment horizontal="center" vertical="center"/>
    </xf>
    <xf numFmtId="0" fontId="29" fillId="3" borderId="24" xfId="0" applyFont="1" applyFill="1" applyBorder="1" applyAlignment="1">
      <alignment horizontal="center" vertical="center"/>
    </xf>
    <xf numFmtId="176" fontId="29" fillId="2" borderId="6" xfId="0" applyNumberFormat="1" applyFont="1" applyFill="1" applyBorder="1" applyAlignment="1">
      <alignment horizontal="center" vertical="center"/>
    </xf>
    <xf numFmtId="176" fontId="29" fillId="2" borderId="24" xfId="0" applyNumberFormat="1" applyFont="1" applyFill="1" applyBorder="1" applyAlignment="1">
      <alignment horizontal="center" vertical="center"/>
    </xf>
    <xf numFmtId="176" fontId="37" fillId="4" borderId="36" xfId="0" applyNumberFormat="1" applyFont="1" applyFill="1" applyBorder="1" applyAlignment="1">
      <alignment horizontal="center" vertical="center"/>
    </xf>
    <xf numFmtId="176" fontId="37" fillId="4" borderId="20" xfId="0" applyNumberFormat="1" applyFont="1" applyFill="1" applyBorder="1" applyAlignment="1">
      <alignment horizontal="center" vertical="center"/>
    </xf>
    <xf numFmtId="176" fontId="29" fillId="2" borderId="9" xfId="0" applyNumberFormat="1" applyFont="1" applyFill="1" applyBorder="1" applyAlignment="1">
      <alignment horizontal="center" vertical="center"/>
    </xf>
    <xf numFmtId="176" fontId="29" fillId="2" borderId="22" xfId="0" applyNumberFormat="1" applyFont="1" applyFill="1" applyBorder="1" applyAlignment="1">
      <alignment horizontal="center" vertical="center"/>
    </xf>
    <xf numFmtId="176" fontId="29" fillId="2" borderId="4" xfId="0" applyNumberFormat="1" applyFont="1" applyFill="1" applyBorder="1" applyAlignment="1">
      <alignment horizontal="center" vertical="center"/>
    </xf>
    <xf numFmtId="176" fontId="29" fillId="2" borderId="7" xfId="0" applyNumberFormat="1" applyFont="1" applyFill="1" applyBorder="1" applyAlignment="1">
      <alignment horizontal="center" vertical="center"/>
    </xf>
    <xf numFmtId="176" fontId="29" fillId="2" borderId="12" xfId="0" applyNumberFormat="1" applyFont="1" applyFill="1" applyBorder="1" applyAlignment="1">
      <alignment horizontal="center" vertical="center"/>
    </xf>
    <xf numFmtId="176" fontId="29" fillId="2" borderId="26" xfId="0" applyNumberFormat="1" applyFont="1" applyFill="1" applyBorder="1" applyAlignment="1">
      <alignment horizontal="center" vertical="center"/>
    </xf>
    <xf numFmtId="176" fontId="29" fillId="2" borderId="13" xfId="0" applyNumberFormat="1" applyFont="1" applyFill="1" applyBorder="1" applyAlignment="1">
      <alignment horizontal="center" vertical="center"/>
    </xf>
    <xf numFmtId="176" fontId="28" fillId="4" borderId="36" xfId="0" applyNumberFormat="1" applyFont="1" applyFill="1" applyBorder="1" applyAlignment="1">
      <alignment horizontal="center" vertical="center"/>
    </xf>
    <xf numFmtId="176" fontId="28" fillId="4" borderId="20" xfId="0" applyNumberFormat="1" applyFont="1" applyFill="1" applyBorder="1" applyAlignment="1">
      <alignment horizontal="center" vertical="center"/>
    </xf>
    <xf numFmtId="176" fontId="29" fillId="3" borderId="28" xfId="0" applyNumberFormat="1" applyFont="1" applyFill="1" applyBorder="1" applyAlignment="1">
      <alignment horizontal="center" vertical="center"/>
    </xf>
    <xf numFmtId="176" fontId="29" fillId="3" borderId="26" xfId="0" applyNumberFormat="1" applyFont="1" applyFill="1" applyBorder="1" applyAlignment="1">
      <alignment horizontal="center" vertical="center"/>
    </xf>
    <xf numFmtId="176" fontId="28" fillId="4" borderId="55" xfId="0" applyNumberFormat="1" applyFont="1" applyFill="1" applyBorder="1" applyAlignment="1">
      <alignment horizontal="center" vertical="center"/>
    </xf>
    <xf numFmtId="176" fontId="28" fillId="4" borderId="50" xfId="0" applyNumberFormat="1" applyFont="1" applyFill="1" applyBorder="1" applyAlignment="1">
      <alignment horizontal="center" vertical="center"/>
    </xf>
    <xf numFmtId="176" fontId="29" fillId="2" borderId="8" xfId="0" applyNumberFormat="1" applyFont="1" applyFill="1" applyBorder="1" applyAlignment="1">
      <alignment horizontal="center" vertical="center"/>
    </xf>
    <xf numFmtId="176" fontId="28" fillId="3" borderId="55" xfId="0" applyNumberFormat="1" applyFont="1" applyFill="1" applyBorder="1" applyAlignment="1">
      <alignment horizontal="center" vertical="center" wrapText="1"/>
    </xf>
    <xf numFmtId="176" fontId="28" fillId="3" borderId="50" xfId="0" applyNumberFormat="1" applyFont="1" applyFill="1" applyBorder="1" applyAlignment="1">
      <alignment horizontal="center" vertical="center" wrapText="1"/>
    </xf>
    <xf numFmtId="176" fontId="29" fillId="3" borderId="67" xfId="0" applyNumberFormat="1" applyFont="1" applyFill="1" applyBorder="1" applyAlignment="1">
      <alignment horizontal="center" vertical="center" wrapText="1"/>
    </xf>
    <xf numFmtId="0" fontId="27" fillId="3" borderId="48" xfId="0" applyFont="1" applyFill="1" applyBorder="1" applyAlignment="1">
      <alignment vertical="center"/>
    </xf>
    <xf numFmtId="9" fontId="29" fillId="3" borderId="30" xfId="0" applyNumberFormat="1" applyFont="1" applyFill="1" applyBorder="1" applyAlignment="1">
      <alignment horizontal="center" vertical="center"/>
    </xf>
    <xf numFmtId="9" fontId="29" fillId="3" borderId="65" xfId="0" applyNumberFormat="1" applyFont="1" applyFill="1" applyBorder="1" applyAlignment="1">
      <alignment horizontal="center" vertical="center"/>
    </xf>
    <xf numFmtId="9" fontId="29" fillId="3" borderId="23" xfId="0" applyNumberFormat="1" applyFont="1" applyFill="1" applyBorder="1" applyAlignment="1">
      <alignment horizontal="center" vertical="center"/>
    </xf>
    <xf numFmtId="9" fontId="29" fillId="3" borderId="27" xfId="0" applyNumberFormat="1" applyFont="1" applyFill="1" applyBorder="1" applyAlignment="1">
      <alignment horizontal="center" vertical="center"/>
    </xf>
    <xf numFmtId="9" fontId="29" fillId="3" borderId="50" xfId="0" applyNumberFormat="1" applyFont="1" applyFill="1" applyBorder="1" applyAlignment="1">
      <alignment horizontal="center" vertical="center"/>
    </xf>
    <xf numFmtId="176" fontId="29" fillId="3" borderId="65" xfId="0" applyNumberFormat="1" applyFont="1" applyFill="1" applyBorder="1" applyAlignment="1">
      <alignment horizontal="center" vertical="center"/>
    </xf>
    <xf numFmtId="176" fontId="29" fillId="3" borderId="54" xfId="0" applyNumberFormat="1" applyFont="1" applyFill="1" applyBorder="1" applyAlignment="1">
      <alignment horizontal="center" vertical="center"/>
    </xf>
    <xf numFmtId="176" fontId="29" fillId="3" borderId="55" xfId="0" applyNumberFormat="1" applyFont="1" applyFill="1" applyBorder="1" applyAlignment="1">
      <alignment horizontal="center" vertical="center"/>
    </xf>
    <xf numFmtId="9" fontId="29" fillId="3" borderId="55" xfId="0" applyNumberFormat="1" applyFont="1" applyFill="1" applyBorder="1" applyAlignment="1">
      <alignment horizontal="center" vertical="center"/>
    </xf>
    <xf numFmtId="9" fontId="29" fillId="3" borderId="54" xfId="0" applyNumberFormat="1" applyFont="1" applyFill="1" applyBorder="1" applyAlignment="1">
      <alignment horizontal="center" vertical="center"/>
    </xf>
    <xf numFmtId="176" fontId="29" fillId="2" borderId="29" xfId="0" applyNumberFormat="1" applyFont="1" applyFill="1" applyBorder="1" applyAlignment="1">
      <alignment horizontal="center" vertical="center"/>
    </xf>
    <xf numFmtId="176" fontId="29" fillId="2" borderId="18" xfId="0" applyNumberFormat="1" applyFont="1" applyFill="1" applyBorder="1" applyAlignment="1">
      <alignment horizontal="center" vertical="center"/>
    </xf>
    <xf numFmtId="176" fontId="29" fillId="2" borderId="28" xfId="0" applyNumberFormat="1" applyFont="1" applyFill="1" applyBorder="1" applyAlignment="1">
      <alignment horizontal="center" vertical="center"/>
    </xf>
    <xf numFmtId="176" fontId="29" fillId="2" borderId="44" xfId="0" applyNumberFormat="1" applyFont="1" applyFill="1" applyBorder="1" applyAlignment="1">
      <alignment horizontal="center" vertical="center"/>
    </xf>
    <xf numFmtId="0" fontId="29" fillId="0" borderId="12" xfId="0" applyFont="1" applyFill="1" applyBorder="1" applyAlignment="1">
      <alignment horizontal="center" vertical="center"/>
    </xf>
    <xf numFmtId="0" fontId="29" fillId="0" borderId="25" xfId="0" applyFont="1" applyFill="1" applyBorder="1" applyAlignment="1">
      <alignment horizontal="center" vertical="center"/>
    </xf>
    <xf numFmtId="0" fontId="29" fillId="3" borderId="40" xfId="0" applyFont="1" applyFill="1" applyBorder="1" applyAlignment="1">
      <alignment vertical="center"/>
    </xf>
    <xf numFmtId="0" fontId="29" fillId="3" borderId="5" xfId="0" applyFont="1" applyFill="1" applyBorder="1" applyAlignment="1">
      <alignment vertical="center"/>
    </xf>
    <xf numFmtId="0" fontId="29" fillId="0" borderId="10" xfId="0" applyFont="1" applyBorder="1" applyAlignment="1">
      <alignment horizontal="center" vertical="center" wrapText="1"/>
    </xf>
    <xf numFmtId="0" fontId="29" fillId="0" borderId="45" xfId="0" applyFont="1" applyBorder="1" applyAlignment="1">
      <alignment horizontal="center" vertical="center"/>
    </xf>
    <xf numFmtId="0" fontId="29" fillId="0" borderId="46" xfId="0" applyFont="1" applyBorder="1" applyAlignment="1">
      <alignment horizontal="center" vertical="center"/>
    </xf>
    <xf numFmtId="0" fontId="29" fillId="0" borderId="53" xfId="0" applyFont="1" applyBorder="1" applyAlignment="1">
      <alignment horizontal="center" vertical="center"/>
    </xf>
    <xf numFmtId="0" fontId="29" fillId="0" borderId="5" xfId="0" applyFont="1" applyBorder="1" applyAlignment="1">
      <alignment horizontal="center" vertical="center"/>
    </xf>
    <xf numFmtId="0" fontId="29" fillId="0" borderId="48" xfId="0" applyFont="1" applyBorder="1" applyAlignment="1">
      <alignment horizontal="center" vertical="center"/>
    </xf>
    <xf numFmtId="0" fontId="29" fillId="0" borderId="45" xfId="0" applyFont="1" applyBorder="1" applyAlignment="1">
      <alignment horizontal="center" vertical="center" wrapText="1"/>
    </xf>
    <xf numFmtId="0" fontId="29" fillId="0" borderId="47" xfId="0" applyFont="1" applyBorder="1" applyAlignment="1">
      <alignment horizontal="center" vertical="center" wrapText="1"/>
    </xf>
    <xf numFmtId="0" fontId="29" fillId="0" borderId="34" xfId="0" applyFont="1" applyBorder="1" applyAlignment="1">
      <alignment horizontal="center" vertical="center" wrapText="1"/>
    </xf>
    <xf numFmtId="0" fontId="29" fillId="0" borderId="0" xfId="0" applyFont="1" applyBorder="1" applyAlignment="1">
      <alignment horizontal="center" vertical="center" wrapText="1"/>
    </xf>
    <xf numFmtId="0" fontId="29" fillId="0" borderId="39" xfId="0" applyFont="1" applyBorder="1" applyAlignment="1">
      <alignment horizontal="center" vertical="center" wrapText="1"/>
    </xf>
    <xf numFmtId="0" fontId="29" fillId="0" borderId="44" xfId="0" applyFont="1" applyBorder="1" applyAlignment="1">
      <alignment horizontal="center" vertical="center" wrapText="1"/>
    </xf>
    <xf numFmtId="0" fontId="29" fillId="0" borderId="49" xfId="0" applyFont="1" applyBorder="1" applyAlignment="1">
      <alignment horizontal="center" vertical="center" wrapText="1"/>
    </xf>
    <xf numFmtId="0" fontId="29" fillId="0" borderId="58" xfId="0" applyFont="1" applyBorder="1" applyAlignment="1">
      <alignment horizontal="center" vertical="center" wrapText="1"/>
    </xf>
    <xf numFmtId="0" fontId="29" fillId="0" borderId="10" xfId="0" applyFont="1" applyBorder="1" applyAlignment="1">
      <alignment horizontal="left" vertical="center" wrapText="1"/>
    </xf>
    <xf numFmtId="0" fontId="29" fillId="0" borderId="45" xfId="0" applyFont="1" applyBorder="1" applyAlignment="1">
      <alignment horizontal="left" vertical="center" wrapText="1"/>
    </xf>
    <xf numFmtId="0" fontId="29" fillId="0" borderId="47" xfId="0" applyFont="1" applyBorder="1" applyAlignment="1">
      <alignment horizontal="left" vertical="center" wrapText="1"/>
    </xf>
    <xf numFmtId="0" fontId="29" fillId="0" borderId="34" xfId="0" applyFont="1" applyBorder="1" applyAlignment="1">
      <alignment horizontal="left" vertical="center" wrapText="1"/>
    </xf>
    <xf numFmtId="0" fontId="29" fillId="0" borderId="0" xfId="0" applyFont="1" applyBorder="1" applyAlignment="1">
      <alignment horizontal="left" vertical="center" wrapText="1"/>
    </xf>
    <xf numFmtId="0" fontId="29" fillId="0" borderId="39" xfId="0" applyFont="1" applyBorder="1" applyAlignment="1">
      <alignment horizontal="left" vertical="center" wrapText="1"/>
    </xf>
    <xf numFmtId="0" fontId="29" fillId="0" borderId="44" xfId="0" applyFont="1" applyBorder="1" applyAlignment="1">
      <alignment horizontal="left" vertical="center" wrapText="1"/>
    </xf>
    <xf numFmtId="0" fontId="29" fillId="0" borderId="49" xfId="0" applyFont="1" applyBorder="1" applyAlignment="1">
      <alignment horizontal="left" vertical="center" wrapText="1"/>
    </xf>
    <xf numFmtId="0" fontId="29" fillId="0" borderId="58" xfId="0" applyFont="1" applyBorder="1" applyAlignment="1">
      <alignment horizontal="left" vertical="center" wrapText="1"/>
    </xf>
    <xf numFmtId="0" fontId="29" fillId="0" borderId="10" xfId="0" applyFont="1" applyBorder="1" applyAlignment="1">
      <alignment vertical="center" wrapText="1"/>
    </xf>
    <xf numFmtId="0" fontId="29" fillId="0" borderId="45" xfId="0" applyFont="1" applyBorder="1" applyAlignment="1">
      <alignment vertical="center"/>
    </xf>
    <xf numFmtId="0" fontId="29" fillId="0" borderId="46" xfId="0" applyFont="1" applyBorder="1" applyAlignment="1">
      <alignment vertical="center"/>
    </xf>
    <xf numFmtId="0" fontId="29" fillId="0" borderId="34" xfId="0" applyFont="1" applyBorder="1" applyAlignment="1">
      <alignment vertical="center" wrapText="1"/>
    </xf>
    <xf numFmtId="0" fontId="29" fillId="0" borderId="0" xfId="0" applyFont="1" applyBorder="1" applyAlignment="1">
      <alignment vertical="center"/>
    </xf>
    <xf numFmtId="0" fontId="29" fillId="0" borderId="33" xfId="0" applyFont="1" applyBorder="1" applyAlignment="1">
      <alignment vertical="center"/>
    </xf>
    <xf numFmtId="0" fontId="29" fillId="0" borderId="44" xfId="0" applyFont="1" applyBorder="1" applyAlignment="1">
      <alignment vertical="center"/>
    </xf>
    <xf numFmtId="0" fontId="29" fillId="0" borderId="49" xfId="0" applyFont="1" applyBorder="1" applyAlignment="1">
      <alignment vertical="center"/>
    </xf>
    <xf numFmtId="0" fontId="29" fillId="0" borderId="8" xfId="0" applyFont="1" applyBorder="1" applyAlignment="1">
      <alignment vertical="center"/>
    </xf>
    <xf numFmtId="0" fontId="29" fillId="0" borderId="10" xfId="0" applyFont="1" applyFill="1" applyBorder="1" applyAlignment="1">
      <alignment horizontal="center" vertical="center" wrapText="1"/>
    </xf>
    <xf numFmtId="0" fontId="103" fillId="0" borderId="24" xfId="0" applyFont="1" applyBorder="1" applyAlignment="1">
      <alignment horizontal="center" vertical="center"/>
    </xf>
    <xf numFmtId="0" fontId="103" fillId="0" borderId="56" xfId="0" applyFont="1" applyBorder="1" applyAlignment="1">
      <alignment horizontal="center" vertical="center"/>
    </xf>
    <xf numFmtId="0" fontId="103" fillId="0" borderId="21" xfId="0" applyFont="1" applyBorder="1" applyAlignment="1">
      <alignment horizontal="center" vertical="center"/>
    </xf>
    <xf numFmtId="0" fontId="29" fillId="0" borderId="45" xfId="0" applyFont="1" applyFill="1" applyBorder="1" applyAlignment="1">
      <alignment horizontal="center" vertical="center" wrapText="1"/>
    </xf>
    <xf numFmtId="0" fontId="29" fillId="0" borderId="46" xfId="0" applyFont="1" applyFill="1" applyBorder="1" applyAlignment="1">
      <alignment horizontal="center" vertical="center" wrapText="1"/>
    </xf>
    <xf numFmtId="0" fontId="29" fillId="0" borderId="34" xfId="0" applyFont="1" applyFill="1" applyBorder="1" applyAlignment="1">
      <alignment horizontal="center" vertical="center" wrapText="1"/>
    </xf>
    <xf numFmtId="0" fontId="29" fillId="0" borderId="0" xfId="0" applyFont="1" applyFill="1" applyBorder="1" applyAlignment="1">
      <alignment horizontal="center" vertical="center" wrapText="1"/>
    </xf>
    <xf numFmtId="0" fontId="29" fillId="0" borderId="33" xfId="0" applyFont="1" applyFill="1" applyBorder="1" applyAlignment="1">
      <alignment horizontal="center" vertical="center" wrapText="1"/>
    </xf>
    <xf numFmtId="0" fontId="29" fillId="0" borderId="44" xfId="0" applyFont="1" applyFill="1" applyBorder="1" applyAlignment="1">
      <alignment horizontal="center" vertical="center" wrapText="1"/>
    </xf>
    <xf numFmtId="0" fontId="29" fillId="0" borderId="49" xfId="0" applyFont="1" applyFill="1" applyBorder="1" applyAlignment="1">
      <alignment horizontal="center" vertical="center" wrapText="1"/>
    </xf>
    <xf numFmtId="0" fontId="29" fillId="0" borderId="8" xfId="0" applyFont="1" applyFill="1" applyBorder="1" applyAlignment="1">
      <alignment horizontal="center" vertical="center" wrapText="1"/>
    </xf>
    <xf numFmtId="0" fontId="105" fillId="0" borderId="10" xfId="0" applyFont="1" applyFill="1" applyBorder="1" applyAlignment="1">
      <alignment horizontal="center" vertical="center" wrapText="1"/>
    </xf>
    <xf numFmtId="0" fontId="105" fillId="0" borderId="45" xfId="0" applyFont="1" applyFill="1" applyBorder="1" applyAlignment="1">
      <alignment horizontal="center" vertical="center" wrapText="1"/>
    </xf>
    <xf numFmtId="0" fontId="105" fillId="0" borderId="46" xfId="0" applyFont="1" applyFill="1" applyBorder="1" applyAlignment="1">
      <alignment horizontal="center" vertical="center" wrapText="1"/>
    </xf>
    <xf numFmtId="0" fontId="105" fillId="0" borderId="53" xfId="0" applyFont="1" applyFill="1" applyBorder="1" applyAlignment="1">
      <alignment horizontal="center" vertical="center" wrapText="1"/>
    </xf>
    <xf numFmtId="0" fontId="105" fillId="0" borderId="5" xfId="0" applyFont="1" applyFill="1" applyBorder="1" applyAlignment="1">
      <alignment horizontal="center" vertical="center" wrapText="1"/>
    </xf>
    <xf numFmtId="0" fontId="105" fillId="0" borderId="48" xfId="0" applyFont="1" applyFill="1" applyBorder="1" applyAlignment="1">
      <alignment horizontal="center" vertical="center" wrapText="1"/>
    </xf>
    <xf numFmtId="176" fontId="28" fillId="3" borderId="65" xfId="0" applyNumberFormat="1" applyFont="1" applyFill="1" applyBorder="1" applyAlignment="1">
      <alignment horizontal="center" vertical="center" wrapText="1"/>
    </xf>
    <xf numFmtId="176" fontId="29" fillId="3" borderId="28" xfId="2452" applyNumberFormat="1" applyFont="1" applyFill="1" applyBorder="1" applyAlignment="1">
      <alignment horizontal="center" vertical="center"/>
    </xf>
    <xf numFmtId="176" fontId="29" fillId="3" borderId="26" xfId="2452" applyNumberFormat="1" applyFont="1" applyFill="1" applyBorder="1" applyAlignment="1">
      <alignment horizontal="center" vertical="center"/>
    </xf>
    <xf numFmtId="176" fontId="29" fillId="3" borderId="37" xfId="0" applyNumberFormat="1" applyFont="1" applyFill="1" applyBorder="1" applyAlignment="1">
      <alignment horizontal="center" vertical="center"/>
    </xf>
    <xf numFmtId="176" fontId="29" fillId="3" borderId="22" xfId="0" applyNumberFormat="1" applyFont="1" applyFill="1" applyBorder="1" applyAlignment="1">
      <alignment horizontal="center" vertical="center"/>
    </xf>
    <xf numFmtId="177" fontId="29" fillId="3" borderId="36" xfId="2452" applyNumberFormat="1" applyFont="1" applyFill="1" applyBorder="1" applyAlignment="1">
      <alignment horizontal="center" vertical="center"/>
    </xf>
    <xf numFmtId="177" fontId="29" fillId="3" borderId="9" xfId="2452" applyNumberFormat="1" applyFont="1" applyFill="1" applyBorder="1" applyAlignment="1">
      <alignment horizontal="center" vertical="center"/>
    </xf>
    <xf numFmtId="176" fontId="28" fillId="4" borderId="19" xfId="2452" applyNumberFormat="1" applyFont="1" applyFill="1" applyBorder="1" applyAlignment="1">
      <alignment horizontal="center" vertical="center"/>
    </xf>
    <xf numFmtId="176" fontId="28" fillId="4" borderId="3" xfId="2452" applyNumberFormat="1" applyFont="1" applyFill="1" applyBorder="1" applyAlignment="1">
      <alignment horizontal="center" vertical="center"/>
    </xf>
    <xf numFmtId="176" fontId="28" fillId="4" borderId="17" xfId="2452" applyNumberFormat="1" applyFont="1" applyFill="1" applyBorder="1" applyAlignment="1">
      <alignment horizontal="center" vertical="center"/>
    </xf>
    <xf numFmtId="176" fontId="28" fillId="4" borderId="49" xfId="2452" applyNumberFormat="1" applyFont="1" applyFill="1" applyBorder="1" applyAlignment="1">
      <alignment horizontal="center" vertical="center"/>
    </xf>
    <xf numFmtId="176" fontId="29" fillId="0" borderId="33" xfId="2452" applyNumberFormat="1" applyFont="1" applyFill="1" applyBorder="1" applyAlignment="1">
      <alignment horizontal="center" vertical="center"/>
    </xf>
    <xf numFmtId="177" fontId="29" fillId="5" borderId="36" xfId="2452" applyNumberFormat="1" applyFont="1" applyFill="1" applyBorder="1" applyAlignment="1">
      <alignment horizontal="center" vertical="center"/>
    </xf>
    <xf numFmtId="177" fontId="29" fillId="5" borderId="9" xfId="2452" applyNumberFormat="1" applyFont="1" applyFill="1" applyBorder="1" applyAlignment="1">
      <alignment horizontal="center" vertical="center"/>
    </xf>
    <xf numFmtId="176" fontId="28" fillId="7" borderId="19" xfId="2452" applyNumberFormat="1" applyFont="1" applyFill="1" applyBorder="1" applyAlignment="1">
      <alignment horizontal="center" vertical="center"/>
    </xf>
    <xf numFmtId="176" fontId="28" fillId="7" borderId="3" xfId="2452" applyNumberFormat="1" applyFont="1" applyFill="1" applyBorder="1" applyAlignment="1">
      <alignment horizontal="center" vertical="center"/>
    </xf>
    <xf numFmtId="176" fontId="28" fillId="7" borderId="11" xfId="2452" applyNumberFormat="1" applyFont="1" applyFill="1" applyBorder="1" applyAlignment="1">
      <alignment horizontal="center" vertical="center"/>
    </xf>
    <xf numFmtId="177" fontId="28" fillId="7" borderId="19" xfId="2452" applyNumberFormat="1" applyFont="1" applyFill="1" applyBorder="1" applyAlignment="1">
      <alignment horizontal="center" vertical="center"/>
    </xf>
    <xf numFmtId="177" fontId="28" fillId="7" borderId="3" xfId="2452" applyNumberFormat="1" applyFont="1" applyFill="1" applyBorder="1" applyAlignment="1">
      <alignment horizontal="center" vertical="center"/>
    </xf>
    <xf numFmtId="177" fontId="28" fillId="7" borderId="11" xfId="2452" applyNumberFormat="1" applyFont="1" applyFill="1" applyBorder="1" applyAlignment="1">
      <alignment horizontal="center" vertical="center"/>
    </xf>
    <xf numFmtId="176" fontId="28" fillId="7" borderId="17" xfId="2452" applyNumberFormat="1" applyFont="1" applyFill="1" applyBorder="1" applyAlignment="1">
      <alignment horizontal="center" vertical="center"/>
    </xf>
    <xf numFmtId="176" fontId="28" fillId="7" borderId="49" xfId="2452" applyNumberFormat="1" applyFont="1" applyFill="1" applyBorder="1" applyAlignment="1">
      <alignment horizontal="center" vertical="center"/>
    </xf>
    <xf numFmtId="176" fontId="28" fillId="7" borderId="18" xfId="2452" applyNumberFormat="1" applyFont="1" applyFill="1" applyBorder="1" applyAlignment="1">
      <alignment horizontal="center" vertical="center"/>
    </xf>
    <xf numFmtId="176" fontId="29" fillId="0" borderId="48" xfId="2452" applyNumberFormat="1" applyFont="1" applyFill="1" applyBorder="1" applyAlignment="1">
      <alignment horizontal="center" vertical="center"/>
    </xf>
    <xf numFmtId="176" fontId="29" fillId="0" borderId="46" xfId="2452" applyNumberFormat="1" applyFont="1" applyFill="1" applyBorder="1" applyAlignment="1">
      <alignment horizontal="center" vertical="center"/>
    </xf>
    <xf numFmtId="0" fontId="29" fillId="0" borderId="47" xfId="0" applyFont="1" applyFill="1" applyBorder="1" applyAlignment="1">
      <alignment horizontal="center" vertical="center"/>
    </xf>
    <xf numFmtId="0" fontId="27" fillId="0" borderId="6" xfId="0" applyFont="1" applyBorder="1" applyAlignment="1">
      <alignment horizontal="center" vertical="center" wrapText="1"/>
    </xf>
    <xf numFmtId="0" fontId="27" fillId="0" borderId="3" xfId="0" applyFont="1" applyBorder="1" applyAlignment="1">
      <alignment horizontal="center" vertical="center" wrapText="1"/>
    </xf>
    <xf numFmtId="0" fontId="27" fillId="0" borderId="20" xfId="0" applyFont="1" applyBorder="1" applyAlignment="1">
      <alignment horizontal="center" vertical="center" wrapText="1"/>
    </xf>
    <xf numFmtId="0" fontId="29" fillId="0" borderId="10" xfId="0" applyFont="1" applyBorder="1" applyAlignment="1">
      <alignment horizontal="center" vertical="center"/>
    </xf>
    <xf numFmtId="0" fontId="29" fillId="0" borderId="44" xfId="0" applyFont="1" applyBorder="1" applyAlignment="1">
      <alignment horizontal="center" vertical="center"/>
    </xf>
    <xf numFmtId="0" fontId="29" fillId="0" borderId="49" xfId="0" applyFont="1" applyBorder="1" applyAlignment="1">
      <alignment horizontal="center" vertical="center"/>
    </xf>
    <xf numFmtId="0" fontId="29" fillId="0" borderId="4" xfId="0" applyFont="1" applyBorder="1" applyAlignment="1">
      <alignment horizontal="center" vertical="center"/>
    </xf>
    <xf numFmtId="0" fontId="29" fillId="0" borderId="11" xfId="0" applyFont="1" applyBorder="1" applyAlignment="1">
      <alignment horizontal="center" vertical="center"/>
    </xf>
    <xf numFmtId="0" fontId="29" fillId="0" borderId="12" xfId="0" applyFont="1" applyBorder="1" applyAlignment="1">
      <alignment horizontal="center" vertical="center"/>
    </xf>
    <xf numFmtId="0" fontId="29" fillId="0" borderId="21" xfId="0" applyFont="1" applyBorder="1" applyAlignment="1">
      <alignment horizontal="center" vertical="center"/>
    </xf>
    <xf numFmtId="0" fontId="29" fillId="3" borderId="19" xfId="0" applyFont="1" applyFill="1" applyBorder="1" applyAlignment="1">
      <alignment horizontal="center" vertical="center" wrapText="1"/>
    </xf>
    <xf numFmtId="0" fontId="29" fillId="6" borderId="10" xfId="0" applyFont="1" applyFill="1" applyBorder="1" applyAlignment="1">
      <alignment horizontal="center" vertical="center" wrapText="1"/>
    </xf>
    <xf numFmtId="0" fontId="29" fillId="6" borderId="45" xfId="0" applyFont="1" applyFill="1" applyBorder="1" applyAlignment="1">
      <alignment horizontal="center" vertical="center" wrapText="1"/>
    </xf>
    <xf numFmtId="0" fontId="29" fillId="6" borderId="47" xfId="0" applyFont="1" applyFill="1" applyBorder="1" applyAlignment="1">
      <alignment horizontal="center" vertical="center" wrapText="1"/>
    </xf>
    <xf numFmtId="0" fontId="29" fillId="6" borderId="44" xfId="0" applyFont="1" applyFill="1" applyBorder="1" applyAlignment="1">
      <alignment horizontal="center" vertical="center" wrapText="1"/>
    </xf>
    <xf numFmtId="0" fontId="29" fillId="6" borderId="49" xfId="0" applyFont="1" applyFill="1" applyBorder="1" applyAlignment="1">
      <alignment horizontal="center" vertical="center" wrapText="1"/>
    </xf>
    <xf numFmtId="0" fontId="29" fillId="6" borderId="58" xfId="0" applyFont="1" applyFill="1" applyBorder="1" applyAlignment="1">
      <alignment horizontal="center" vertical="center" wrapText="1"/>
    </xf>
    <xf numFmtId="0" fontId="103" fillId="3" borderId="35" xfId="0" applyFont="1" applyFill="1" applyBorder="1" applyAlignment="1">
      <alignment horizontal="center" vertical="center"/>
    </xf>
    <xf numFmtId="0" fontId="103" fillId="3" borderId="46" xfId="0" applyFont="1" applyFill="1" applyBorder="1" applyAlignment="1">
      <alignment horizontal="center" vertical="center"/>
    </xf>
    <xf numFmtId="0" fontId="103" fillId="3" borderId="38" xfId="0" applyFont="1" applyFill="1" applyBorder="1" applyAlignment="1">
      <alignment horizontal="center" vertical="center"/>
    </xf>
    <xf numFmtId="0" fontId="103" fillId="3" borderId="33" xfId="0" applyFont="1" applyFill="1" applyBorder="1" applyAlignment="1">
      <alignment horizontal="center" vertical="center"/>
    </xf>
    <xf numFmtId="0" fontId="103" fillId="3" borderId="40" xfId="0" applyFont="1" applyFill="1" applyBorder="1" applyAlignment="1">
      <alignment horizontal="center" vertical="center"/>
    </xf>
    <xf numFmtId="0" fontId="103" fillId="3" borderId="48" xfId="0" applyFont="1" applyFill="1" applyBorder="1" applyAlignment="1">
      <alignment horizontal="center" vertical="center"/>
    </xf>
    <xf numFmtId="0" fontId="106" fillId="0" borderId="10" xfId="0" applyFont="1" applyBorder="1" applyAlignment="1">
      <alignment horizontal="center" vertical="center" wrapText="1"/>
    </xf>
    <xf numFmtId="0" fontId="106" fillId="0" borderId="45" xfId="0" applyFont="1" applyBorder="1" applyAlignment="1">
      <alignment horizontal="center" vertical="center" wrapText="1"/>
    </xf>
    <xf numFmtId="0" fontId="106" fillId="0" borderId="47" xfId="0" applyFont="1" applyBorder="1" applyAlignment="1">
      <alignment horizontal="center" vertical="center" wrapText="1"/>
    </xf>
    <xf numFmtId="0" fontId="106" fillId="0" borderId="34" xfId="0" applyFont="1" applyBorder="1" applyAlignment="1">
      <alignment horizontal="center" vertical="center" wrapText="1"/>
    </xf>
    <xf numFmtId="0" fontId="106" fillId="0" borderId="0" xfId="0" applyFont="1" applyBorder="1" applyAlignment="1">
      <alignment horizontal="center" vertical="center" wrapText="1"/>
    </xf>
    <xf numFmtId="0" fontId="106" fillId="0" borderId="39" xfId="0" applyFont="1" applyBorder="1" applyAlignment="1">
      <alignment horizontal="center" vertical="center" wrapText="1"/>
    </xf>
    <xf numFmtId="0" fontId="106" fillId="0" borderId="53" xfId="0" applyFont="1" applyBorder="1" applyAlignment="1">
      <alignment horizontal="center" vertical="center" wrapText="1"/>
    </xf>
    <xf numFmtId="0" fontId="106" fillId="0" borderId="5" xfId="0" applyFont="1" applyBorder="1" applyAlignment="1">
      <alignment horizontal="center" vertical="center" wrapText="1"/>
    </xf>
    <xf numFmtId="0" fontId="106" fillId="0" borderId="32" xfId="0" applyFont="1" applyBorder="1" applyAlignment="1">
      <alignment horizontal="center" vertical="center" wrapText="1"/>
    </xf>
    <xf numFmtId="0" fontId="29" fillId="3" borderId="10" xfId="0" applyFont="1" applyFill="1" applyBorder="1" applyAlignment="1">
      <alignment horizontal="center" vertical="center" wrapText="1"/>
    </xf>
    <xf numFmtId="0" fontId="0" fillId="0" borderId="46" xfId="0" applyBorder="1" applyAlignment="1">
      <alignment vertical="center" wrapText="1"/>
    </xf>
    <xf numFmtId="0" fontId="0" fillId="0" borderId="44" xfId="0" applyBorder="1" applyAlignment="1">
      <alignment vertical="center" wrapText="1"/>
    </xf>
    <xf numFmtId="0" fontId="0" fillId="0" borderId="33" xfId="0" applyBorder="1" applyAlignment="1">
      <alignment vertical="center" wrapText="1"/>
    </xf>
    <xf numFmtId="0" fontId="29" fillId="2" borderId="10" xfId="0" applyFont="1" applyFill="1" applyBorder="1" applyAlignment="1">
      <alignment horizontal="center" vertical="center" wrapText="1"/>
    </xf>
    <xf numFmtId="0" fontId="29" fillId="2" borderId="45" xfId="0" applyFont="1" applyFill="1" applyBorder="1" applyAlignment="1">
      <alignment horizontal="center" vertical="center" wrapText="1"/>
    </xf>
    <xf numFmtId="0" fontId="29" fillId="2" borderId="44" xfId="0" applyFont="1" applyFill="1" applyBorder="1" applyAlignment="1">
      <alignment horizontal="center" vertical="center" wrapText="1"/>
    </xf>
    <xf numFmtId="0" fontId="29" fillId="2" borderId="49" xfId="0" applyFont="1" applyFill="1" applyBorder="1" applyAlignment="1">
      <alignment horizontal="center" vertical="center" wrapText="1"/>
    </xf>
    <xf numFmtId="0" fontId="29" fillId="2" borderId="46" xfId="0" applyFont="1" applyFill="1" applyBorder="1" applyAlignment="1">
      <alignment horizontal="center" vertical="center" wrapText="1"/>
    </xf>
    <xf numFmtId="0" fontId="29" fillId="2" borderId="8" xfId="0" applyFont="1" applyFill="1" applyBorder="1" applyAlignment="1">
      <alignment horizontal="center" vertical="center" wrapText="1"/>
    </xf>
    <xf numFmtId="0" fontId="27" fillId="0" borderId="139" xfId="0" applyFont="1" applyFill="1" applyBorder="1" applyAlignment="1">
      <alignment horizontal="center" vertical="center"/>
    </xf>
    <xf numFmtId="0" fontId="27" fillId="0" borderId="140" xfId="0" applyFont="1" applyFill="1" applyBorder="1" applyAlignment="1">
      <alignment horizontal="center" vertical="center"/>
    </xf>
    <xf numFmtId="0" fontId="27" fillId="0" borderId="6" xfId="0" applyFont="1" applyFill="1" applyBorder="1" applyAlignment="1">
      <alignment horizontal="center" vertical="center"/>
    </xf>
    <xf numFmtId="0" fontId="27" fillId="0" borderId="20" xfId="0" applyFont="1" applyFill="1" applyBorder="1" applyAlignment="1">
      <alignment horizontal="center" vertical="center"/>
    </xf>
    <xf numFmtId="177" fontId="27" fillId="0" borderId="141" xfId="0" applyNumberFormat="1" applyFont="1" applyFill="1" applyBorder="1" applyAlignment="1">
      <alignment horizontal="center" vertical="center"/>
    </xf>
    <xf numFmtId="177" fontId="27" fillId="0" borderId="142" xfId="0" applyNumberFormat="1" applyFont="1" applyFill="1" applyBorder="1" applyAlignment="1">
      <alignment horizontal="center" vertical="center"/>
    </xf>
    <xf numFmtId="177" fontId="27" fillId="0" borderId="3" xfId="0" applyNumberFormat="1" applyFont="1" applyFill="1" applyBorder="1" applyAlignment="1">
      <alignment horizontal="center" vertical="center"/>
    </xf>
    <xf numFmtId="177" fontId="27" fillId="0" borderId="9" xfId="0" applyNumberFormat="1" applyFont="1" applyFill="1" applyBorder="1" applyAlignment="1">
      <alignment horizontal="center" vertical="center"/>
    </xf>
    <xf numFmtId="177" fontId="27" fillId="0" borderId="6" xfId="0" applyNumberFormat="1" applyFont="1" applyFill="1" applyBorder="1" applyAlignment="1">
      <alignment horizontal="center" vertical="center"/>
    </xf>
    <xf numFmtId="177" fontId="27" fillId="0" borderId="20" xfId="0" applyNumberFormat="1" applyFont="1" applyFill="1" applyBorder="1" applyAlignment="1">
      <alignment horizontal="center" vertical="center"/>
    </xf>
    <xf numFmtId="0" fontId="28" fillId="3" borderId="17" xfId="0" applyFont="1" applyFill="1" applyBorder="1" applyAlignment="1">
      <alignment horizontal="center" vertical="center" wrapText="1"/>
    </xf>
    <xf numFmtId="0" fontId="28" fillId="3" borderId="44" xfId="0" applyFont="1" applyFill="1" applyBorder="1" applyAlignment="1">
      <alignment horizontal="center" vertical="center"/>
    </xf>
    <xf numFmtId="0" fontId="28" fillId="3" borderId="64" xfId="0" applyFont="1" applyFill="1" applyBorder="1" applyAlignment="1">
      <alignment horizontal="center" vertical="center" wrapText="1"/>
    </xf>
    <xf numFmtId="0" fontId="28" fillId="3" borderId="34" xfId="0" applyFont="1" applyFill="1" applyBorder="1" applyAlignment="1">
      <alignment horizontal="center" vertical="center"/>
    </xf>
    <xf numFmtId="0" fontId="28" fillId="3" borderId="15" xfId="0" applyFont="1" applyFill="1" applyBorder="1" applyAlignment="1">
      <alignment horizontal="center" vertical="center"/>
    </xf>
    <xf numFmtId="0" fontId="28" fillId="3" borderId="24" xfId="0" applyFont="1" applyFill="1" applyBorder="1" applyAlignment="1">
      <alignment horizontal="center" vertical="center"/>
    </xf>
    <xf numFmtId="0" fontId="29" fillId="0" borderId="0" xfId="0" applyFont="1" applyBorder="1" applyAlignment="1">
      <alignment horizontal="center" vertical="center"/>
    </xf>
    <xf numFmtId="0" fontId="105" fillId="0" borderId="13" xfId="0" applyFont="1" applyBorder="1" applyAlignment="1">
      <alignment horizontal="center" vertical="center"/>
    </xf>
    <xf numFmtId="0" fontId="105" fillId="0" borderId="18" xfId="0" applyFont="1" applyBorder="1" applyAlignment="1">
      <alignment horizontal="center" vertical="center"/>
    </xf>
    <xf numFmtId="0" fontId="105" fillId="0" borderId="31" xfId="0" applyFont="1" applyBorder="1" applyAlignment="1">
      <alignment horizontal="center" vertical="center"/>
    </xf>
    <xf numFmtId="0" fontId="105" fillId="0" borderId="68" xfId="0" applyFont="1" applyBorder="1" applyAlignment="1">
      <alignment horizontal="center" vertical="center"/>
    </xf>
    <xf numFmtId="0" fontId="105" fillId="0" borderId="7" xfId="0" applyFont="1" applyBorder="1" applyAlignment="1">
      <alignment horizontal="center" vertical="center"/>
    </xf>
    <xf numFmtId="0" fontId="105" fillId="0" borderId="16" xfId="0" applyFont="1" applyBorder="1" applyAlignment="1">
      <alignment horizontal="center" vertical="center"/>
    </xf>
    <xf numFmtId="0" fontId="27" fillId="0" borderId="3" xfId="0" applyFont="1" applyFill="1" applyBorder="1" applyAlignment="1">
      <alignment horizontal="center" vertical="center"/>
    </xf>
    <xf numFmtId="0" fontId="27" fillId="0" borderId="9" xfId="0" applyFont="1" applyFill="1" applyBorder="1" applyAlignment="1">
      <alignment horizontal="center" vertical="center"/>
    </xf>
    <xf numFmtId="9" fontId="28" fillId="3" borderId="30" xfId="0" applyNumberFormat="1" applyFont="1" applyFill="1" applyBorder="1" applyAlignment="1">
      <alignment horizontal="center" vertical="center"/>
    </xf>
    <xf numFmtId="9" fontId="28" fillId="3" borderId="65" xfId="0" applyNumberFormat="1" applyFont="1" applyFill="1" applyBorder="1" applyAlignment="1">
      <alignment horizontal="center" vertical="center"/>
    </xf>
    <xf numFmtId="9" fontId="28" fillId="3" borderId="14" xfId="0" applyNumberFormat="1" applyFont="1" applyFill="1" applyBorder="1" applyAlignment="1">
      <alignment horizontal="center" vertical="center"/>
    </xf>
    <xf numFmtId="9" fontId="29" fillId="3" borderId="41" xfId="0" applyNumberFormat="1" applyFont="1" applyFill="1" applyBorder="1" applyAlignment="1">
      <alignment horizontal="center" vertical="center"/>
    </xf>
    <xf numFmtId="9" fontId="29" fillId="3" borderId="40" xfId="0" applyNumberFormat="1" applyFont="1" applyFill="1" applyBorder="1" applyAlignment="1">
      <alignment horizontal="center" vertical="center"/>
    </xf>
    <xf numFmtId="9" fontId="29" fillId="3" borderId="14" xfId="0" applyNumberFormat="1" applyFont="1" applyFill="1" applyBorder="1" applyAlignment="1">
      <alignment horizontal="center" vertical="center"/>
    </xf>
    <xf numFmtId="176" fontId="28" fillId="4" borderId="19" xfId="0" applyNumberFormat="1" applyFont="1" applyFill="1" applyBorder="1" applyAlignment="1">
      <alignment horizontal="center" vertical="center"/>
    </xf>
    <xf numFmtId="176" fontId="28" fillId="4" borderId="3" xfId="0" applyNumberFormat="1" applyFont="1" applyFill="1" applyBorder="1" applyAlignment="1">
      <alignment horizontal="center" vertical="center"/>
    </xf>
    <xf numFmtId="176" fontId="28" fillId="4" borderId="11" xfId="0" applyNumberFormat="1" applyFont="1" applyFill="1" applyBorder="1" applyAlignment="1">
      <alignment horizontal="center" vertical="center"/>
    </xf>
    <xf numFmtId="176" fontId="29" fillId="2" borderId="60" xfId="0" applyNumberFormat="1" applyFont="1" applyFill="1" applyBorder="1" applyAlignment="1">
      <alignment horizontal="center" vertical="center"/>
    </xf>
    <xf numFmtId="176" fontId="29" fillId="2" borderId="17" xfId="0" applyNumberFormat="1" applyFont="1" applyFill="1" applyBorder="1" applyAlignment="1">
      <alignment horizontal="center" vertical="center"/>
    </xf>
    <xf numFmtId="176" fontId="29" fillId="2" borderId="10" xfId="0" applyNumberFormat="1" applyFont="1" applyFill="1" applyBorder="1" applyAlignment="1">
      <alignment horizontal="center" vertical="center"/>
    </xf>
    <xf numFmtId="176" fontId="29" fillId="2" borderId="25" xfId="0" applyNumberFormat="1" applyFont="1" applyFill="1" applyBorder="1" applyAlignment="1">
      <alignment horizontal="center" vertical="center"/>
    </xf>
    <xf numFmtId="176" fontId="28" fillId="4" borderId="17" xfId="0" applyNumberFormat="1" applyFont="1" applyFill="1" applyBorder="1" applyAlignment="1">
      <alignment horizontal="center" vertical="center"/>
    </xf>
    <xf numFmtId="176" fontId="28" fillId="4" borderId="49" xfId="0" applyNumberFormat="1" applyFont="1" applyFill="1" applyBorder="1" applyAlignment="1">
      <alignment horizontal="center" vertical="center"/>
    </xf>
    <xf numFmtId="176" fontId="28" fillId="4" borderId="18" xfId="0" applyNumberFormat="1" applyFont="1" applyFill="1" applyBorder="1" applyAlignment="1">
      <alignment horizontal="center" vertical="center"/>
    </xf>
    <xf numFmtId="176" fontId="29" fillId="2" borderId="35" xfId="0" applyNumberFormat="1" applyFont="1" applyFill="1" applyBorder="1" applyAlignment="1">
      <alignment horizontal="center" vertical="center"/>
    </xf>
    <xf numFmtId="176" fontId="29" fillId="2" borderId="78" xfId="0" applyNumberFormat="1" applyFont="1" applyFill="1" applyBorder="1" applyAlignment="1">
      <alignment horizontal="center" vertical="center"/>
    </xf>
    <xf numFmtId="176" fontId="29" fillId="0" borderId="12" xfId="0" applyNumberFormat="1" applyFont="1" applyFill="1" applyBorder="1" applyAlignment="1">
      <alignment horizontal="center" vertical="center"/>
    </xf>
    <xf numFmtId="176" fontId="29" fillId="0" borderId="13" xfId="0" applyNumberFormat="1" applyFont="1" applyFill="1" applyBorder="1" applyAlignment="1">
      <alignment horizontal="center" vertical="center"/>
    </xf>
    <xf numFmtId="176" fontId="29" fillId="2" borderId="79" xfId="0" applyNumberFormat="1" applyFont="1" applyFill="1" applyBorder="1" applyAlignment="1">
      <alignment horizontal="center" vertical="center"/>
    </xf>
    <xf numFmtId="176" fontId="29" fillId="2" borderId="40" xfId="0" applyNumberFormat="1" applyFont="1" applyFill="1" applyBorder="1" applyAlignment="1">
      <alignment horizontal="center" vertical="center"/>
    </xf>
    <xf numFmtId="176" fontId="29" fillId="2" borderId="53" xfId="0" applyNumberFormat="1" applyFont="1" applyFill="1" applyBorder="1" applyAlignment="1">
      <alignment horizontal="center" vertical="center"/>
    </xf>
    <xf numFmtId="0" fontId="29" fillId="0" borderId="4" xfId="2450" applyFont="1" applyBorder="1" applyAlignment="1">
      <alignment horizontal="center" vertical="center"/>
    </xf>
    <xf numFmtId="0" fontId="29" fillId="0" borderId="7" xfId="2450" applyFont="1" applyBorder="1" applyAlignment="1">
      <alignment horizontal="center" vertical="center"/>
    </xf>
    <xf numFmtId="0" fontId="29" fillId="0" borderId="22" xfId="2450" applyFont="1" applyFill="1" applyBorder="1" applyAlignment="1">
      <alignment horizontal="center" vertical="center"/>
    </xf>
    <xf numFmtId="0" fontId="103" fillId="0" borderId="24" xfId="2450" applyFont="1" applyFill="1" applyBorder="1" applyAlignment="1">
      <alignment horizontal="center" vertical="center"/>
    </xf>
    <xf numFmtId="0" fontId="103" fillId="0" borderId="56" xfId="2450" applyFont="1" applyFill="1" applyBorder="1" applyAlignment="1">
      <alignment horizontal="center" vertical="center"/>
    </xf>
    <xf numFmtId="0" fontId="103" fillId="0" borderId="21" xfId="2450" applyFont="1" applyFill="1" applyBorder="1" applyAlignment="1">
      <alignment horizontal="center" vertical="center"/>
    </xf>
    <xf numFmtId="0" fontId="29" fillId="0" borderId="9" xfId="2450" applyFont="1" applyBorder="1" applyAlignment="1">
      <alignment horizontal="center" vertical="center"/>
    </xf>
    <xf numFmtId="0" fontId="30" fillId="0" borderId="6" xfId="2450" applyFont="1" applyBorder="1" applyAlignment="1">
      <alignment horizontal="center" vertical="center"/>
    </xf>
    <xf numFmtId="0" fontId="30" fillId="0" borderId="3" xfId="2450" applyFont="1" applyBorder="1" applyAlignment="1">
      <alignment horizontal="center" vertical="center"/>
    </xf>
    <xf numFmtId="0" fontId="30" fillId="0" borderId="20" xfId="2450" applyFont="1" applyBorder="1" applyAlignment="1">
      <alignment horizontal="center" vertical="center"/>
    </xf>
    <xf numFmtId="0" fontId="30" fillId="3" borderId="35" xfId="2450" applyFont="1" applyFill="1" applyBorder="1" applyAlignment="1">
      <alignment horizontal="center" vertical="center"/>
    </xf>
    <xf numFmtId="0" fontId="30" fillId="3" borderId="46" xfId="2450" applyFont="1" applyFill="1" applyBorder="1" applyAlignment="1">
      <alignment horizontal="center" vertical="center"/>
    </xf>
    <xf numFmtId="0" fontId="30" fillId="3" borderId="78" xfId="2450" applyFont="1" applyFill="1" applyBorder="1" applyAlignment="1">
      <alignment horizontal="center" vertical="center"/>
    </xf>
    <xf numFmtId="0" fontId="30" fillId="3" borderId="8" xfId="2450" applyFont="1" applyFill="1" applyBorder="1" applyAlignment="1">
      <alignment horizontal="center" vertical="center"/>
    </xf>
    <xf numFmtId="0" fontId="29" fillId="2" borderId="12" xfId="2450" applyFont="1" applyFill="1" applyBorder="1" applyAlignment="1">
      <alignment horizontal="center" vertical="center"/>
    </xf>
    <xf numFmtId="0" fontId="30" fillId="0" borderId="10" xfId="2450" applyFont="1" applyFill="1" applyBorder="1" applyAlignment="1">
      <alignment horizontal="center" vertical="center"/>
    </xf>
    <xf numFmtId="0" fontId="30" fillId="0" borderId="45" xfId="2450" applyFont="1" applyFill="1" applyBorder="1" applyAlignment="1">
      <alignment horizontal="center" vertical="center"/>
    </xf>
    <xf numFmtId="0" fontId="30" fillId="0" borderId="47" xfId="2450" applyFont="1" applyFill="1" applyBorder="1" applyAlignment="1">
      <alignment horizontal="center" vertical="center"/>
    </xf>
    <xf numFmtId="0" fontId="30" fillId="0" borderId="44" xfId="2450" applyFont="1" applyFill="1" applyBorder="1" applyAlignment="1">
      <alignment horizontal="center" vertical="center"/>
    </xf>
    <xf numFmtId="0" fontId="30" fillId="0" borderId="49" xfId="2450" applyFont="1" applyFill="1" applyBorder="1" applyAlignment="1">
      <alignment horizontal="center" vertical="center"/>
    </xf>
    <xf numFmtId="0" fontId="30" fillId="0" borderId="58" xfId="2450" applyFont="1" applyFill="1" applyBorder="1" applyAlignment="1">
      <alignment horizontal="center" vertical="center"/>
    </xf>
    <xf numFmtId="0" fontId="29" fillId="2" borderId="13" xfId="2450" quotePrefix="1" applyFont="1" applyFill="1" applyBorder="1" applyAlignment="1">
      <alignment horizontal="center" vertical="center"/>
    </xf>
    <xf numFmtId="0" fontId="29" fillId="2" borderId="13" xfId="2450" applyFont="1" applyFill="1" applyBorder="1" applyAlignment="1">
      <alignment horizontal="center" vertical="center"/>
    </xf>
    <xf numFmtId="0" fontId="30" fillId="3" borderId="38" xfId="2450" applyFont="1" applyFill="1" applyBorder="1" applyAlignment="1">
      <alignment horizontal="center" vertical="center"/>
    </xf>
    <xf numFmtId="0" fontId="30" fillId="3" borderId="33" xfId="2450" applyFont="1" applyFill="1" applyBorder="1" applyAlignment="1">
      <alignment horizontal="center" vertical="center"/>
    </xf>
    <xf numFmtId="0" fontId="103" fillId="6" borderId="10" xfId="2450" quotePrefix="1" applyFont="1" applyFill="1" applyBorder="1" applyAlignment="1">
      <alignment horizontal="center" vertical="center" wrapText="1"/>
    </xf>
    <xf numFmtId="0" fontId="103" fillId="6" borderId="45" xfId="2450" quotePrefix="1" applyFont="1" applyFill="1" applyBorder="1" applyAlignment="1">
      <alignment horizontal="center" vertical="center"/>
    </xf>
    <xf numFmtId="0" fontId="103" fillId="6" borderId="47" xfId="2450" quotePrefix="1" applyFont="1" applyFill="1" applyBorder="1" applyAlignment="1">
      <alignment horizontal="center" vertical="center"/>
    </xf>
    <xf numFmtId="0" fontId="103" fillId="6" borderId="53" xfId="2450" quotePrefix="1" applyFont="1" applyFill="1" applyBorder="1" applyAlignment="1">
      <alignment horizontal="center" vertical="center"/>
    </xf>
    <xf numFmtId="0" fontId="103" fillId="6" borderId="5" xfId="2450" quotePrefix="1" applyFont="1" applyFill="1" applyBorder="1" applyAlignment="1">
      <alignment horizontal="center" vertical="center"/>
    </xf>
    <xf numFmtId="0" fontId="103" fillId="6" borderId="32" xfId="2450" quotePrefix="1" applyFont="1" applyFill="1" applyBorder="1" applyAlignment="1">
      <alignment horizontal="center" vertical="center"/>
    </xf>
    <xf numFmtId="0" fontId="103" fillId="3" borderId="35" xfId="2450" applyFont="1" applyFill="1" applyBorder="1" applyAlignment="1">
      <alignment horizontal="center" vertical="center"/>
    </xf>
    <xf numFmtId="0" fontId="103" fillId="3" borderId="46" xfId="2450" applyFont="1" applyFill="1" applyBorder="1" applyAlignment="1">
      <alignment horizontal="center" vertical="center"/>
    </xf>
    <xf numFmtId="0" fontId="30" fillId="0" borderId="53" xfId="2450" applyFont="1" applyFill="1" applyBorder="1" applyAlignment="1">
      <alignment horizontal="center" vertical="center"/>
    </xf>
    <xf numFmtId="0" fontId="30" fillId="0" borderId="5" xfId="2450" applyFont="1" applyFill="1" applyBorder="1" applyAlignment="1">
      <alignment horizontal="center" vertical="center"/>
    </xf>
    <xf numFmtId="0" fontId="30" fillId="0" borderId="32" xfId="2450" applyFont="1" applyFill="1" applyBorder="1" applyAlignment="1">
      <alignment horizontal="center" vertical="center"/>
    </xf>
    <xf numFmtId="0" fontId="29" fillId="2" borderId="31" xfId="2450" applyFont="1" applyFill="1" applyBorder="1" applyAlignment="1">
      <alignment horizontal="center" vertical="center"/>
    </xf>
    <xf numFmtId="0" fontId="29" fillId="2" borderId="68" xfId="2450" applyFont="1" applyFill="1" applyBorder="1" applyAlignment="1">
      <alignment horizontal="center" vertical="center"/>
    </xf>
    <xf numFmtId="0" fontId="30" fillId="0" borderId="49" xfId="2450" quotePrefix="1" applyFont="1" applyFill="1" applyBorder="1" applyAlignment="1">
      <alignment horizontal="center" vertical="center"/>
    </xf>
    <xf numFmtId="0" fontId="30" fillId="0" borderId="58" xfId="2450" quotePrefix="1" applyFont="1" applyFill="1" applyBorder="1" applyAlignment="1">
      <alignment horizontal="center" vertical="center"/>
    </xf>
    <xf numFmtId="0" fontId="106" fillId="2" borderId="31" xfId="2450" applyFont="1" applyFill="1" applyBorder="1" applyAlignment="1">
      <alignment horizontal="center" vertical="center"/>
    </xf>
    <xf numFmtId="0" fontId="106" fillId="2" borderId="68" xfId="2450" applyFont="1" applyFill="1" applyBorder="1" applyAlignment="1">
      <alignment horizontal="center" vertical="center"/>
    </xf>
    <xf numFmtId="176" fontId="29" fillId="0" borderId="7" xfId="2452" applyNumberFormat="1" applyFont="1" applyBorder="1" applyAlignment="1">
      <alignment horizontal="center" vertical="center"/>
    </xf>
    <xf numFmtId="176" fontId="28" fillId="4" borderId="36" xfId="2453" applyNumberFormat="1" applyFont="1" applyFill="1" applyBorder="1" applyAlignment="1">
      <alignment horizontal="center" vertical="center"/>
    </xf>
    <xf numFmtId="176" fontId="28" fillId="4" borderId="3" xfId="2453" applyNumberFormat="1" applyFont="1" applyFill="1" applyBorder="1" applyAlignment="1">
      <alignment horizontal="center" vertical="center"/>
    </xf>
    <xf numFmtId="176" fontId="28" fillId="4" borderId="20" xfId="2453" applyNumberFormat="1" applyFont="1" applyFill="1" applyBorder="1" applyAlignment="1">
      <alignment horizontal="center" vertical="center"/>
    </xf>
    <xf numFmtId="176" fontId="29" fillId="0" borderId="15" xfId="2452" applyNumberFormat="1" applyFont="1" applyBorder="1" applyAlignment="1">
      <alignment horizontal="center" vertical="center"/>
    </xf>
    <xf numFmtId="176" fontId="28" fillId="4" borderId="36" xfId="2452" applyNumberFormat="1" applyFont="1" applyFill="1" applyBorder="1" applyAlignment="1">
      <alignment horizontal="center" vertical="center"/>
    </xf>
    <xf numFmtId="9" fontId="29" fillId="3" borderId="28" xfId="2452" applyNumberFormat="1" applyFont="1" applyFill="1" applyBorder="1" applyAlignment="1">
      <alignment horizontal="center" vertical="center" wrapText="1"/>
    </xf>
    <xf numFmtId="9" fontId="29" fillId="3" borderId="26" xfId="2452" applyNumberFormat="1" applyFont="1" applyFill="1" applyBorder="1" applyAlignment="1">
      <alignment horizontal="center" vertical="center" wrapText="1"/>
    </xf>
    <xf numFmtId="176" fontId="28" fillId="4" borderId="30" xfId="2452" applyNumberFormat="1" applyFont="1" applyFill="1" applyBorder="1" applyAlignment="1">
      <alignment horizontal="center" vertical="center"/>
    </xf>
    <xf numFmtId="0" fontId="28" fillId="3" borderId="11" xfId="2450" applyFont="1" applyFill="1" applyBorder="1" applyAlignment="1">
      <alignment horizontal="center" vertical="center"/>
    </xf>
    <xf numFmtId="0" fontId="29" fillId="0" borderId="9" xfId="2450" applyFont="1" applyBorder="1" applyAlignment="1">
      <alignment horizontal="left" vertical="center"/>
    </xf>
    <xf numFmtId="0" fontId="29" fillId="0" borderId="4" xfId="2450" applyFont="1" applyBorder="1" applyAlignment="1">
      <alignment horizontal="left" vertical="center"/>
    </xf>
    <xf numFmtId="0" fontId="29" fillId="0" borderId="7" xfId="2450" applyFont="1" applyBorder="1" applyAlignment="1">
      <alignment horizontal="left" vertical="center"/>
    </xf>
    <xf numFmtId="0" fontId="103" fillId="3" borderId="19" xfId="2453" applyFont="1" applyFill="1" applyBorder="1" applyAlignment="1">
      <alignment horizontal="center" vertical="center"/>
    </xf>
    <xf numFmtId="0" fontId="103" fillId="3" borderId="11" xfId="2453" applyFont="1" applyFill="1" applyBorder="1" applyAlignment="1">
      <alignment horizontal="center" vertical="center"/>
    </xf>
    <xf numFmtId="0" fontId="103" fillId="3" borderId="15" xfId="2453" applyFont="1" applyFill="1" applyBorder="1" applyAlignment="1">
      <alignment horizontal="center" vertical="center"/>
    </xf>
    <xf numFmtId="0" fontId="103" fillId="3" borderId="16" xfId="2453" applyFont="1" applyFill="1" applyBorder="1" applyAlignment="1">
      <alignment horizontal="center" vertical="center"/>
    </xf>
    <xf numFmtId="0" fontId="29" fillId="0" borderId="35" xfId="2450" applyFont="1" applyBorder="1" applyAlignment="1">
      <alignment horizontal="left" vertical="center" wrapText="1"/>
    </xf>
    <xf numFmtId="0" fontId="29" fillId="0" borderId="45" xfId="2450" applyFont="1" applyBorder="1" applyAlignment="1">
      <alignment horizontal="left" vertical="center" wrapText="1"/>
    </xf>
    <xf numFmtId="0" fontId="29" fillId="0" borderId="46" xfId="2450" applyFont="1" applyBorder="1" applyAlignment="1">
      <alignment horizontal="left" vertical="center" wrapText="1"/>
    </xf>
    <xf numFmtId="0" fontId="103" fillId="0" borderId="10" xfId="2450" applyFont="1" applyBorder="1" applyAlignment="1">
      <alignment horizontal="center" vertical="center" wrapText="1"/>
    </xf>
    <xf numFmtId="0" fontId="103" fillId="0" borderId="45" xfId="2450" applyFont="1" applyBorder="1" applyAlignment="1">
      <alignment horizontal="center" vertical="center"/>
    </xf>
    <xf numFmtId="0" fontId="103" fillId="0" borderId="47" xfId="2450" applyFont="1" applyBorder="1" applyAlignment="1">
      <alignment horizontal="center" vertical="center"/>
    </xf>
    <xf numFmtId="0" fontId="103" fillId="0" borderId="53" xfId="2450" applyFont="1" applyBorder="1" applyAlignment="1">
      <alignment horizontal="center" vertical="center"/>
    </xf>
    <xf numFmtId="0" fontId="103" fillId="0" borderId="5" xfId="2450" applyFont="1" applyBorder="1" applyAlignment="1">
      <alignment horizontal="center" vertical="center"/>
    </xf>
    <xf numFmtId="0" fontId="103" fillId="0" borderId="32" xfId="2450" applyFont="1" applyBorder="1" applyAlignment="1">
      <alignment horizontal="center" vertical="center"/>
    </xf>
    <xf numFmtId="0" fontId="28" fillId="5" borderId="36" xfId="2450" applyFont="1" applyFill="1" applyBorder="1" applyAlignment="1">
      <alignment horizontal="center" vertical="center"/>
    </xf>
    <xf numFmtId="0" fontId="28" fillId="5" borderId="20" xfId="2450" applyFont="1" applyFill="1" applyBorder="1" applyAlignment="1">
      <alignment horizontal="center" vertical="center"/>
    </xf>
    <xf numFmtId="0" fontId="28" fillId="5" borderId="35" xfId="2450" applyFont="1" applyFill="1" applyBorder="1" applyAlignment="1">
      <alignment horizontal="center" vertical="center"/>
    </xf>
    <xf numFmtId="0" fontId="28" fillId="5" borderId="47" xfId="2450" applyFont="1" applyFill="1" applyBorder="1" applyAlignment="1">
      <alignment horizontal="center" vertical="center"/>
    </xf>
    <xf numFmtId="0" fontId="28" fillId="5" borderId="58" xfId="2450" applyFont="1" applyFill="1" applyBorder="1" applyAlignment="1">
      <alignment horizontal="center" vertical="center"/>
    </xf>
    <xf numFmtId="0" fontId="29" fillId="0" borderId="37" xfId="2450" applyFont="1" applyFill="1" applyBorder="1" applyAlignment="1">
      <alignment horizontal="center" vertical="center"/>
    </xf>
    <xf numFmtId="0" fontId="29" fillId="0" borderId="49" xfId="2450" applyFont="1" applyBorder="1" applyAlignment="1">
      <alignment horizontal="left" vertical="center" wrapText="1"/>
    </xf>
    <xf numFmtId="0" fontId="29" fillId="0" borderId="8" xfId="2450" applyFont="1" applyBorder="1" applyAlignment="1">
      <alignment horizontal="left" vertical="center" wrapText="1"/>
    </xf>
    <xf numFmtId="0" fontId="29" fillId="0" borderId="25" xfId="2450" applyFont="1" applyFill="1" applyBorder="1" applyAlignment="1">
      <alignment horizontal="center" vertical="center" wrapText="1"/>
    </xf>
    <xf numFmtId="0" fontId="29" fillId="0" borderId="68" xfId="2450" applyFont="1" applyFill="1" applyBorder="1" applyAlignment="1">
      <alignment horizontal="center" vertical="center" wrapText="1"/>
    </xf>
    <xf numFmtId="0" fontId="29" fillId="0" borderId="18" xfId="2450" applyFont="1" applyFill="1" applyBorder="1" applyAlignment="1">
      <alignment horizontal="center" vertical="center" wrapText="1"/>
    </xf>
    <xf numFmtId="0" fontId="29" fillId="0" borderId="79" xfId="2450" applyFont="1" applyFill="1" applyBorder="1" applyAlignment="1">
      <alignment horizontal="center" vertical="center" wrapText="1"/>
    </xf>
    <xf numFmtId="0" fontId="29" fillId="0" borderId="117" xfId="2450" applyFont="1" applyBorder="1" applyAlignment="1">
      <alignment horizontal="center" vertical="center"/>
    </xf>
    <xf numFmtId="0" fontId="29" fillId="0" borderId="2" xfId="2450" applyFont="1" applyBorder="1" applyAlignment="1">
      <alignment horizontal="center" vertical="center"/>
    </xf>
    <xf numFmtId="0" fontId="29" fillId="0" borderId="89" xfId="2450" applyFont="1" applyBorder="1" applyAlignment="1">
      <alignment horizontal="center" vertical="center"/>
    </xf>
    <xf numFmtId="0" fontId="29" fillId="0" borderId="45" xfId="2450" applyFont="1" applyBorder="1" applyAlignment="1">
      <alignment horizontal="left" vertical="center"/>
    </xf>
    <xf numFmtId="0" fontId="29" fillId="0" borderId="46" xfId="2450" applyFont="1" applyBorder="1" applyAlignment="1">
      <alignment horizontal="left" vertical="center"/>
    </xf>
    <xf numFmtId="0" fontId="29" fillId="0" borderId="0" xfId="2450" applyFont="1" applyBorder="1" applyAlignment="1">
      <alignment horizontal="left" vertical="center"/>
    </xf>
    <xf numFmtId="0" fontId="29" fillId="0" borderId="33" xfId="2450" applyFont="1" applyBorder="1" applyAlignment="1">
      <alignment horizontal="left" vertical="center"/>
    </xf>
    <xf numFmtId="0" fontId="28" fillId="5" borderId="28" xfId="2450" applyFont="1" applyFill="1" applyBorder="1" applyAlignment="1">
      <alignment horizontal="center" vertical="center"/>
    </xf>
    <xf numFmtId="0" fontId="28" fillId="5" borderId="14" xfId="2450" applyFont="1" applyFill="1" applyBorder="1" applyAlignment="1">
      <alignment horizontal="center" vertical="center"/>
    </xf>
    <xf numFmtId="0" fontId="29" fillId="0" borderId="41" xfId="2450" applyFont="1" applyFill="1" applyBorder="1" applyAlignment="1">
      <alignment horizontal="center" vertical="center" wrapText="1"/>
    </xf>
    <xf numFmtId="0" fontId="29" fillId="0" borderId="42" xfId="2450" applyFont="1" applyFill="1" applyBorder="1" applyAlignment="1">
      <alignment horizontal="center" vertical="center" wrapText="1"/>
    </xf>
    <xf numFmtId="0" fontId="29" fillId="0" borderId="43" xfId="2450" applyFont="1" applyFill="1" applyBorder="1" applyAlignment="1">
      <alignment horizontal="center" vertical="center" wrapText="1"/>
    </xf>
    <xf numFmtId="0" fontId="29" fillId="0" borderId="39" xfId="2450" applyFont="1" applyFill="1" applyBorder="1" applyAlignment="1">
      <alignment horizontal="center" vertical="center" wrapText="1"/>
    </xf>
    <xf numFmtId="0" fontId="29" fillId="0" borderId="32" xfId="2450" applyFont="1" applyFill="1" applyBorder="1" applyAlignment="1">
      <alignment horizontal="center" vertical="center" wrapText="1"/>
    </xf>
    <xf numFmtId="0" fontId="29" fillId="0" borderId="118" xfId="2450" applyFont="1" applyBorder="1" applyAlignment="1">
      <alignment horizontal="center" vertical="center"/>
    </xf>
    <xf numFmtId="0" fontId="29" fillId="0" borderId="83" xfId="2450" applyFont="1" applyBorder="1" applyAlignment="1">
      <alignment horizontal="center" vertical="center"/>
    </xf>
    <xf numFmtId="0" fontId="29" fillId="0" borderId="84" xfId="2450" applyFont="1" applyBorder="1" applyAlignment="1">
      <alignment horizontal="center" vertical="center"/>
    </xf>
    <xf numFmtId="0" fontId="28" fillId="5" borderId="31" xfId="2450" applyFont="1" applyFill="1" applyBorder="1" applyAlignment="1">
      <alignment horizontal="center" vertical="center"/>
    </xf>
    <xf numFmtId="0" fontId="28" fillId="5" borderId="6" xfId="2450" applyFont="1" applyFill="1" applyBorder="1" applyAlignment="1">
      <alignment horizontal="center" vertical="center"/>
    </xf>
    <xf numFmtId="177" fontId="27" fillId="3" borderId="6" xfId="2452" applyNumberFormat="1" applyFont="1" applyFill="1" applyBorder="1" applyAlignment="1">
      <alignment horizontal="center" vertical="center"/>
    </xf>
    <xf numFmtId="177" fontId="27" fillId="3" borderId="3" xfId="2452" applyNumberFormat="1" applyFont="1" applyFill="1" applyBorder="1" applyAlignment="1">
      <alignment horizontal="center" vertical="center"/>
    </xf>
    <xf numFmtId="177" fontId="27" fillId="3" borderId="9" xfId="2452" applyNumberFormat="1" applyFont="1" applyFill="1" applyBorder="1" applyAlignment="1">
      <alignment horizontal="center" vertical="center"/>
    </xf>
    <xf numFmtId="177" fontId="37" fillId="4" borderId="44" xfId="2452" applyNumberFormat="1" applyFont="1" applyFill="1" applyBorder="1" applyAlignment="1">
      <alignment horizontal="center" vertical="center"/>
    </xf>
    <xf numFmtId="177" fontId="37" fillId="4" borderId="49" xfId="2452" applyNumberFormat="1" applyFont="1" applyFill="1" applyBorder="1" applyAlignment="1">
      <alignment horizontal="center" vertical="center"/>
    </xf>
    <xf numFmtId="177" fontId="37" fillId="4" borderId="58" xfId="2452" applyNumberFormat="1" applyFont="1" applyFill="1" applyBorder="1" applyAlignment="1">
      <alignment horizontal="center" vertical="center"/>
    </xf>
    <xf numFmtId="176" fontId="29" fillId="3" borderId="33" xfId="2450" applyNumberFormat="1" applyFont="1" applyFill="1" applyBorder="1" applyAlignment="1">
      <alignment horizontal="center" vertical="center" wrapText="1"/>
    </xf>
    <xf numFmtId="0" fontId="27" fillId="3" borderId="22" xfId="2450" applyFont="1" applyFill="1" applyBorder="1" applyAlignment="1">
      <alignment vertical="center"/>
    </xf>
    <xf numFmtId="176" fontId="29" fillId="3" borderId="7" xfId="2452" applyNumberFormat="1" applyFont="1" applyFill="1" applyBorder="1" applyAlignment="1">
      <alignment horizontal="center" vertical="center" wrapText="1"/>
    </xf>
    <xf numFmtId="9" fontId="29" fillId="8" borderId="28" xfId="2452" applyNumberFormat="1" applyFont="1" applyFill="1" applyBorder="1" applyAlignment="1">
      <alignment horizontal="center" vertical="center" wrapText="1"/>
    </xf>
    <xf numFmtId="9" fontId="29" fillId="8" borderId="31" xfId="2452" applyNumberFormat="1" applyFont="1" applyFill="1" applyBorder="1" applyAlignment="1">
      <alignment horizontal="center" vertical="center" wrapText="1"/>
    </xf>
    <xf numFmtId="176" fontId="29" fillId="8" borderId="66" xfId="2452" applyNumberFormat="1" applyFont="1" applyFill="1" applyBorder="1" applyAlignment="1">
      <alignment horizontal="center" vertical="center"/>
    </xf>
    <xf numFmtId="176" fontId="29" fillId="8" borderId="42" xfId="2452" applyNumberFormat="1" applyFont="1" applyFill="1" applyBorder="1" applyAlignment="1">
      <alignment horizontal="center" vertical="center"/>
    </xf>
    <xf numFmtId="176" fontId="29" fillId="8" borderId="67" xfId="2452" applyNumberFormat="1" applyFont="1" applyFill="1" applyBorder="1" applyAlignment="1">
      <alignment horizontal="center" vertical="center"/>
    </xf>
    <xf numFmtId="176" fontId="29" fillId="8" borderId="44" xfId="2452" applyNumberFormat="1" applyFont="1" applyFill="1" applyBorder="1" applyAlignment="1">
      <alignment horizontal="center" vertical="center"/>
    </xf>
    <xf numFmtId="176" fontId="29" fillId="8" borderId="49" xfId="2452" applyNumberFormat="1" applyFont="1" applyFill="1" applyBorder="1" applyAlignment="1">
      <alignment horizontal="center" vertical="center"/>
    </xf>
    <xf numFmtId="176" fontId="29" fillId="8" borderId="8" xfId="2452" applyNumberFormat="1" applyFont="1" applyFill="1" applyBorder="1" applyAlignment="1">
      <alignment horizontal="center" vertical="center"/>
    </xf>
    <xf numFmtId="9" fontId="29" fillId="8" borderId="29" xfId="2452" applyNumberFormat="1" applyFont="1" applyFill="1" applyBorder="1" applyAlignment="1">
      <alignment horizontal="center" vertical="center" wrapText="1"/>
    </xf>
    <xf numFmtId="9" fontId="29" fillId="8" borderId="18" xfId="2452" applyNumberFormat="1" applyFont="1" applyFill="1" applyBorder="1" applyAlignment="1">
      <alignment horizontal="center" vertical="center" wrapText="1"/>
    </xf>
    <xf numFmtId="176" fontId="29" fillId="3" borderId="63" xfId="2475" applyNumberFormat="1" applyFont="1" applyFill="1" applyBorder="1" applyAlignment="1">
      <alignment horizontal="center" vertical="center"/>
    </xf>
    <xf numFmtId="176" fontId="29" fillId="3" borderId="64" xfId="2475" applyNumberFormat="1" applyFont="1" applyFill="1" applyBorder="1" applyAlignment="1">
      <alignment horizontal="center" vertical="center"/>
    </xf>
    <xf numFmtId="176" fontId="29" fillId="3" borderId="80" xfId="2475" applyNumberFormat="1" applyFont="1" applyFill="1" applyBorder="1" applyAlignment="1">
      <alignment horizontal="center" vertical="center"/>
    </xf>
    <xf numFmtId="176" fontId="29" fillId="3" borderId="28" xfId="2475" applyNumberFormat="1" applyFont="1" applyFill="1" applyBorder="1" applyAlignment="1">
      <alignment horizontal="center" vertical="center" wrapText="1"/>
    </xf>
    <xf numFmtId="176" fontId="29" fillId="3" borderId="31" xfId="2475" applyNumberFormat="1" applyFont="1" applyFill="1" applyBorder="1" applyAlignment="1">
      <alignment horizontal="center" vertical="center" wrapText="1"/>
    </xf>
    <xf numFmtId="176" fontId="29" fillId="3" borderId="26" xfId="2475" applyNumberFormat="1" applyFont="1" applyFill="1" applyBorder="1" applyAlignment="1">
      <alignment horizontal="center" vertical="center" wrapText="1"/>
    </xf>
    <xf numFmtId="176" fontId="29" fillId="3" borderId="24" xfId="2452" applyNumberFormat="1" applyFont="1" applyFill="1" applyBorder="1" applyAlignment="1">
      <alignment horizontal="center" vertical="center"/>
    </xf>
    <xf numFmtId="176" fontId="29" fillId="3" borderId="56" xfId="2452" applyNumberFormat="1" applyFont="1" applyFill="1" applyBorder="1" applyAlignment="1">
      <alignment horizontal="center" vertical="center"/>
    </xf>
    <xf numFmtId="176" fontId="29" fillId="3" borderId="22" xfId="2452" applyNumberFormat="1" applyFont="1" applyFill="1" applyBorder="1" applyAlignment="1">
      <alignment horizontal="center" vertical="center"/>
    </xf>
    <xf numFmtId="176" fontId="29" fillId="3" borderId="29" xfId="2475" applyNumberFormat="1" applyFont="1" applyFill="1" applyBorder="1" applyAlignment="1">
      <alignment horizontal="center" vertical="center"/>
    </xf>
    <xf numFmtId="176" fontId="29" fillId="3" borderId="68" xfId="2475" applyNumberFormat="1" applyFont="1" applyFill="1" applyBorder="1" applyAlignment="1">
      <alignment horizontal="center" vertical="center"/>
    </xf>
    <xf numFmtId="176" fontId="29" fillId="3" borderId="79" xfId="2475" applyNumberFormat="1" applyFont="1" applyFill="1" applyBorder="1" applyAlignment="1">
      <alignment horizontal="center" vertical="center"/>
    </xf>
    <xf numFmtId="0" fontId="102" fillId="5" borderId="63" xfId="2450" applyFont="1" applyFill="1" applyBorder="1" applyAlignment="1">
      <alignment horizontal="center" vertical="center"/>
    </xf>
    <xf numFmtId="0" fontId="102" fillId="5" borderId="64" xfId="2450" applyFont="1" applyFill="1" applyBorder="1" applyAlignment="1">
      <alignment horizontal="center" vertical="center"/>
    </xf>
    <xf numFmtId="177" fontId="37" fillId="4" borderId="27" xfId="2452" applyNumberFormat="1" applyFont="1" applyFill="1" applyBorder="1" applyAlignment="1">
      <alignment horizontal="center" vertical="center"/>
    </xf>
    <xf numFmtId="177" fontId="37" fillId="4" borderId="65" xfId="2452" applyNumberFormat="1" applyFont="1" applyFill="1" applyBorder="1" applyAlignment="1">
      <alignment horizontal="center" vertical="center"/>
    </xf>
    <xf numFmtId="177" fontId="37" fillId="4" borderId="50" xfId="2452" applyNumberFormat="1" applyFont="1" applyFill="1" applyBorder="1" applyAlignment="1">
      <alignment horizontal="center" vertical="center"/>
    </xf>
    <xf numFmtId="176" fontId="29" fillId="0" borderId="54" xfId="2452" applyNumberFormat="1" applyFont="1" applyBorder="1" applyAlignment="1">
      <alignment horizontal="center" vertical="center"/>
    </xf>
    <xf numFmtId="176" fontId="29" fillId="0" borderId="9" xfId="2452" applyNumberFormat="1" applyFont="1" applyBorder="1" applyAlignment="1">
      <alignment horizontal="center" vertical="center"/>
    </xf>
    <xf numFmtId="176" fontId="29" fillId="2" borderId="28" xfId="2452" applyNumberFormat="1" applyFont="1" applyFill="1" applyBorder="1" applyAlignment="1">
      <alignment horizontal="center" vertical="center"/>
    </xf>
    <xf numFmtId="176" fontId="29" fillId="2" borderId="13" xfId="2452" applyNumberFormat="1" applyFont="1" applyFill="1" applyBorder="1" applyAlignment="1">
      <alignment horizontal="center" vertical="center"/>
    </xf>
    <xf numFmtId="176" fontId="29" fillId="2" borderId="12" xfId="2452" applyNumberFormat="1" applyFont="1" applyFill="1" applyBorder="1" applyAlignment="1">
      <alignment horizontal="center" vertical="center"/>
    </xf>
    <xf numFmtId="177" fontId="27" fillId="3" borderId="24" xfId="2452" applyNumberFormat="1" applyFont="1" applyFill="1" applyBorder="1" applyAlignment="1">
      <alignment horizontal="center" vertical="center"/>
    </xf>
    <xf numFmtId="177" fontId="27" fillId="3" borderId="56" xfId="2452" applyNumberFormat="1" applyFont="1" applyFill="1" applyBorder="1" applyAlignment="1">
      <alignment horizontal="center" vertical="center"/>
    </xf>
    <xf numFmtId="177" fontId="27" fillId="3" borderId="22" xfId="2452" applyNumberFormat="1" applyFont="1" applyFill="1" applyBorder="1" applyAlignment="1">
      <alignment horizontal="center" vertical="center"/>
    </xf>
    <xf numFmtId="176" fontId="29" fillId="5" borderId="63" xfId="2452" applyNumberFormat="1" applyFont="1" applyFill="1" applyBorder="1" applyAlignment="1">
      <alignment horizontal="center" vertical="center" wrapText="1"/>
    </xf>
    <xf numFmtId="176" fontId="29" fillId="5" borderId="64" xfId="2452" applyNumberFormat="1" applyFont="1" applyFill="1" applyBorder="1" applyAlignment="1">
      <alignment horizontal="center" vertical="center" wrapText="1"/>
    </xf>
    <xf numFmtId="176" fontId="29" fillId="5" borderId="80" xfId="2452" applyNumberFormat="1" applyFont="1" applyFill="1" applyBorder="1" applyAlignment="1">
      <alignment horizontal="center" vertical="center" wrapText="1"/>
    </xf>
    <xf numFmtId="176" fontId="29" fillId="0" borderId="22" xfId="2452" applyNumberFormat="1" applyFont="1" applyBorder="1" applyAlignment="1">
      <alignment horizontal="center" vertical="center"/>
    </xf>
    <xf numFmtId="176" fontId="29" fillId="2" borderId="26" xfId="2452" applyNumberFormat="1" applyFont="1" applyFill="1" applyBorder="1" applyAlignment="1">
      <alignment horizontal="center" vertical="center"/>
    </xf>
    <xf numFmtId="176" fontId="29" fillId="0" borderId="46" xfId="2452" applyNumberFormat="1" applyFont="1" applyBorder="1" applyAlignment="1">
      <alignment horizontal="center" vertical="center"/>
    </xf>
    <xf numFmtId="176" fontId="29" fillId="2" borderId="31" xfId="2452" applyNumberFormat="1" applyFont="1" applyFill="1" applyBorder="1" applyAlignment="1">
      <alignment horizontal="center" vertical="center"/>
    </xf>
    <xf numFmtId="176" fontId="29" fillId="5" borderId="63" xfId="2452" applyNumberFormat="1" applyFont="1" applyFill="1" applyBorder="1" applyAlignment="1">
      <alignment horizontal="center" vertical="center"/>
    </xf>
    <xf numFmtId="176" fontId="29" fillId="5" borderId="80" xfId="2452" applyNumberFormat="1" applyFont="1" applyFill="1" applyBorder="1" applyAlignment="1">
      <alignment horizontal="center" vertical="center"/>
    </xf>
    <xf numFmtId="176" fontId="29" fillId="5" borderId="64" xfId="2452" applyNumberFormat="1" applyFont="1" applyFill="1" applyBorder="1" applyAlignment="1">
      <alignment horizontal="center" vertical="center"/>
    </xf>
    <xf numFmtId="176" fontId="29" fillId="0" borderId="8" xfId="2452" applyNumberFormat="1" applyFont="1" applyBorder="1" applyAlignment="1">
      <alignment horizontal="center" vertical="center"/>
    </xf>
    <xf numFmtId="176" fontId="29" fillId="0" borderId="23" xfId="2452" applyNumberFormat="1" applyFont="1" applyBorder="1" applyAlignment="1">
      <alignment horizontal="center" vertical="center"/>
    </xf>
    <xf numFmtId="177" fontId="27" fillId="5" borderId="24" xfId="2452" applyNumberFormat="1" applyFont="1" applyFill="1" applyBorder="1" applyAlignment="1">
      <alignment horizontal="center" vertical="center"/>
    </xf>
    <xf numFmtId="177" fontId="27" fillId="5" borderId="56" xfId="2452" applyNumberFormat="1" applyFont="1" applyFill="1" applyBorder="1" applyAlignment="1">
      <alignment horizontal="center" vertical="center"/>
    </xf>
    <xf numFmtId="177" fontId="27" fillId="5" borderId="22" xfId="2452" applyNumberFormat="1" applyFont="1" applyFill="1" applyBorder="1" applyAlignment="1">
      <alignment horizontal="center" vertical="center"/>
    </xf>
    <xf numFmtId="176" fontId="101" fillId="5" borderId="63" xfId="2452" applyNumberFormat="1" applyFont="1" applyFill="1" applyBorder="1" applyAlignment="1">
      <alignment horizontal="center" vertical="center"/>
    </xf>
    <xf numFmtId="176" fontId="101" fillId="5" borderId="80" xfId="2452" applyNumberFormat="1" applyFont="1" applyFill="1" applyBorder="1" applyAlignment="1">
      <alignment horizontal="center" vertical="center"/>
    </xf>
    <xf numFmtId="177" fontId="107" fillId="4" borderId="65" xfId="2452" applyNumberFormat="1" applyFont="1" applyFill="1" applyBorder="1" applyAlignment="1">
      <alignment horizontal="center" vertical="center"/>
    </xf>
    <xf numFmtId="177" fontId="107" fillId="4" borderId="54" xfId="2452" applyNumberFormat="1" applyFont="1" applyFill="1" applyBorder="1" applyAlignment="1">
      <alignment horizontal="center" vertical="center"/>
    </xf>
    <xf numFmtId="177" fontId="101" fillId="3" borderId="24" xfId="2452" applyNumberFormat="1" applyFont="1" applyFill="1" applyBorder="1" applyAlignment="1">
      <alignment horizontal="center" vertical="center"/>
    </xf>
    <xf numFmtId="177" fontId="101" fillId="3" borderId="56" xfId="2452" applyNumberFormat="1" applyFont="1" applyFill="1" applyBorder="1" applyAlignment="1">
      <alignment horizontal="center" vertical="center"/>
    </xf>
    <xf numFmtId="177" fontId="101" fillId="3" borderId="22" xfId="2452" applyNumberFormat="1" applyFont="1" applyFill="1" applyBorder="1" applyAlignment="1">
      <alignment horizontal="center" vertical="center"/>
    </xf>
    <xf numFmtId="0" fontId="29" fillId="2" borderId="25" xfId="2450" applyFont="1" applyFill="1" applyBorder="1" applyAlignment="1">
      <alignment horizontal="center" vertical="center"/>
    </xf>
    <xf numFmtId="0" fontId="29" fillId="3" borderId="6" xfId="2450" applyFont="1" applyFill="1" applyBorder="1" applyAlignment="1">
      <alignment horizontal="center" vertical="center"/>
    </xf>
    <xf numFmtId="0" fontId="29" fillId="0" borderId="24" xfId="2450" applyFont="1" applyBorder="1" applyAlignment="1">
      <alignment horizontal="center" vertical="center"/>
    </xf>
    <xf numFmtId="0" fontId="29" fillId="0" borderId="56" xfId="2450" applyFont="1" applyBorder="1" applyAlignment="1">
      <alignment horizontal="center" vertical="center"/>
    </xf>
    <xf numFmtId="0" fontId="29" fillId="0" borderId="22" xfId="2450" applyFont="1" applyBorder="1" applyAlignment="1">
      <alignment horizontal="center" vertical="center"/>
    </xf>
    <xf numFmtId="0" fontId="29" fillId="3" borderId="56" xfId="2450" applyFont="1" applyFill="1" applyBorder="1" applyAlignment="1">
      <alignment horizontal="center" vertical="center"/>
    </xf>
    <xf numFmtId="0" fontId="29" fillId="0" borderId="12" xfId="2450" applyFont="1" applyBorder="1" applyAlignment="1">
      <alignment horizontal="center" vertical="center"/>
    </xf>
    <xf numFmtId="0" fontId="30" fillId="3" borderId="40" xfId="2450" applyFont="1" applyFill="1" applyBorder="1" applyAlignment="1">
      <alignment horizontal="center" vertical="center"/>
    </xf>
    <xf numFmtId="0" fontId="30" fillId="3" borderId="48" xfId="2450" applyFont="1" applyFill="1" applyBorder="1" applyAlignment="1">
      <alignment horizontal="center" vertical="center"/>
    </xf>
    <xf numFmtId="0" fontId="29" fillId="0" borderId="53" xfId="2450" applyFont="1" applyFill="1" applyBorder="1" applyAlignment="1">
      <alignment horizontal="center" vertical="center"/>
    </xf>
    <xf numFmtId="0" fontId="29" fillId="0" borderId="5" xfId="2450" applyFont="1" applyFill="1" applyBorder="1" applyAlignment="1">
      <alignment horizontal="center" vertical="center"/>
    </xf>
    <xf numFmtId="0" fontId="29" fillId="0" borderId="32" xfId="2450" applyFont="1" applyFill="1" applyBorder="1" applyAlignment="1">
      <alignment horizontal="center" vertical="center"/>
    </xf>
    <xf numFmtId="0" fontId="29" fillId="6" borderId="26" xfId="2450" applyFont="1" applyFill="1" applyBorder="1" applyAlignment="1">
      <alignment horizontal="center" vertical="center"/>
    </xf>
    <xf numFmtId="0" fontId="29" fillId="2" borderId="53" xfId="2450" applyFont="1" applyFill="1" applyBorder="1" applyAlignment="1">
      <alignment horizontal="center" vertical="center"/>
    </xf>
    <xf numFmtId="0" fontId="29" fillId="2" borderId="5" xfId="2450" applyFont="1" applyFill="1" applyBorder="1" applyAlignment="1">
      <alignment horizontal="center" vertical="center"/>
    </xf>
    <xf numFmtId="0" fontId="29" fillId="0" borderId="10" xfId="2450" applyFont="1" applyBorder="1" applyAlignment="1">
      <alignment horizontal="center" vertical="center"/>
    </xf>
    <xf numFmtId="0" fontId="29" fillId="0" borderId="45" xfId="2450" applyFont="1" applyBorder="1" applyAlignment="1">
      <alignment horizontal="center" vertical="center"/>
    </xf>
    <xf numFmtId="0" fontId="29" fillId="0" borderId="46" xfId="2450" applyFont="1" applyBorder="1" applyAlignment="1">
      <alignment horizontal="center" vertical="center"/>
    </xf>
    <xf numFmtId="0" fontId="29" fillId="0" borderId="34" xfId="2450" applyFont="1" applyBorder="1" applyAlignment="1">
      <alignment horizontal="center" vertical="center"/>
    </xf>
    <xf numFmtId="0" fontId="29" fillId="0" borderId="0" xfId="2450" applyFont="1" applyBorder="1" applyAlignment="1">
      <alignment horizontal="center" vertical="center"/>
    </xf>
    <xf numFmtId="0" fontId="29" fillId="0" borderId="33" xfId="2450" applyFont="1" applyBorder="1" applyAlignment="1">
      <alignment horizontal="center" vertical="center"/>
    </xf>
    <xf numFmtId="0" fontId="29" fillId="0" borderId="53" xfId="2450" applyFont="1" applyBorder="1" applyAlignment="1">
      <alignment horizontal="center" vertical="center"/>
    </xf>
    <xf numFmtId="0" fontId="29" fillId="0" borderId="5" xfId="2450" applyFont="1" applyBorder="1" applyAlignment="1">
      <alignment horizontal="center" vertical="center"/>
    </xf>
    <xf numFmtId="0" fontId="29" fillId="0" borderId="48" xfId="2450" applyFont="1" applyBorder="1" applyAlignment="1">
      <alignment horizontal="center" vertical="center"/>
    </xf>
    <xf numFmtId="0" fontId="103" fillId="3" borderId="36" xfId="2450" applyFont="1" applyFill="1" applyBorder="1" applyAlignment="1">
      <alignment horizontal="center" vertical="center"/>
    </xf>
    <xf numFmtId="0" fontId="103" fillId="3" borderId="9" xfId="2450" applyFont="1" applyFill="1" applyBorder="1" applyAlignment="1">
      <alignment horizontal="center" vertical="center"/>
    </xf>
    <xf numFmtId="0" fontId="103" fillId="0" borderId="6" xfId="2450" applyFont="1" applyFill="1" applyBorder="1" applyAlignment="1">
      <alignment horizontal="center" vertical="center"/>
    </xf>
    <xf numFmtId="0" fontId="103" fillId="0" borderId="3" xfId="2450" applyFont="1" applyFill="1" applyBorder="1" applyAlignment="1">
      <alignment horizontal="center" vertical="center"/>
    </xf>
    <xf numFmtId="0" fontId="103" fillId="0" borderId="9" xfId="2450" applyFont="1" applyFill="1" applyBorder="1" applyAlignment="1">
      <alignment horizontal="center" vertical="center"/>
    </xf>
    <xf numFmtId="0" fontId="103" fillId="0" borderId="45" xfId="2450" applyFont="1" applyFill="1" applyBorder="1" applyAlignment="1">
      <alignment horizontal="center" vertical="center" wrapText="1"/>
    </xf>
    <xf numFmtId="0" fontId="29" fillId="0" borderId="45" xfId="2450" applyFont="1" applyFill="1" applyBorder="1" applyAlignment="1">
      <alignment horizontal="center" vertical="center" wrapText="1"/>
    </xf>
    <xf numFmtId="0" fontId="29" fillId="0" borderId="47" xfId="2450" applyFont="1" applyFill="1" applyBorder="1" applyAlignment="1">
      <alignment horizontal="center" vertical="center" wrapText="1"/>
    </xf>
    <xf numFmtId="0" fontId="103" fillId="0" borderId="22" xfId="2450" applyFont="1" applyFill="1" applyBorder="1" applyAlignment="1">
      <alignment horizontal="center" vertical="center"/>
    </xf>
    <xf numFmtId="0" fontId="29" fillId="3" borderId="67" xfId="2450" applyFont="1" applyFill="1" applyBorder="1" applyAlignment="1">
      <alignment horizontal="center" vertical="center"/>
    </xf>
    <xf numFmtId="0" fontId="29" fillId="3" borderId="28" xfId="2450" applyFont="1" applyFill="1" applyBorder="1" applyAlignment="1">
      <alignment horizontal="center" vertical="center"/>
    </xf>
    <xf numFmtId="0" fontId="29" fillId="3" borderId="29" xfId="2450" applyFont="1" applyFill="1" applyBorder="1" applyAlignment="1">
      <alignment horizontal="center" vertical="center"/>
    </xf>
    <xf numFmtId="0" fontId="29" fillId="2" borderId="28" xfId="2450" applyFont="1" applyFill="1" applyBorder="1" applyAlignment="1">
      <alignment horizontal="center" vertical="center"/>
    </xf>
    <xf numFmtId="0" fontId="29" fillId="2" borderId="29" xfId="2450" applyFont="1" applyFill="1" applyBorder="1" applyAlignment="1">
      <alignment horizontal="center" vertical="center"/>
    </xf>
    <xf numFmtId="0" fontId="29" fillId="0" borderId="66" xfId="2450" applyFont="1" applyBorder="1" applyAlignment="1">
      <alignment horizontal="center" vertical="center"/>
    </xf>
    <xf numFmtId="0" fontId="29" fillId="0" borderId="42" xfId="2450" applyFont="1" applyBorder="1" applyAlignment="1">
      <alignment horizontal="center" vertical="center"/>
    </xf>
    <xf numFmtId="0" fontId="29" fillId="0" borderId="67" xfId="2450" applyFont="1" applyBorder="1" applyAlignment="1">
      <alignment horizontal="center" vertical="center"/>
    </xf>
    <xf numFmtId="0" fontId="29" fillId="0" borderId="44" xfId="2450" applyFont="1" applyBorder="1" applyAlignment="1">
      <alignment horizontal="center" vertical="center"/>
    </xf>
    <xf numFmtId="0" fontId="29" fillId="0" borderId="49" xfId="2450" applyFont="1" applyBorder="1" applyAlignment="1">
      <alignment horizontal="center" vertical="center"/>
    </xf>
    <xf numFmtId="0" fontId="29" fillId="0" borderId="8" xfId="2450" applyFont="1" applyBorder="1" applyAlignment="1">
      <alignment horizontal="center" vertical="center"/>
    </xf>
    <xf numFmtId="183" fontId="29" fillId="0" borderId="12" xfId="2452" applyNumberFormat="1" applyFont="1" applyBorder="1" applyAlignment="1">
      <alignment horizontal="center" vertical="center"/>
    </xf>
    <xf numFmtId="183" fontId="29" fillId="0" borderId="26" xfId="2452" applyNumberFormat="1" applyFont="1" applyBorder="1" applyAlignment="1">
      <alignment horizontal="center" vertical="center"/>
    </xf>
    <xf numFmtId="183" fontId="29" fillId="0" borderId="28" xfId="2463" applyNumberFormat="1" applyFont="1" applyBorder="1" applyAlignment="1">
      <alignment horizontal="center" vertical="center"/>
    </xf>
    <xf numFmtId="183" fontId="29" fillId="0" borderId="13" xfId="2463" applyNumberFormat="1" applyFont="1" applyBorder="1" applyAlignment="1">
      <alignment horizontal="center" vertical="center"/>
    </xf>
    <xf numFmtId="183" fontId="29" fillId="0" borderId="13" xfId="2452" applyNumberFormat="1" applyFont="1" applyBorder="1" applyAlignment="1">
      <alignment horizontal="center" vertical="center"/>
    </xf>
    <xf numFmtId="183" fontId="29" fillId="0" borderId="28" xfId="2452" applyNumberFormat="1" applyFont="1" applyBorder="1" applyAlignment="1">
      <alignment horizontal="center" vertical="center"/>
    </xf>
    <xf numFmtId="177" fontId="37" fillId="4" borderId="36" xfId="2452" applyNumberFormat="1" applyFont="1" applyFill="1" applyBorder="1" applyAlignment="1">
      <alignment horizontal="center" vertical="center"/>
    </xf>
    <xf numFmtId="177" fontId="37" fillId="4" borderId="20" xfId="2452" applyNumberFormat="1" applyFont="1" applyFill="1" applyBorder="1" applyAlignment="1">
      <alignment horizontal="center" vertical="center"/>
    </xf>
    <xf numFmtId="183" fontId="29" fillId="0" borderId="64" xfId="2463" applyNumberFormat="1" applyFont="1" applyBorder="1" applyAlignment="1">
      <alignment horizontal="center" vertical="center"/>
    </xf>
    <xf numFmtId="183" fontId="29" fillId="0" borderId="80" xfId="2463" applyNumberFormat="1" applyFont="1" applyBorder="1" applyAlignment="1">
      <alignment horizontal="center" vertical="center"/>
    </xf>
    <xf numFmtId="183" fontId="29" fillId="0" borderId="12" xfId="2452" applyNumberFormat="1" applyFont="1" applyFill="1" applyBorder="1" applyAlignment="1">
      <alignment horizontal="center" vertical="center"/>
    </xf>
    <xf numFmtId="183" fontId="29" fillId="0" borderId="26" xfId="2452" applyNumberFormat="1" applyFont="1" applyFill="1" applyBorder="1" applyAlignment="1">
      <alignment horizontal="center" vertical="center"/>
    </xf>
    <xf numFmtId="183" fontId="29" fillId="0" borderId="13" xfId="2452" applyNumberFormat="1" applyFont="1" applyFill="1" applyBorder="1" applyAlignment="1">
      <alignment horizontal="center" vertical="center"/>
    </xf>
    <xf numFmtId="176" fontId="37" fillId="4" borderId="55" xfId="2452" applyNumberFormat="1" applyFont="1" applyFill="1" applyBorder="1" applyAlignment="1">
      <alignment horizontal="center" vertical="center"/>
    </xf>
    <xf numFmtId="176" fontId="37" fillId="4" borderId="50" xfId="2452" applyNumberFormat="1" applyFont="1" applyFill="1" applyBorder="1" applyAlignment="1">
      <alignment horizontal="center" vertical="center"/>
    </xf>
    <xf numFmtId="183" fontId="29" fillId="0" borderId="63" xfId="2463" applyNumberFormat="1" applyFont="1" applyBorder="1" applyAlignment="1">
      <alignment horizontal="center" vertical="center"/>
    </xf>
    <xf numFmtId="183" fontId="29" fillId="0" borderId="17" xfId="2463" applyNumberFormat="1" applyFont="1" applyBorder="1" applyAlignment="1">
      <alignment horizontal="center" vertical="center"/>
    </xf>
    <xf numFmtId="183" fontId="29" fillId="0" borderId="28" xfId="2452" applyNumberFormat="1" applyFont="1" applyFill="1" applyBorder="1" applyAlignment="1">
      <alignment horizontal="center" vertical="center"/>
    </xf>
    <xf numFmtId="183" fontId="29" fillId="0" borderId="28" xfId="2463" applyNumberFormat="1" applyFont="1" applyFill="1" applyBorder="1" applyAlignment="1">
      <alignment horizontal="center" vertical="center"/>
    </xf>
    <xf numFmtId="183" fontId="29" fillId="0" borderId="13" xfId="2463" applyNumberFormat="1" applyFont="1" applyFill="1" applyBorder="1" applyAlignment="1">
      <alignment horizontal="center" vertical="center"/>
    </xf>
    <xf numFmtId="183" fontId="29" fillId="0" borderId="60" xfId="2463" applyNumberFormat="1" applyFont="1" applyBorder="1" applyAlignment="1">
      <alignment horizontal="center" vertical="center"/>
    </xf>
    <xf numFmtId="176" fontId="138" fillId="4" borderId="36" xfId="2452" applyNumberFormat="1" applyFont="1" applyFill="1" applyBorder="1" applyAlignment="1">
      <alignment horizontal="center" vertical="center"/>
    </xf>
    <xf numFmtId="176" fontId="138" fillId="4" borderId="20" xfId="2452" applyNumberFormat="1" applyFont="1" applyFill="1" applyBorder="1" applyAlignment="1">
      <alignment horizontal="center" vertical="center"/>
    </xf>
    <xf numFmtId="176" fontId="29" fillId="3" borderId="80" xfId="0" applyNumberFormat="1" applyFont="1" applyFill="1" applyBorder="1" applyAlignment="1">
      <alignment horizontal="center" vertical="center" wrapText="1"/>
    </xf>
    <xf numFmtId="176" fontId="29" fillId="3" borderId="50" xfId="2452" applyNumberFormat="1" applyFont="1" applyFill="1" applyBorder="1" applyAlignment="1">
      <alignment horizontal="center" vertical="center"/>
    </xf>
    <xf numFmtId="0" fontId="118" fillId="0" borderId="36" xfId="2453" applyFont="1" applyFill="1" applyBorder="1" applyAlignment="1">
      <alignment horizontal="center" vertical="center"/>
    </xf>
    <xf numFmtId="0" fontId="118" fillId="0" borderId="3" xfId="2453" applyFont="1" applyFill="1" applyBorder="1" applyAlignment="1">
      <alignment horizontal="center" vertical="center"/>
    </xf>
    <xf numFmtId="0" fontId="118" fillId="0" borderId="20" xfId="2453" applyFont="1" applyFill="1" applyBorder="1" applyAlignment="1">
      <alignment horizontal="center" vertical="center"/>
    </xf>
    <xf numFmtId="0" fontId="118" fillId="6" borderId="37" xfId="2453" applyFont="1" applyFill="1" applyBorder="1" applyAlignment="1">
      <alignment horizontal="center" vertical="center" shrinkToFit="1"/>
    </xf>
    <xf numFmtId="0" fontId="118" fillId="6" borderId="56" xfId="2453" applyFont="1" applyFill="1" applyBorder="1" applyAlignment="1">
      <alignment horizontal="center" vertical="center" shrinkToFit="1"/>
    </xf>
    <xf numFmtId="0" fontId="118" fillId="6" borderId="21" xfId="2453" applyFont="1" applyFill="1" applyBorder="1" applyAlignment="1">
      <alignment horizontal="center" vertical="center" shrinkToFit="1"/>
    </xf>
    <xf numFmtId="0" fontId="120" fillId="5" borderId="15" xfId="2453" applyFont="1" applyFill="1" applyBorder="1" applyAlignment="1">
      <alignment horizontal="center" vertical="center"/>
    </xf>
    <xf numFmtId="0" fontId="120" fillId="5" borderId="16" xfId="2453" applyFont="1" applyFill="1" applyBorder="1" applyAlignment="1">
      <alignment horizontal="center" vertical="center"/>
    </xf>
    <xf numFmtId="0" fontId="118" fillId="6" borderId="48" xfId="2453" applyFont="1" applyFill="1" applyBorder="1" applyAlignment="1">
      <alignment horizontal="left" vertical="center"/>
    </xf>
    <xf numFmtId="0" fontId="118" fillId="6" borderId="26" xfId="2453" applyFont="1" applyFill="1" applyBorder="1" applyAlignment="1">
      <alignment horizontal="left" vertical="center"/>
    </xf>
    <xf numFmtId="0" fontId="118" fillId="0" borderId="7" xfId="2453" applyFont="1" applyFill="1" applyBorder="1" applyAlignment="1">
      <alignment horizontal="center" vertical="center"/>
    </xf>
    <xf numFmtId="0" fontId="118" fillId="0" borderId="16" xfId="2453" applyFont="1" applyFill="1" applyBorder="1" applyAlignment="1">
      <alignment horizontal="center" vertical="center"/>
    </xf>
    <xf numFmtId="0" fontId="120" fillId="5" borderId="35" xfId="2453" applyFont="1" applyFill="1" applyBorder="1" applyAlignment="1">
      <alignment horizontal="center" vertical="center"/>
    </xf>
    <xf numFmtId="0" fontId="120" fillId="5" borderId="47" xfId="2453" applyFont="1" applyFill="1" applyBorder="1" applyAlignment="1">
      <alignment horizontal="center" vertical="center"/>
    </xf>
    <xf numFmtId="0" fontId="120" fillId="5" borderId="38" xfId="2453" applyFont="1" applyFill="1" applyBorder="1" applyAlignment="1">
      <alignment horizontal="center" vertical="center"/>
    </xf>
    <xf numFmtId="0" fontId="120" fillId="5" borderId="39" xfId="2453" applyFont="1" applyFill="1" applyBorder="1" applyAlignment="1">
      <alignment horizontal="center" vertical="center"/>
    </xf>
    <xf numFmtId="0" fontId="120" fillId="5" borderId="78" xfId="2453" applyFont="1" applyFill="1" applyBorder="1" applyAlignment="1">
      <alignment horizontal="center" vertical="center"/>
    </xf>
    <xf numFmtId="0" fontId="120" fillId="5" borderId="58" xfId="2453" applyFont="1" applyFill="1" applyBorder="1" applyAlignment="1">
      <alignment horizontal="center" vertical="center"/>
    </xf>
    <xf numFmtId="0" fontId="118" fillId="6" borderId="35" xfId="2453" applyFont="1" applyFill="1" applyBorder="1" applyAlignment="1">
      <alignment horizontal="center" vertical="center" wrapText="1"/>
    </xf>
    <xf numFmtId="0" fontId="118" fillId="6" borderId="45" xfId="2453" applyFont="1" applyFill="1" applyBorder="1" applyAlignment="1">
      <alignment horizontal="center" vertical="center" wrapText="1"/>
    </xf>
    <xf numFmtId="0" fontId="118" fillId="6" borderId="47" xfId="2453" applyFont="1" applyFill="1" applyBorder="1" applyAlignment="1">
      <alignment horizontal="center" vertical="center" wrapText="1"/>
    </xf>
    <xf numFmtId="0" fontId="118" fillId="6" borderId="38" xfId="2453" applyFont="1" applyFill="1" applyBorder="1" applyAlignment="1">
      <alignment horizontal="center" vertical="center" wrapText="1"/>
    </xf>
    <xf numFmtId="0" fontId="118" fillId="6" borderId="0" xfId="2453" applyFont="1" applyFill="1" applyBorder="1" applyAlignment="1">
      <alignment horizontal="center" vertical="center" wrapText="1"/>
    </xf>
    <xf numFmtId="0" fontId="118" fillId="6" borderId="39" xfId="2453" applyFont="1" applyFill="1" applyBorder="1" applyAlignment="1">
      <alignment horizontal="center" vertical="center" wrapText="1"/>
    </xf>
    <xf numFmtId="0" fontId="118" fillId="6" borderId="40" xfId="2453" applyFont="1" applyFill="1" applyBorder="1" applyAlignment="1">
      <alignment horizontal="center" vertical="center" wrapText="1"/>
    </xf>
    <xf numFmtId="0" fontId="118" fillId="6" borderId="5" xfId="2453" applyFont="1" applyFill="1" applyBorder="1" applyAlignment="1">
      <alignment horizontal="center" vertical="center" wrapText="1"/>
    </xf>
    <xf numFmtId="0" fontId="118" fillId="6" borderId="32" xfId="2453" applyFont="1" applyFill="1" applyBorder="1" applyAlignment="1">
      <alignment horizontal="center" vertical="center" wrapText="1"/>
    </xf>
    <xf numFmtId="0" fontId="121" fillId="5" borderId="117" xfId="2450" applyFont="1" applyFill="1" applyBorder="1" applyAlignment="1">
      <alignment horizontal="center" vertical="center"/>
    </xf>
    <xf numFmtId="0" fontId="121" fillId="5" borderId="2" xfId="2450" applyFont="1" applyFill="1" applyBorder="1" applyAlignment="1">
      <alignment horizontal="center" vertical="center"/>
    </xf>
    <xf numFmtId="0" fontId="121" fillId="5" borderId="91" xfId="2450" applyFont="1" applyFill="1" applyBorder="1" applyAlignment="1">
      <alignment horizontal="center" vertical="center"/>
    </xf>
    <xf numFmtId="0" fontId="118" fillId="0" borderId="45" xfId="2453" applyFont="1" applyFill="1" applyBorder="1" applyAlignment="1">
      <alignment horizontal="center" vertical="center" wrapText="1"/>
    </xf>
    <xf numFmtId="0" fontId="118" fillId="0" borderId="47" xfId="2453" applyFont="1" applyFill="1" applyBorder="1" applyAlignment="1">
      <alignment horizontal="center" vertical="center" wrapText="1"/>
    </xf>
    <xf numFmtId="0" fontId="118" fillId="0" borderId="0" xfId="2453" applyFont="1" applyFill="1" applyBorder="1" applyAlignment="1">
      <alignment horizontal="center" vertical="center" wrapText="1"/>
    </xf>
    <xf numFmtId="0" fontId="118" fillId="0" borderId="39" xfId="2453" applyFont="1" applyFill="1" applyBorder="1" applyAlignment="1">
      <alignment horizontal="center" vertical="center" wrapText="1"/>
    </xf>
    <xf numFmtId="0" fontId="118" fillId="0" borderId="49" xfId="2453" applyFont="1" applyFill="1" applyBorder="1" applyAlignment="1">
      <alignment horizontal="center" vertical="center" wrapText="1"/>
    </xf>
    <xf numFmtId="0" fontId="118" fillId="0" borderId="58" xfId="2453" applyFont="1" applyFill="1" applyBorder="1" applyAlignment="1">
      <alignment horizontal="center" vertical="center" wrapText="1"/>
    </xf>
    <xf numFmtId="0" fontId="118" fillId="0" borderId="55" xfId="2453" applyFont="1" applyFill="1" applyBorder="1" applyAlignment="1">
      <alignment horizontal="center" vertical="center"/>
    </xf>
    <xf numFmtId="0" fontId="118" fillId="0" borderId="65" xfId="2453" applyFont="1" applyFill="1" applyBorder="1" applyAlignment="1">
      <alignment horizontal="center" vertical="center"/>
    </xf>
    <xf numFmtId="0" fontId="118" fillId="0" borderId="50" xfId="2453" applyFont="1" applyFill="1" applyBorder="1" applyAlignment="1">
      <alignment horizontal="center" vertical="center"/>
    </xf>
    <xf numFmtId="0" fontId="120" fillId="5" borderId="19" xfId="2453" applyFont="1" applyFill="1" applyBorder="1" applyAlignment="1">
      <alignment horizontal="center" vertical="center"/>
    </xf>
    <xf numFmtId="0" fontId="120" fillId="5" borderId="11" xfId="2453" applyFont="1" applyFill="1" applyBorder="1" applyAlignment="1">
      <alignment horizontal="center" vertical="center"/>
    </xf>
    <xf numFmtId="0" fontId="118" fillId="6" borderId="9" xfId="2453" applyFont="1" applyFill="1" applyBorder="1" applyAlignment="1">
      <alignment horizontal="left" vertical="center" wrapText="1"/>
    </xf>
    <xf numFmtId="0" fontId="118" fillId="6" borderId="4" xfId="2453" applyFont="1" applyFill="1" applyBorder="1" applyAlignment="1">
      <alignment horizontal="left" vertical="center" wrapText="1"/>
    </xf>
    <xf numFmtId="0" fontId="118" fillId="6" borderId="13" xfId="2453" applyFont="1" applyFill="1" applyBorder="1" applyAlignment="1">
      <alignment horizontal="left" vertical="center" wrapText="1"/>
    </xf>
    <xf numFmtId="0" fontId="118" fillId="6" borderId="12" xfId="2453" applyFont="1" applyFill="1" applyBorder="1" applyAlignment="1">
      <alignment horizontal="left" vertical="center" wrapText="1"/>
    </xf>
    <xf numFmtId="0" fontId="118" fillId="0" borderId="4" xfId="2453" applyFont="1" applyFill="1" applyBorder="1" applyAlignment="1">
      <alignment horizontal="center" vertical="center"/>
    </xf>
    <xf numFmtId="0" fontId="118" fillId="0" borderId="11" xfId="2453" applyFont="1" applyFill="1" applyBorder="1" applyAlignment="1">
      <alignment horizontal="center" vertical="center"/>
    </xf>
    <xf numFmtId="0" fontId="118" fillId="0" borderId="9" xfId="2453" applyFont="1" applyFill="1" applyBorder="1" applyAlignment="1">
      <alignment horizontal="center" vertical="center"/>
    </xf>
    <xf numFmtId="0" fontId="118" fillId="6" borderId="78" xfId="2453" applyFont="1" applyFill="1" applyBorder="1" applyAlignment="1">
      <alignment horizontal="center" vertical="center" wrapText="1"/>
    </xf>
    <xf numFmtId="0" fontId="118" fillId="6" borderId="49" xfId="2453" applyFont="1" applyFill="1" applyBorder="1" applyAlignment="1">
      <alignment horizontal="center" vertical="center" wrapText="1"/>
    </xf>
    <xf numFmtId="0" fontId="121" fillId="5" borderId="55" xfId="2450" applyFont="1" applyFill="1" applyBorder="1" applyAlignment="1">
      <alignment horizontal="center" vertical="center"/>
    </xf>
    <xf numFmtId="0" fontId="121" fillId="5" borderId="54" xfId="2450" applyFont="1" applyFill="1" applyBorder="1" applyAlignment="1">
      <alignment horizontal="center" vertical="center"/>
    </xf>
    <xf numFmtId="0" fontId="121" fillId="5" borderId="40" xfId="2450" applyFont="1" applyFill="1" applyBorder="1" applyAlignment="1">
      <alignment horizontal="center" vertical="center"/>
    </xf>
    <xf numFmtId="0" fontId="121" fillId="5" borderId="48" xfId="2450" applyFont="1" applyFill="1" applyBorder="1" applyAlignment="1">
      <alignment horizontal="center" vertical="center"/>
    </xf>
    <xf numFmtId="0" fontId="120" fillId="5" borderId="19" xfId="2453" applyFont="1" applyFill="1" applyBorder="1" applyAlignment="1">
      <alignment horizontal="center" vertical="center" wrapText="1"/>
    </xf>
    <xf numFmtId="0" fontId="120" fillId="5" borderId="11" xfId="2453" applyFont="1" applyFill="1" applyBorder="1" applyAlignment="1">
      <alignment horizontal="center" vertical="center" wrapText="1"/>
    </xf>
    <xf numFmtId="0" fontId="118" fillId="6" borderId="6" xfId="2453" applyFont="1" applyFill="1" applyBorder="1" applyAlignment="1">
      <alignment horizontal="left" vertical="center" wrapText="1"/>
    </xf>
    <xf numFmtId="0" fontId="118" fillId="0" borderId="9" xfId="2453" applyFont="1" applyFill="1" applyBorder="1" applyAlignment="1">
      <alignment horizontal="center" vertical="center" wrapText="1"/>
    </xf>
    <xf numFmtId="0" fontId="118" fillId="0" borderId="4" xfId="2453" applyFont="1" applyFill="1" applyBorder="1" applyAlignment="1">
      <alignment horizontal="center" vertical="center" wrapText="1"/>
    </xf>
    <xf numFmtId="0" fontId="118" fillId="0" borderId="11" xfId="2453" applyFont="1" applyFill="1" applyBorder="1" applyAlignment="1">
      <alignment horizontal="center" vertical="center" wrapText="1"/>
    </xf>
    <xf numFmtId="0" fontId="120" fillId="5" borderId="30" xfId="2453" applyFont="1" applyFill="1" applyBorder="1" applyAlignment="1">
      <alignment horizontal="center" vertical="center" wrapText="1"/>
    </xf>
    <xf numFmtId="0" fontId="120" fillId="5" borderId="13" xfId="2453" applyFont="1" applyFill="1" applyBorder="1" applyAlignment="1">
      <alignment horizontal="center" vertical="center" wrapText="1"/>
    </xf>
    <xf numFmtId="0" fontId="120" fillId="5" borderId="7" xfId="2453" applyFont="1" applyFill="1" applyBorder="1" applyAlignment="1">
      <alignment horizontal="center" vertical="center"/>
    </xf>
    <xf numFmtId="9" fontId="29" fillId="0" borderId="11" xfId="2450" applyNumberFormat="1" applyFont="1" applyFill="1" applyBorder="1" applyAlignment="1">
      <alignment horizontal="center" vertical="center"/>
    </xf>
    <xf numFmtId="9" fontId="29" fillId="0" borderId="25" xfId="2450" applyNumberFormat="1" applyFont="1" applyFill="1" applyBorder="1" applyAlignment="1">
      <alignment horizontal="center" vertical="center"/>
    </xf>
    <xf numFmtId="9" fontId="118" fillId="0" borderId="12" xfId="2453" applyNumberFormat="1" applyFont="1" applyFill="1" applyBorder="1" applyAlignment="1">
      <alignment horizontal="center" vertical="center"/>
    </xf>
    <xf numFmtId="0" fontId="28" fillId="3" borderId="18" xfId="2450" applyFont="1" applyFill="1" applyBorder="1" applyAlignment="1">
      <alignment horizontal="center" vertical="center"/>
    </xf>
    <xf numFmtId="0" fontId="28" fillId="3" borderId="17" xfId="2450" applyFont="1" applyFill="1" applyBorder="1" applyAlignment="1">
      <alignment horizontal="center" vertical="center"/>
    </xf>
    <xf numFmtId="0" fontId="28" fillId="3" borderId="13" xfId="2450" applyFont="1" applyFill="1" applyBorder="1" applyAlignment="1">
      <alignment horizontal="center" vertical="center"/>
    </xf>
    <xf numFmtId="0" fontId="120" fillId="3" borderId="30" xfId="2453" applyFont="1" applyFill="1" applyBorder="1" applyAlignment="1">
      <alignment horizontal="center" vertical="center"/>
    </xf>
    <xf numFmtId="0" fontId="120" fillId="3" borderId="14" xfId="2453" applyFont="1" applyFill="1" applyBorder="1" applyAlignment="1">
      <alignment horizontal="center" vertical="center"/>
    </xf>
    <xf numFmtId="0" fontId="28" fillId="3" borderId="28" xfId="2450" applyFont="1" applyFill="1" applyBorder="1" applyAlignment="1">
      <alignment horizontal="center" vertical="center"/>
    </xf>
    <xf numFmtId="0" fontId="118" fillId="6" borderId="9" xfId="2453" applyFont="1" applyFill="1" applyBorder="1" applyAlignment="1">
      <alignment horizontal="left" vertical="center"/>
    </xf>
    <xf numFmtId="0" fontId="118" fillId="6" borderId="4" xfId="2453" applyFont="1" applyFill="1" applyBorder="1" applyAlignment="1">
      <alignment horizontal="left" vertical="center"/>
    </xf>
    <xf numFmtId="0" fontId="118" fillId="6" borderId="6" xfId="2453" applyFont="1" applyFill="1" applyBorder="1" applyAlignment="1">
      <alignment horizontal="left" vertical="center"/>
    </xf>
    <xf numFmtId="0" fontId="28" fillId="3" borderId="24" xfId="2453" applyFont="1" applyFill="1" applyBorder="1" applyAlignment="1">
      <alignment horizontal="center" vertical="center"/>
    </xf>
    <xf numFmtId="0" fontId="118" fillId="2" borderId="9" xfId="2453" applyFont="1" applyFill="1" applyBorder="1" applyAlignment="1">
      <alignment horizontal="left" vertical="center"/>
    </xf>
    <xf numFmtId="0" fontId="118" fillId="2" borderId="4" xfId="2453" applyFont="1" applyFill="1" applyBorder="1" applyAlignment="1">
      <alignment horizontal="left" vertical="center"/>
    </xf>
    <xf numFmtId="0" fontId="118" fillId="2" borderId="6" xfId="2453" applyFont="1" applyFill="1" applyBorder="1" applyAlignment="1">
      <alignment horizontal="center" vertical="center"/>
    </xf>
    <xf numFmtId="0" fontId="118" fillId="2" borderId="3" xfId="2453" applyFont="1" applyFill="1" applyBorder="1" applyAlignment="1">
      <alignment horizontal="center" vertical="center"/>
    </xf>
    <xf numFmtId="0" fontId="118" fillId="2" borderId="20" xfId="2453" applyFont="1" applyFill="1" applyBorder="1" applyAlignment="1">
      <alignment horizontal="center" vertical="center"/>
    </xf>
    <xf numFmtId="0" fontId="134" fillId="3" borderId="15" xfId="2453" applyFont="1" applyFill="1" applyBorder="1" applyAlignment="1">
      <alignment horizontal="center" vertical="center"/>
    </xf>
    <xf numFmtId="0" fontId="134" fillId="3" borderId="16" xfId="2453" applyFont="1" applyFill="1" applyBorder="1" applyAlignment="1">
      <alignment horizontal="center" vertical="center"/>
    </xf>
    <xf numFmtId="0" fontId="134" fillId="0" borderId="22" xfId="2453" applyFont="1" applyFill="1" applyBorder="1" applyAlignment="1">
      <alignment horizontal="left" vertical="center" wrapText="1"/>
    </xf>
    <xf numFmtId="0" fontId="134" fillId="0" borderId="7" xfId="2453" applyFont="1" applyFill="1" applyBorder="1" applyAlignment="1">
      <alignment horizontal="left" vertical="center" wrapText="1"/>
    </xf>
    <xf numFmtId="0" fontId="134" fillId="0" borderId="7" xfId="2453" applyFont="1" applyFill="1" applyBorder="1" applyAlignment="1">
      <alignment horizontal="center" vertical="center" wrapText="1"/>
    </xf>
    <xf numFmtId="0" fontId="134" fillId="0" borderId="16" xfId="2453" applyFont="1" applyFill="1" applyBorder="1" applyAlignment="1">
      <alignment horizontal="center" vertical="center" wrapText="1"/>
    </xf>
    <xf numFmtId="0" fontId="118" fillId="0" borderId="22" xfId="2453" applyFont="1" applyFill="1" applyBorder="1" applyAlignment="1">
      <alignment horizontal="left" vertical="center"/>
    </xf>
    <xf numFmtId="0" fontId="118" fillId="0" borderId="7" xfId="2453" applyFont="1" applyFill="1" applyBorder="1" applyAlignment="1">
      <alignment horizontal="left" vertical="center"/>
    </xf>
    <xf numFmtId="0" fontId="118" fillId="0" borderId="24" xfId="2453" applyFont="1" applyFill="1" applyBorder="1" applyAlignment="1">
      <alignment horizontal="center" vertical="center"/>
    </xf>
    <xf numFmtId="0" fontId="118" fillId="0" borderId="56" xfId="2453" applyFont="1" applyFill="1" applyBorder="1" applyAlignment="1">
      <alignment horizontal="center" vertical="center"/>
    </xf>
    <xf numFmtId="0" fontId="118" fillId="0" borderId="21" xfId="2453" applyFont="1" applyFill="1" applyBorder="1" applyAlignment="1">
      <alignment horizontal="center" vertical="center"/>
    </xf>
    <xf numFmtId="0" fontId="120" fillId="3" borderId="54" xfId="2453" applyFont="1" applyFill="1" applyBorder="1" applyAlignment="1">
      <alignment horizontal="center" vertical="center"/>
    </xf>
    <xf numFmtId="0" fontId="120" fillId="3" borderId="23" xfId="2453" applyFont="1" applyFill="1" applyBorder="1" applyAlignment="1">
      <alignment horizontal="center" vertical="center"/>
    </xf>
    <xf numFmtId="0" fontId="118" fillId="6" borderId="22" xfId="2453" applyFont="1" applyFill="1" applyBorder="1" applyAlignment="1">
      <alignment vertical="center"/>
    </xf>
    <xf numFmtId="0" fontId="118" fillId="6" borderId="7" xfId="2453" applyFont="1" applyFill="1" applyBorder="1" applyAlignment="1">
      <alignment vertical="center"/>
    </xf>
    <xf numFmtId="0" fontId="120" fillId="3" borderId="27" xfId="2453" applyFont="1" applyFill="1" applyBorder="1" applyAlignment="1">
      <alignment horizontal="center" vertical="center"/>
    </xf>
    <xf numFmtId="0" fontId="120" fillId="3" borderId="65" xfId="2453" applyFont="1" applyFill="1" applyBorder="1" applyAlignment="1">
      <alignment horizontal="center" vertical="center"/>
    </xf>
    <xf numFmtId="0" fontId="120" fillId="3" borderId="50" xfId="2453" applyFont="1" applyFill="1" applyBorder="1" applyAlignment="1">
      <alignment horizontal="center" vertical="center"/>
    </xf>
    <xf numFmtId="0" fontId="117" fillId="4" borderId="97" xfId="2450" applyFont="1" applyFill="1" applyBorder="1" applyAlignment="1">
      <alignment horizontal="center" vertical="center"/>
    </xf>
    <xf numFmtId="0" fontId="120" fillId="5" borderId="19" xfId="2450" applyFont="1" applyFill="1" applyBorder="1" applyAlignment="1">
      <alignment horizontal="center" vertical="center"/>
    </xf>
    <xf numFmtId="0" fontId="120" fillId="5" borderId="11" xfId="2450" applyFont="1" applyFill="1" applyBorder="1" applyAlignment="1">
      <alignment horizontal="center" vertical="center"/>
    </xf>
    <xf numFmtId="0" fontId="118" fillId="6" borderId="3" xfId="2453" applyFont="1" applyFill="1" applyBorder="1" applyAlignment="1">
      <alignment vertical="center" wrapText="1"/>
    </xf>
    <xf numFmtId="0" fontId="118" fillId="6" borderId="3" xfId="2453" applyFont="1" applyFill="1" applyBorder="1" applyAlignment="1">
      <alignment vertical="center"/>
    </xf>
    <xf numFmtId="0" fontId="118" fillId="6" borderId="9" xfId="2453" applyFont="1" applyFill="1" applyBorder="1" applyAlignment="1">
      <alignment vertical="center"/>
    </xf>
    <xf numFmtId="176" fontId="29" fillId="0" borderId="13" xfId="2453" applyNumberFormat="1" applyFont="1" applyFill="1" applyBorder="1" applyAlignment="1">
      <alignment horizontal="center" vertical="center"/>
    </xf>
    <xf numFmtId="176" fontId="29" fillId="0" borderId="7" xfId="2453" applyNumberFormat="1" applyFont="1" applyFill="1" applyBorder="1" applyAlignment="1">
      <alignment horizontal="center" vertical="center"/>
    </xf>
    <xf numFmtId="176" fontId="29" fillId="0" borderId="44" xfId="2453" applyNumberFormat="1" applyFont="1" applyFill="1" applyBorder="1" applyAlignment="1">
      <alignment horizontal="center" vertical="center"/>
    </xf>
    <xf numFmtId="176" fontId="29" fillId="0" borderId="24" xfId="2453" applyNumberFormat="1" applyFont="1" applyFill="1" applyBorder="1" applyAlignment="1">
      <alignment horizontal="center" vertical="center"/>
    </xf>
    <xf numFmtId="176" fontId="29" fillId="0" borderId="31" xfId="2453" applyNumberFormat="1" applyFont="1" applyFill="1" applyBorder="1" applyAlignment="1">
      <alignment horizontal="center" vertical="center"/>
    </xf>
    <xf numFmtId="176" fontId="29" fillId="0" borderId="26" xfId="2453" applyNumberFormat="1" applyFont="1" applyFill="1" applyBorder="1" applyAlignment="1">
      <alignment horizontal="center" vertical="center"/>
    </xf>
    <xf numFmtId="183" fontId="29" fillId="0" borderId="34" xfId="2463" applyNumberFormat="1" applyFont="1" applyFill="1" applyBorder="1" applyAlignment="1">
      <alignment horizontal="center" vertical="center"/>
    </xf>
    <xf numFmtId="183" fontId="29" fillId="0" borderId="53" xfId="2463" applyNumberFormat="1" applyFont="1" applyFill="1" applyBorder="1" applyAlignment="1">
      <alignment horizontal="center" vertical="center"/>
    </xf>
    <xf numFmtId="0" fontId="127" fillId="5" borderId="64" xfId="2450" applyFont="1" applyFill="1" applyBorder="1" applyAlignment="1">
      <alignment horizontal="center" vertical="center"/>
    </xf>
    <xf numFmtId="0" fontId="127" fillId="5" borderId="80" xfId="2450" applyFont="1" applyFill="1" applyBorder="1" applyAlignment="1">
      <alignment horizontal="center" vertical="center"/>
    </xf>
    <xf numFmtId="176" fontId="29" fillId="2" borderId="33" xfId="2453" applyNumberFormat="1" applyFont="1" applyFill="1" applyBorder="1" applyAlignment="1">
      <alignment horizontal="center" vertical="center"/>
    </xf>
    <xf numFmtId="176" fontId="29" fillId="2" borderId="48" xfId="2453" applyNumberFormat="1" applyFont="1" applyFill="1" applyBorder="1" applyAlignment="1">
      <alignment horizontal="center" vertical="center"/>
    </xf>
    <xf numFmtId="176" fontId="29" fillId="2" borderId="31" xfId="2453" applyNumberFormat="1" applyFont="1" applyFill="1" applyBorder="1" applyAlignment="1">
      <alignment horizontal="center" vertical="center"/>
    </xf>
    <xf numFmtId="176" fontId="29" fillId="2" borderId="26" xfId="2453" applyNumberFormat="1" applyFont="1" applyFill="1" applyBorder="1" applyAlignment="1">
      <alignment horizontal="center" vertical="center"/>
    </xf>
    <xf numFmtId="176" fontId="29" fillId="0" borderId="31" xfId="2453" applyNumberFormat="1" applyFont="1" applyBorder="1" applyAlignment="1">
      <alignment horizontal="center" vertical="center"/>
    </xf>
    <xf numFmtId="176" fontId="29" fillId="0" borderId="26" xfId="2453" applyNumberFormat="1" applyFont="1" applyBorder="1" applyAlignment="1">
      <alignment horizontal="center" vertical="center"/>
    </xf>
    <xf numFmtId="176" fontId="29" fillId="0" borderId="6" xfId="2453" applyNumberFormat="1" applyFont="1" applyFill="1" applyBorder="1" applyAlignment="1">
      <alignment horizontal="center" vertical="center"/>
    </xf>
    <xf numFmtId="9" fontId="29" fillId="5" borderId="4" xfId="2453" applyNumberFormat="1" applyFont="1" applyFill="1" applyBorder="1" applyAlignment="1">
      <alignment horizontal="center" vertical="center"/>
    </xf>
    <xf numFmtId="176" fontId="28" fillId="7" borderId="44" xfId="2453" applyNumberFormat="1" applyFont="1" applyFill="1" applyBorder="1" applyAlignment="1">
      <alignment horizontal="center" vertical="center"/>
    </xf>
    <xf numFmtId="176" fontId="28" fillId="7" borderId="49" xfId="2453" applyNumberFormat="1" applyFont="1" applyFill="1" applyBorder="1" applyAlignment="1">
      <alignment horizontal="center" vertical="center"/>
    </xf>
    <xf numFmtId="176" fontId="28" fillId="7" borderId="58" xfId="2453" applyNumberFormat="1" applyFont="1" applyFill="1" applyBorder="1" applyAlignment="1">
      <alignment horizontal="center" vertical="center"/>
    </xf>
    <xf numFmtId="176" fontId="29" fillId="2" borderId="64" xfId="2453" applyNumberFormat="1" applyFont="1" applyFill="1" applyBorder="1" applyAlignment="1">
      <alignment horizontal="center" vertical="center"/>
    </xf>
    <xf numFmtId="176" fontId="29" fillId="2" borderId="80" xfId="2453" applyNumberFormat="1" applyFont="1" applyFill="1" applyBorder="1" applyAlignment="1">
      <alignment horizontal="center" vertical="center"/>
    </xf>
    <xf numFmtId="9" fontId="29" fillId="5" borderId="7" xfId="2453" applyNumberFormat="1" applyFont="1" applyFill="1" applyBorder="1" applyAlignment="1">
      <alignment horizontal="center" vertical="center"/>
    </xf>
    <xf numFmtId="176" fontId="29" fillId="0" borderId="4" xfId="2453" applyNumberFormat="1" applyFont="1" applyFill="1" applyBorder="1" applyAlignment="1">
      <alignment horizontal="center" vertical="center"/>
    </xf>
    <xf numFmtId="0" fontId="102" fillId="5" borderId="80" xfId="2450" applyFont="1" applyFill="1" applyBorder="1" applyAlignment="1">
      <alignment horizontal="center" vertical="center"/>
    </xf>
    <xf numFmtId="0" fontId="102" fillId="5" borderId="30" xfId="2450" applyFont="1" applyFill="1" applyBorder="1" applyAlignment="1">
      <alignment horizontal="center" vertical="center"/>
    </xf>
    <xf numFmtId="0" fontId="102" fillId="5" borderId="19" xfId="2450" applyFont="1" applyFill="1" applyBorder="1" applyAlignment="1">
      <alignment horizontal="center" vertical="center"/>
    </xf>
    <xf numFmtId="0" fontId="102" fillId="5" borderId="15" xfId="2450" applyFont="1" applyFill="1" applyBorder="1" applyAlignment="1">
      <alignment horizontal="center" vertical="center"/>
    </xf>
    <xf numFmtId="176" fontId="28" fillId="7" borderId="13" xfId="2453" applyNumberFormat="1" applyFont="1" applyFill="1" applyBorder="1" applyAlignment="1">
      <alignment horizontal="center" vertical="center"/>
    </xf>
    <xf numFmtId="176" fontId="28" fillId="7" borderId="18" xfId="2453" applyNumberFormat="1" applyFont="1" applyFill="1" applyBorder="1" applyAlignment="1">
      <alignment horizontal="center" vertical="center"/>
    </xf>
    <xf numFmtId="176" fontId="29" fillId="2" borderId="17" xfId="2453" applyNumberFormat="1" applyFont="1" applyFill="1" applyBorder="1" applyAlignment="1">
      <alignment horizontal="center" vertical="center"/>
    </xf>
    <xf numFmtId="176" fontId="29" fillId="0" borderId="12" xfId="2453" applyNumberFormat="1" applyFont="1" applyFill="1" applyBorder="1" applyAlignment="1">
      <alignment horizontal="center" vertical="center"/>
    </xf>
    <xf numFmtId="176" fontId="28" fillId="7" borderId="4" xfId="2453" applyNumberFormat="1" applyFont="1" applyFill="1" applyBorder="1" applyAlignment="1">
      <alignment horizontal="center" vertical="center"/>
    </xf>
    <xf numFmtId="176" fontId="28" fillId="7" borderId="11" xfId="2453" applyNumberFormat="1" applyFont="1" applyFill="1" applyBorder="1" applyAlignment="1">
      <alignment horizontal="center" vertical="center"/>
    </xf>
    <xf numFmtId="176" fontId="29" fillId="2" borderId="46" xfId="2453" applyNumberFormat="1" applyFont="1" applyFill="1" applyBorder="1" applyAlignment="1">
      <alignment horizontal="center" vertical="center"/>
    </xf>
    <xf numFmtId="176" fontId="29" fillId="2" borderId="8" xfId="2453" applyNumberFormat="1" applyFont="1" applyFill="1" applyBorder="1" applyAlignment="1">
      <alignment horizontal="center" vertical="center"/>
    </xf>
    <xf numFmtId="176" fontId="29" fillId="0" borderId="28" xfId="2453" applyNumberFormat="1" applyFont="1" applyFill="1" applyBorder="1" applyAlignment="1">
      <alignment horizontal="center" vertical="center"/>
    </xf>
    <xf numFmtId="176" fontId="29" fillId="0" borderId="23" xfId="2453" applyNumberFormat="1" applyFont="1" applyFill="1" applyBorder="1" applyAlignment="1">
      <alignment horizontal="center" vertical="center"/>
    </xf>
    <xf numFmtId="176" fontId="29" fillId="2" borderId="12" xfId="2453" applyNumberFormat="1" applyFont="1" applyFill="1" applyBorder="1" applyAlignment="1">
      <alignment horizontal="center" vertical="center"/>
    </xf>
    <xf numFmtId="176" fontId="29" fillId="2" borderId="13" xfId="2453" applyNumberFormat="1" applyFont="1" applyFill="1" applyBorder="1" applyAlignment="1">
      <alignment horizontal="center" vertical="center"/>
    </xf>
    <xf numFmtId="176" fontId="29" fillId="0" borderId="10" xfId="2453" applyNumberFormat="1" applyFont="1" applyFill="1" applyBorder="1" applyAlignment="1">
      <alignment horizontal="center" vertical="center"/>
    </xf>
    <xf numFmtId="9" fontId="29" fillId="3" borderId="12" xfId="2453" applyNumberFormat="1" applyFont="1" applyFill="1" applyBorder="1" applyAlignment="1">
      <alignment horizontal="center" vertical="center"/>
    </xf>
    <xf numFmtId="176" fontId="28" fillId="7" borderId="23" xfId="2453" applyNumberFormat="1" applyFont="1" applyFill="1" applyBorder="1" applyAlignment="1">
      <alignment horizontal="center" vertical="center"/>
    </xf>
    <xf numFmtId="176" fontId="28" fillId="7" borderId="14" xfId="2453" applyNumberFormat="1" applyFont="1" applyFill="1" applyBorder="1" applyAlignment="1">
      <alignment horizontal="center" vertical="center"/>
    </xf>
    <xf numFmtId="176" fontId="29" fillId="2" borderId="67" xfId="2453" applyNumberFormat="1" applyFont="1" applyFill="1" applyBorder="1" applyAlignment="1">
      <alignment horizontal="center" vertical="center"/>
    </xf>
    <xf numFmtId="176" fontId="29" fillId="2" borderId="28" xfId="2453" applyNumberFormat="1" applyFont="1" applyFill="1" applyBorder="1" applyAlignment="1">
      <alignment horizontal="center" vertical="center"/>
    </xf>
    <xf numFmtId="176" fontId="29" fillId="0" borderId="27" xfId="2453" applyNumberFormat="1" applyFont="1" applyFill="1" applyBorder="1" applyAlignment="1">
      <alignment horizontal="center" vertical="center"/>
    </xf>
    <xf numFmtId="9" fontId="29" fillId="5" borderId="12" xfId="2453" applyNumberFormat="1" applyFont="1" applyFill="1" applyBorder="1" applyAlignment="1">
      <alignment horizontal="center" vertical="center"/>
    </xf>
    <xf numFmtId="9" fontId="29" fillId="3" borderId="4" xfId="2453" applyNumberFormat="1" applyFont="1" applyFill="1" applyBorder="1" applyAlignment="1">
      <alignment horizontal="center" vertical="center"/>
    </xf>
    <xf numFmtId="176" fontId="29" fillId="2" borderId="60" xfId="2453" applyNumberFormat="1" applyFont="1" applyFill="1" applyBorder="1" applyAlignment="1">
      <alignment horizontal="center" vertical="center"/>
    </xf>
    <xf numFmtId="176" fontId="29" fillId="0" borderId="11" xfId="2453" applyNumberFormat="1" applyFont="1" applyFill="1" applyBorder="1" applyAlignment="1">
      <alignment horizontal="center" vertical="center"/>
    </xf>
    <xf numFmtId="176" fontId="28" fillId="7" borderId="27" xfId="2453" applyNumberFormat="1" applyFont="1" applyFill="1" applyBorder="1" applyAlignment="1">
      <alignment horizontal="center" vertical="center"/>
    </xf>
    <xf numFmtId="176" fontId="28" fillId="7" borderId="65" xfId="2453" applyNumberFormat="1" applyFont="1" applyFill="1" applyBorder="1" applyAlignment="1">
      <alignment horizontal="center" vertical="center"/>
    </xf>
    <xf numFmtId="176" fontId="28" fillId="7" borderId="50" xfId="2453" applyNumberFormat="1" applyFont="1" applyFill="1" applyBorder="1" applyAlignment="1">
      <alignment horizontal="center" vertical="center"/>
    </xf>
    <xf numFmtId="0" fontId="102" fillId="5" borderId="17" xfId="2450" applyFont="1" applyFill="1" applyBorder="1" applyAlignment="1">
      <alignment horizontal="center" vertical="center"/>
    </xf>
    <xf numFmtId="0" fontId="102" fillId="5" borderId="60" xfId="2450" applyFont="1" applyFill="1" applyBorder="1" applyAlignment="1">
      <alignment horizontal="center" vertical="center"/>
    </xf>
    <xf numFmtId="176" fontId="120" fillId="7" borderId="13" xfId="2453" applyNumberFormat="1" applyFont="1" applyFill="1" applyBorder="1" applyAlignment="1">
      <alignment horizontal="center" vertical="center"/>
    </xf>
    <xf numFmtId="176" fontId="120" fillId="7" borderId="18" xfId="2453" applyNumberFormat="1" applyFont="1" applyFill="1" applyBorder="1" applyAlignment="1">
      <alignment horizontal="center" vertical="center"/>
    </xf>
    <xf numFmtId="9" fontId="29" fillId="3" borderId="30" xfId="2453" applyNumberFormat="1" applyFont="1" applyFill="1" applyBorder="1" applyAlignment="1">
      <alignment horizontal="center" vertical="center"/>
    </xf>
    <xf numFmtId="9" fontId="29" fillId="3" borderId="23" xfId="2453" applyNumberFormat="1" applyFont="1" applyFill="1" applyBorder="1" applyAlignment="1">
      <alignment horizontal="center" vertical="center"/>
    </xf>
    <xf numFmtId="9" fontId="29" fillId="3" borderId="54" xfId="2453" applyNumberFormat="1" applyFont="1" applyFill="1" applyBorder="1" applyAlignment="1">
      <alignment horizontal="center" vertical="center"/>
    </xf>
    <xf numFmtId="176" fontId="29" fillId="3" borderId="7" xfId="2453" applyNumberFormat="1" applyFont="1" applyFill="1" applyBorder="1" applyAlignment="1">
      <alignment horizontal="center" vertical="center" wrapText="1"/>
    </xf>
    <xf numFmtId="176" fontId="29" fillId="8" borderId="24" xfId="2453" applyNumberFormat="1" applyFont="1" applyFill="1" applyBorder="1" applyAlignment="1">
      <alignment horizontal="center" vertical="center" wrapText="1"/>
    </xf>
    <xf numFmtId="176" fontId="29" fillId="8" borderId="22" xfId="2453" applyNumberFormat="1" applyFont="1" applyFill="1" applyBorder="1" applyAlignment="1">
      <alignment horizontal="center" vertical="center" wrapText="1"/>
    </xf>
    <xf numFmtId="176" fontId="28" fillId="3" borderId="55" xfId="2453" applyNumberFormat="1" applyFont="1" applyFill="1" applyBorder="1" applyAlignment="1">
      <alignment horizontal="center" vertical="center" wrapText="1"/>
    </xf>
    <xf numFmtId="176" fontId="28" fillId="3" borderId="65" xfId="2453" applyNumberFormat="1" applyFont="1" applyFill="1" applyBorder="1" applyAlignment="1">
      <alignment horizontal="center" vertical="center" wrapText="1"/>
    </xf>
    <xf numFmtId="176" fontId="28" fillId="3" borderId="50" xfId="2453" applyNumberFormat="1" applyFont="1" applyFill="1" applyBorder="1" applyAlignment="1">
      <alignment horizontal="center" vertical="center" wrapText="1"/>
    </xf>
    <xf numFmtId="176" fontId="29" fillId="8" borderId="27" xfId="2453" applyNumberFormat="1" applyFont="1" applyFill="1" applyBorder="1" applyAlignment="1">
      <alignment horizontal="center" vertical="center"/>
    </xf>
    <xf numFmtId="176" fontId="29" fillId="8" borderId="65" xfId="2453" applyNumberFormat="1" applyFont="1" applyFill="1" applyBorder="1" applyAlignment="1">
      <alignment horizontal="center" vertical="center"/>
    </xf>
    <xf numFmtId="176" fontId="29" fillId="8" borderId="54" xfId="2453" applyNumberFormat="1" applyFont="1" applyFill="1" applyBorder="1" applyAlignment="1">
      <alignment horizontal="center" vertical="center"/>
    </xf>
    <xf numFmtId="176" fontId="29" fillId="8" borderId="29" xfId="2453" applyNumberFormat="1" applyFont="1" applyFill="1" applyBorder="1" applyAlignment="1">
      <alignment horizontal="center" vertical="center" wrapText="1"/>
    </xf>
    <xf numFmtId="176" fontId="29" fillId="8" borderId="79" xfId="2453" applyNumberFormat="1" applyFont="1" applyFill="1" applyBorder="1" applyAlignment="1">
      <alignment horizontal="center" vertical="center" wrapText="1"/>
    </xf>
    <xf numFmtId="9" fontId="29" fillId="3" borderId="14" xfId="2453" applyNumberFormat="1" applyFont="1" applyFill="1" applyBorder="1" applyAlignment="1">
      <alignment horizontal="center" vertical="center"/>
    </xf>
    <xf numFmtId="176" fontId="29" fillId="3" borderId="54" xfId="2453" applyNumberFormat="1" applyFont="1" applyFill="1" applyBorder="1" applyAlignment="1">
      <alignment horizontal="center" vertical="center"/>
    </xf>
    <xf numFmtId="176" fontId="29" fillId="3" borderId="23" xfId="2453" applyNumberFormat="1" applyFont="1" applyFill="1" applyBorder="1" applyAlignment="1">
      <alignment horizontal="center" vertical="center"/>
    </xf>
    <xf numFmtId="0" fontId="27" fillId="6" borderId="34" xfId="2450" applyFont="1" applyFill="1" applyBorder="1" applyAlignment="1">
      <alignment horizontal="center" vertical="center" wrapText="1"/>
    </xf>
    <xf numFmtId="0" fontId="27" fillId="6" borderId="0" xfId="2450" applyFont="1" applyFill="1" applyBorder="1" applyAlignment="1">
      <alignment horizontal="center" vertical="center" wrapText="1"/>
    </xf>
    <xf numFmtId="0" fontId="27" fillId="6" borderId="33" xfId="2450" applyFont="1" applyFill="1" applyBorder="1" applyAlignment="1">
      <alignment horizontal="center" vertical="center" wrapText="1"/>
    </xf>
    <xf numFmtId="0" fontId="30" fillId="6" borderId="53" xfId="2450" quotePrefix="1" applyFont="1" applyFill="1" applyBorder="1" applyAlignment="1">
      <alignment horizontal="center" vertical="center"/>
    </xf>
    <xf numFmtId="0" fontId="30" fillId="6" borderId="5" xfId="2450" quotePrefix="1" applyFont="1" applyFill="1" applyBorder="1" applyAlignment="1">
      <alignment horizontal="center" vertical="center"/>
    </xf>
    <xf numFmtId="0" fontId="30" fillId="6" borderId="48" xfId="2450" quotePrefix="1" applyFont="1" applyFill="1" applyBorder="1" applyAlignment="1">
      <alignment horizontal="center" vertical="center"/>
    </xf>
    <xf numFmtId="0" fontId="29" fillId="6" borderId="12" xfId="0" applyFont="1" applyFill="1" applyBorder="1" applyAlignment="1">
      <alignment horizontal="center" vertical="center"/>
    </xf>
    <xf numFmtId="0" fontId="29" fillId="3" borderId="12" xfId="0" applyFont="1" applyFill="1" applyBorder="1" applyAlignment="1">
      <alignment horizontal="center" vertical="center"/>
    </xf>
    <xf numFmtId="0" fontId="29" fillId="3" borderId="25" xfId="0" applyFont="1" applyFill="1" applyBorder="1" applyAlignment="1">
      <alignment horizontal="center" vertical="center"/>
    </xf>
    <xf numFmtId="9" fontId="29" fillId="0" borderId="12" xfId="0" applyNumberFormat="1" applyFont="1" applyBorder="1" applyAlignment="1">
      <alignment horizontal="center" vertical="center"/>
    </xf>
    <xf numFmtId="9" fontId="29" fillId="0" borderId="26" xfId="0" applyNumberFormat="1" applyFont="1" applyBorder="1" applyAlignment="1">
      <alignment horizontal="center" vertical="center"/>
    </xf>
    <xf numFmtId="9" fontId="29" fillId="0" borderId="10" xfId="0" applyNumberFormat="1" applyFont="1" applyBorder="1" applyAlignment="1">
      <alignment horizontal="center" vertical="center"/>
    </xf>
    <xf numFmtId="9" fontId="29" fillId="0" borderId="53" xfId="0" applyNumberFormat="1" applyFont="1" applyBorder="1" applyAlignment="1">
      <alignment horizontal="center" vertical="center"/>
    </xf>
    <xf numFmtId="9" fontId="29" fillId="0" borderId="101" xfId="0" applyNumberFormat="1" applyFont="1" applyBorder="1" applyAlignment="1">
      <alignment horizontal="center" vertical="center"/>
    </xf>
    <xf numFmtId="9" fontId="29" fillId="0" borderId="147" xfId="0" applyNumberFormat="1" applyFont="1" applyBorder="1" applyAlignment="1">
      <alignment horizontal="center" vertical="center"/>
    </xf>
    <xf numFmtId="9" fontId="29" fillId="0" borderId="47" xfId="0" applyNumberFormat="1" applyFont="1" applyBorder="1" applyAlignment="1">
      <alignment horizontal="center" vertical="center"/>
    </xf>
    <xf numFmtId="9" fontId="29" fillId="0" borderId="32" xfId="0" applyNumberFormat="1" applyFont="1" applyBorder="1" applyAlignment="1">
      <alignment horizontal="center" vertical="center"/>
    </xf>
    <xf numFmtId="0" fontId="27" fillId="3" borderId="4" xfId="0" applyFont="1" applyFill="1" applyBorder="1" applyAlignment="1"/>
    <xf numFmtId="0" fontId="29" fillId="0" borderId="6" xfId="0" applyFont="1" applyFill="1" applyBorder="1" applyAlignment="1">
      <alignment horizontal="center" vertical="center" wrapText="1"/>
    </xf>
    <xf numFmtId="0" fontId="29" fillId="3" borderId="36" xfId="0" applyFont="1" applyFill="1" applyBorder="1" applyAlignment="1">
      <alignment horizontal="center" vertical="center"/>
    </xf>
    <xf numFmtId="0" fontId="29" fillId="0" borderId="9" xfId="0" applyFont="1" applyFill="1" applyBorder="1" applyAlignment="1">
      <alignment horizontal="center" vertical="center"/>
    </xf>
    <xf numFmtId="0" fontId="103" fillId="0" borderId="24" xfId="0" applyFont="1" applyFill="1" applyBorder="1" applyAlignment="1">
      <alignment horizontal="center" vertical="center"/>
    </xf>
    <xf numFmtId="0" fontId="103" fillId="0" borderId="56" xfId="0" applyFont="1" applyFill="1" applyBorder="1" applyAlignment="1">
      <alignment horizontal="center" vertical="center"/>
    </xf>
    <xf numFmtId="0" fontId="103" fillId="0" borderId="21" xfId="0" applyFont="1" applyFill="1" applyBorder="1" applyAlignment="1">
      <alignment horizontal="center" vertical="center"/>
    </xf>
    <xf numFmtId="0" fontId="21" fillId="4" borderId="97" xfId="0" applyFont="1" applyFill="1" applyBorder="1" applyAlignment="1">
      <alignment horizontal="center" vertical="center"/>
    </xf>
    <xf numFmtId="176" fontId="29" fillId="3" borderId="55" xfId="0" applyNumberFormat="1" applyFont="1" applyFill="1" applyBorder="1" applyAlignment="1">
      <alignment horizontal="center" vertical="center" wrapText="1"/>
    </xf>
    <xf numFmtId="176" fontId="29" fillId="3" borderId="65" xfId="0" applyNumberFormat="1" applyFont="1" applyFill="1" applyBorder="1" applyAlignment="1">
      <alignment horizontal="center" vertical="center" wrapText="1"/>
    </xf>
    <xf numFmtId="176" fontId="29" fillId="3" borderId="50" xfId="0" applyNumberFormat="1" applyFont="1" applyFill="1" applyBorder="1" applyAlignment="1">
      <alignment horizontal="center" vertical="center"/>
    </xf>
    <xf numFmtId="176" fontId="29" fillId="3" borderId="30" xfId="0" applyNumberFormat="1" applyFont="1" applyFill="1" applyBorder="1" applyAlignment="1">
      <alignment horizontal="center" vertical="center"/>
    </xf>
    <xf numFmtId="176" fontId="29" fillId="3" borderId="23" xfId="0" applyNumberFormat="1" applyFont="1" applyFill="1" applyBorder="1" applyAlignment="1">
      <alignment horizontal="center" vertical="center"/>
    </xf>
    <xf numFmtId="176" fontId="29" fillId="2" borderId="106" xfId="0" applyNumberFormat="1" applyFont="1" applyFill="1" applyBorder="1" applyAlignment="1">
      <alignment horizontal="center" vertical="center"/>
    </xf>
    <xf numFmtId="176" fontId="29" fillId="2" borderId="108" xfId="0" applyNumberFormat="1" applyFont="1" applyFill="1" applyBorder="1" applyAlignment="1">
      <alignment horizontal="center" vertical="center"/>
    </xf>
    <xf numFmtId="176" fontId="29" fillId="2" borderId="98" xfId="0" applyNumberFormat="1" applyFont="1" applyFill="1" applyBorder="1" applyAlignment="1">
      <alignment horizontal="center" vertical="center"/>
    </xf>
    <xf numFmtId="176" fontId="29" fillId="2" borderId="59" xfId="0" applyNumberFormat="1" applyFont="1" applyFill="1" applyBorder="1" applyAlignment="1">
      <alignment horizontal="center" vertical="center"/>
    </xf>
    <xf numFmtId="176" fontId="29" fillId="2" borderId="107" xfId="0" applyNumberFormat="1" applyFont="1" applyFill="1" applyBorder="1" applyAlignment="1">
      <alignment horizontal="center" vertical="center"/>
    </xf>
    <xf numFmtId="176" fontId="29" fillId="2" borderId="109" xfId="0" applyNumberFormat="1" applyFont="1" applyFill="1" applyBorder="1" applyAlignment="1">
      <alignment horizontal="center" vertical="center"/>
    </xf>
    <xf numFmtId="176" fontId="29" fillId="3" borderId="7" xfId="0" applyNumberFormat="1" applyFont="1" applyFill="1" applyBorder="1" applyAlignment="1">
      <alignment horizontal="center" vertical="center" wrapText="1"/>
    </xf>
    <xf numFmtId="176" fontId="29" fillId="3" borderId="24" xfId="0" applyNumberFormat="1" applyFont="1" applyFill="1" applyBorder="1" applyAlignment="1">
      <alignment horizontal="center" vertical="center" wrapText="1"/>
    </xf>
    <xf numFmtId="176" fontId="29" fillId="3" borderId="85" xfId="0" applyNumberFormat="1" applyFont="1" applyFill="1" applyBorder="1" applyAlignment="1">
      <alignment horizontal="center" vertical="center"/>
    </xf>
    <xf numFmtId="176" fontId="29" fillId="3" borderId="86" xfId="0" applyNumberFormat="1" applyFont="1" applyFill="1" applyBorder="1" applyAlignment="1">
      <alignment horizontal="center" vertical="center"/>
    </xf>
    <xf numFmtId="176" fontId="29" fillId="2" borderId="55" xfId="0" applyNumberFormat="1" applyFont="1" applyFill="1" applyBorder="1" applyAlignment="1">
      <alignment horizontal="center" vertical="center"/>
    </xf>
    <xf numFmtId="0" fontId="34" fillId="2" borderId="65" xfId="0" applyFont="1" applyFill="1" applyBorder="1" applyAlignment="1"/>
    <xf numFmtId="0" fontId="34" fillId="2" borderId="50" xfId="0" applyFont="1" applyFill="1" applyBorder="1" applyAlignment="1"/>
    <xf numFmtId="176" fontId="29" fillId="3" borderId="83" xfId="0" applyNumberFormat="1" applyFont="1" applyFill="1" applyBorder="1" applyAlignment="1">
      <alignment horizontal="center" vertical="center"/>
    </xf>
    <xf numFmtId="176" fontId="29" fillId="0" borderId="55" xfId="0" applyNumberFormat="1" applyFont="1" applyFill="1" applyBorder="1" applyAlignment="1">
      <alignment horizontal="center" vertical="center"/>
    </xf>
    <xf numFmtId="0" fontId="34" fillId="0" borderId="65" xfId="0" applyFont="1" applyFill="1" applyBorder="1" applyAlignment="1"/>
    <xf numFmtId="0" fontId="34" fillId="0" borderId="50" xfId="0" applyFont="1" applyFill="1" applyBorder="1" applyAlignment="1"/>
    <xf numFmtId="176" fontId="29" fillId="3" borderId="82" xfId="0" applyNumberFormat="1" applyFont="1" applyFill="1" applyBorder="1" applyAlignment="1">
      <alignment horizontal="center" vertical="center"/>
    </xf>
    <xf numFmtId="176" fontId="29" fillId="2" borderId="54" xfId="0" applyNumberFormat="1" applyFont="1" applyFill="1" applyBorder="1" applyAlignment="1">
      <alignment horizontal="center" vertical="center"/>
    </xf>
    <xf numFmtId="176" fontId="29" fillId="2" borderId="23" xfId="0" applyNumberFormat="1" applyFont="1" applyFill="1" applyBorder="1" applyAlignment="1">
      <alignment horizontal="center" vertical="center"/>
    </xf>
    <xf numFmtId="176" fontId="29" fillId="2" borderId="14" xfId="0" applyNumberFormat="1" applyFont="1" applyFill="1" applyBorder="1" applyAlignment="1">
      <alignment horizontal="center" vertical="center"/>
    </xf>
    <xf numFmtId="176" fontId="29" fillId="2" borderId="74" xfId="0" applyNumberFormat="1" applyFont="1" applyFill="1" applyBorder="1" applyAlignment="1">
      <alignment horizontal="center" vertical="center"/>
    </xf>
    <xf numFmtId="176" fontId="29" fillId="2" borderId="99" xfId="0" applyNumberFormat="1" applyFont="1" applyFill="1" applyBorder="1" applyAlignment="1">
      <alignment horizontal="center" vertical="center"/>
    </xf>
    <xf numFmtId="176" fontId="29" fillId="2" borderId="11" xfId="0" applyNumberFormat="1" applyFont="1" applyFill="1" applyBorder="1" applyAlignment="1">
      <alignment horizontal="center" vertical="center"/>
    </xf>
    <xf numFmtId="176" fontId="29" fillId="2" borderId="111" xfId="0" applyNumberFormat="1" applyFont="1" applyFill="1" applyBorder="1" applyAlignment="1">
      <alignment horizontal="center" vertical="center"/>
    </xf>
    <xf numFmtId="176" fontId="29" fillId="2" borderId="110" xfId="0" applyNumberFormat="1" applyFont="1" applyFill="1" applyBorder="1" applyAlignment="1">
      <alignment horizontal="center" vertical="center"/>
    </xf>
    <xf numFmtId="176" fontId="29" fillId="2" borderId="100" xfId="0" applyNumberFormat="1" applyFont="1" applyFill="1" applyBorder="1" applyAlignment="1">
      <alignment horizontal="center" vertical="center"/>
    </xf>
    <xf numFmtId="176" fontId="29" fillId="2" borderId="71" xfId="0" applyNumberFormat="1" applyFont="1" applyFill="1" applyBorder="1" applyAlignment="1">
      <alignment horizontal="center" vertical="center"/>
    </xf>
    <xf numFmtId="176" fontId="29" fillId="2" borderId="120" xfId="0" applyNumberFormat="1" applyFont="1" applyFill="1" applyBorder="1" applyAlignment="1">
      <alignment horizontal="center" vertical="center"/>
    </xf>
    <xf numFmtId="176" fontId="29" fillId="2" borderId="112" xfId="0" applyNumberFormat="1" applyFont="1" applyFill="1" applyBorder="1" applyAlignment="1">
      <alignment horizontal="center" vertical="center"/>
    </xf>
    <xf numFmtId="176" fontId="29" fillId="2" borderId="57" xfId="0" applyNumberFormat="1" applyFont="1" applyFill="1" applyBorder="1" applyAlignment="1">
      <alignment horizontal="center" vertical="center"/>
    </xf>
    <xf numFmtId="176" fontId="29" fillId="2" borderId="122" xfId="0" applyNumberFormat="1" applyFont="1" applyFill="1" applyBorder="1" applyAlignment="1">
      <alignment horizontal="center" vertical="center"/>
    </xf>
    <xf numFmtId="176" fontId="29" fillId="2" borderId="9" xfId="0" applyNumberFormat="1" applyFont="1" applyFill="1" applyBorder="1" applyAlignment="1">
      <alignment horizontal="center" vertical="center" wrapText="1"/>
    </xf>
    <xf numFmtId="176" fontId="29" fillId="2" borderId="113" xfId="0" applyNumberFormat="1" applyFont="1" applyFill="1" applyBorder="1" applyAlignment="1">
      <alignment horizontal="center" vertical="center"/>
    </xf>
    <xf numFmtId="176" fontId="29" fillId="2" borderId="121" xfId="0" applyNumberFormat="1" applyFont="1" applyFill="1" applyBorder="1" applyAlignment="1">
      <alignment horizontal="center" vertical="center"/>
    </xf>
    <xf numFmtId="176" fontId="29" fillId="0" borderId="9" xfId="0" applyNumberFormat="1" applyFont="1" applyFill="1" applyBorder="1" applyAlignment="1">
      <alignment horizontal="center" vertical="center" wrapText="1"/>
    </xf>
    <xf numFmtId="176" fontId="29" fillId="0" borderId="4" xfId="0" applyNumberFormat="1" applyFont="1" applyFill="1" applyBorder="1" applyAlignment="1">
      <alignment horizontal="center" vertical="center"/>
    </xf>
    <xf numFmtId="176" fontId="29" fillId="0" borderId="11" xfId="0" applyNumberFormat="1" applyFont="1" applyFill="1" applyBorder="1" applyAlignment="1">
      <alignment horizontal="center" vertical="center"/>
    </xf>
    <xf numFmtId="176" fontId="29" fillId="2" borderId="69" xfId="0" applyNumberFormat="1" applyFont="1" applyFill="1" applyBorder="1" applyAlignment="1">
      <alignment horizontal="center" vertical="center"/>
    </xf>
    <xf numFmtId="176" fontId="29" fillId="2" borderId="119" xfId="0" applyNumberFormat="1" applyFont="1" applyFill="1" applyBorder="1" applyAlignment="1">
      <alignment horizontal="center" vertical="center"/>
    </xf>
    <xf numFmtId="176" fontId="29" fillId="2" borderId="8" xfId="0" applyNumberFormat="1" applyFont="1" applyFill="1" applyBorder="1" applyAlignment="1">
      <alignment horizontal="center" vertical="center" wrapText="1"/>
    </xf>
    <xf numFmtId="176" fontId="29" fillId="2" borderId="64" xfId="0" applyNumberFormat="1" applyFont="1" applyFill="1" applyBorder="1" applyAlignment="1">
      <alignment horizontal="center" vertical="center" wrapText="1"/>
    </xf>
    <xf numFmtId="176" fontId="29" fillId="2" borderId="31" xfId="0" applyNumberFormat="1" applyFont="1" applyFill="1" applyBorder="1" applyAlignment="1">
      <alignment horizontal="center" vertical="center"/>
    </xf>
    <xf numFmtId="176" fontId="29" fillId="2" borderId="68" xfId="0" applyNumberFormat="1" applyFont="1" applyFill="1" applyBorder="1" applyAlignment="1">
      <alignment horizontal="center" vertical="center"/>
    </xf>
    <xf numFmtId="176" fontId="29" fillId="2" borderId="73" xfId="0" applyNumberFormat="1" applyFont="1" applyFill="1" applyBorder="1" applyAlignment="1">
      <alignment horizontal="center" vertical="center"/>
    </xf>
    <xf numFmtId="176" fontId="29" fillId="2" borderId="19" xfId="0" applyNumberFormat="1" applyFont="1" applyFill="1" applyBorder="1" applyAlignment="1">
      <alignment horizontal="center" vertical="center" wrapText="1"/>
    </xf>
    <xf numFmtId="176" fontId="29" fillId="2" borderId="124" xfId="0" applyNumberFormat="1" applyFont="1" applyFill="1" applyBorder="1" applyAlignment="1">
      <alignment horizontal="center" vertical="center"/>
    </xf>
    <xf numFmtId="176" fontId="29" fillId="2" borderId="125" xfId="0" applyNumberFormat="1" applyFont="1" applyFill="1" applyBorder="1" applyAlignment="1">
      <alignment horizontal="center" vertical="center"/>
    </xf>
    <xf numFmtId="176" fontId="29" fillId="2" borderId="76" xfId="0" applyNumberFormat="1" applyFont="1" applyFill="1" applyBorder="1" applyAlignment="1">
      <alignment horizontal="center" vertical="center"/>
    </xf>
    <xf numFmtId="176" fontId="29" fillId="0" borderId="111" xfId="0" applyNumberFormat="1" applyFont="1" applyFill="1" applyBorder="1" applyAlignment="1">
      <alignment horizontal="center" vertical="center"/>
    </xf>
    <xf numFmtId="176" fontId="29" fillId="0" borderId="99" xfId="0" applyNumberFormat="1" applyFont="1" applyFill="1" applyBorder="1" applyAlignment="1">
      <alignment horizontal="center" vertical="center"/>
    </xf>
    <xf numFmtId="176" fontId="29" fillId="2" borderId="128" xfId="0" applyNumberFormat="1" applyFont="1" applyFill="1" applyBorder="1" applyAlignment="1">
      <alignment horizontal="center" vertical="center"/>
    </xf>
    <xf numFmtId="176" fontId="29" fillId="2" borderId="70" xfId="0" applyNumberFormat="1" applyFont="1" applyFill="1" applyBorder="1" applyAlignment="1">
      <alignment horizontal="center" vertical="center"/>
    </xf>
    <xf numFmtId="176" fontId="29" fillId="3" borderId="84" xfId="0" applyNumberFormat="1" applyFont="1" applyFill="1" applyBorder="1" applyAlignment="1">
      <alignment horizontal="center" vertical="center"/>
    </xf>
    <xf numFmtId="176" fontId="29" fillId="3" borderId="83" xfId="0" applyNumberFormat="1" applyFont="1" applyFill="1" applyBorder="1" applyAlignment="1">
      <alignment horizontal="center" vertical="center" wrapText="1"/>
    </xf>
    <xf numFmtId="176" fontId="29" fillId="3" borderId="38" xfId="0" applyNumberFormat="1" applyFont="1" applyFill="1" applyBorder="1" applyAlignment="1">
      <alignment horizontal="center" vertical="center" wrapText="1"/>
    </xf>
    <xf numFmtId="176" fontId="107" fillId="3" borderId="82" xfId="0" applyNumberFormat="1" applyFont="1" applyFill="1" applyBorder="1" applyAlignment="1">
      <alignment horizontal="center" vertical="center"/>
    </xf>
    <xf numFmtId="176" fontId="107" fillId="3" borderId="83" xfId="0" applyNumberFormat="1" applyFont="1" applyFill="1" applyBorder="1" applyAlignment="1">
      <alignment horizontal="center" vertical="center"/>
    </xf>
    <xf numFmtId="176" fontId="107" fillId="2" borderId="55" xfId="0" applyNumberFormat="1" applyFont="1" applyFill="1" applyBorder="1" applyAlignment="1">
      <alignment horizontal="center" vertical="center"/>
    </xf>
    <xf numFmtId="0" fontId="135" fillId="2" borderId="65" xfId="0" applyFont="1" applyFill="1" applyBorder="1" applyAlignment="1"/>
    <xf numFmtId="0" fontId="135" fillId="2" borderId="50" xfId="0" applyFont="1" applyFill="1" applyBorder="1" applyAlignment="1"/>
    <xf numFmtId="176" fontId="107" fillId="3" borderId="84" xfId="0" applyNumberFormat="1" applyFont="1" applyFill="1" applyBorder="1" applyAlignment="1">
      <alignment horizontal="center" vertical="center"/>
    </xf>
  </cellXfs>
  <cellStyles count="2497">
    <cellStyle name="_x0001__x0002_" xfId="1"/>
    <cellStyle name="&quot;" xfId="2"/>
    <cellStyle name="&quot;_10월판촉기준최종(본부)" xfId="3"/>
    <cellStyle name="&quot;_8월판촉기준" xfId="4"/>
    <cellStyle name="&quot;_그룹편성" xfId="5"/>
    <cellStyle name="$" xfId="6"/>
    <cellStyle name="$_db진흥" xfId="7"/>
    <cellStyle name="$_견적2" xfId="8"/>
    <cellStyle name="$_기아" xfId="9"/>
    <cellStyle name="??&amp;O?&amp;H?_x0008__x000f__x0007_?_x0007__x0001__x0001_" xfId="10"/>
    <cellStyle name="??&amp;O?&amp;H?_x0008_??_x0007__x0001__x0001_" xfId="11"/>
    <cellStyle name="_(03011) 2분기 (영)평가결과(송부)" xfId="12"/>
    <cellStyle name="_(040223) 영업소 시상금(방광섭)" xfId="13"/>
    <cellStyle name="_200107" xfId="14"/>
    <cellStyle name="_2003.12 지역팀데이타(20040119)" xfId="15"/>
    <cellStyle name="_2004.10.1차 경상비" xfId="16"/>
    <cellStyle name="_2004.1월 2차 경상비" xfId="17"/>
    <cellStyle name="_2005.4월 2차 경상비" xfId="18"/>
    <cellStyle name="_3월지원비" xfId="19"/>
    <cellStyle name="_5월 1차" xfId="20"/>
    <cellStyle name="_dimon" xfId="21"/>
    <cellStyle name="_FY04년 월별배정현황" xfId="22"/>
    <cellStyle name="_Lover" xfId="23"/>
    <cellStyle name="_경상비 검증파일" xfId="24"/>
    <cellStyle name="_소코드1" xfId="25"/>
    <cellStyle name="_업무기술서(2005.4.1자 점포변동관련)" xfId="26"/>
    <cellStyle name="_예산산정(전윤모)" xfId="27"/>
    <cellStyle name="_점포변동에따른 경상비 배정기준" xfId="28"/>
    <cellStyle name="_점포변동에따른 업추비 배정기준" xfId="29"/>
    <cellStyle name="_점포변동에따른 예산배정 기준" xfId="30"/>
    <cellStyle name="¤@?e_TEST-1 " xfId="31"/>
    <cellStyle name="０" xfId="32"/>
    <cellStyle name="A¨­￠￢￠O [0]_INQUIRY ￠?￥i¨u¡AAⓒ￢Aⓒª " xfId="33"/>
    <cellStyle name="A¨­￠￢￠O_INQUIRY ￠?￥i¨u¡AAⓒ￢Aⓒª " xfId="34"/>
    <cellStyle name="AeE­ [0]_ 2ÆAAþº° " xfId="35"/>
    <cellStyle name="ÅëÈ­ [0]_ 2ÆÀÃþº° " xfId="36"/>
    <cellStyle name="AeE­ [0]_ Æ?ÆCAþº° " xfId="37"/>
    <cellStyle name="ÅëÈ­ [0]_ Æ¯ÆÇÃþº° " xfId="38"/>
    <cellStyle name="AeE­ [0]_¸AAa¸AAa¿ø°¡ " xfId="39"/>
    <cellStyle name="ÅëÈ­ [0]_¸ÅÃâ¸ÅÃâ¿ø°¡ " xfId="40"/>
    <cellStyle name="AeE­ [0]_¿¹≫e³≫¿ª " xfId="41"/>
    <cellStyle name="ÅëÈ­ [0]_¿ùº¸¼ö·á " xfId="42"/>
    <cellStyle name="AeE­ [0]_°eE¹3 " xfId="43"/>
    <cellStyle name="ÅëÈ­ [0]_°èÈ¹3 " xfId="44"/>
    <cellStyle name="AeE­ [0]_¼±³³9804" xfId="45"/>
    <cellStyle name="ÅëÈ­ [0]_¼öÃâ½ÇÀû " xfId="46"/>
    <cellStyle name="AeE­ [0]_¼OAI¹I´o " xfId="47"/>
    <cellStyle name="ÅëÈ­ [0]_¼ÕÀÍ¹Î´ö " xfId="48"/>
    <cellStyle name="AeE­ [0]_¹≪¿ªA¡Ca≫c°eE¹¼­ " xfId="49"/>
    <cellStyle name="ÅëÈ­ [0]_2¿ù¸ÅÃâ " xfId="50"/>
    <cellStyle name="AeE­ [0]_3ÆA °³AI " xfId="51"/>
    <cellStyle name="ÅëÈ­ [0]_3ÆÀ °³ÀÎ " xfId="52"/>
    <cellStyle name="AeE­ [0]_96³a½A´cº°¼OAI " xfId="53"/>
    <cellStyle name="ÅëÈ­ [0]_96³â½Ä´çº°¼ÕÀÍ " xfId="54"/>
    <cellStyle name="AeE­ [0]_ÆAC￥Ao_°eE¹3 " xfId="55"/>
    <cellStyle name="ÅëÈ­ [0]_ÆÀÇ¥Áö_°èÈ¹3 " xfId="56"/>
    <cellStyle name="AeE­ [0]_AMT " xfId="57"/>
    <cellStyle name="ÅëÈ­ [0]_AMT " xfId="58"/>
    <cellStyle name="AeE­ [0]_INQUIRY ¿μ¾÷AßAø " xfId="59"/>
    <cellStyle name="ÅëÈ­ [0]_º¸¼öÃÑ°ý " xfId="60"/>
    <cellStyle name="AeE­_ 2ÆAAþº° " xfId="61"/>
    <cellStyle name="ÅëÈ­_ 2ÆÀÃþº° " xfId="62"/>
    <cellStyle name="AeE­_ Æ?ÆCAþº° " xfId="63"/>
    <cellStyle name="ÅëÈ­_ Æ¯ÆÇÃþº° " xfId="64"/>
    <cellStyle name="AeE­_¸AAa¸AAa¿ø°¡ " xfId="65"/>
    <cellStyle name="ÅëÈ­_¸ÅÃâ¸ÅÃâ¿ø°¡ " xfId="66"/>
    <cellStyle name="AeE­_¿¹≫e³≫¿ª " xfId="67"/>
    <cellStyle name="ÅëÈ­_¿ùº¸¼ö·á " xfId="68"/>
    <cellStyle name="AeE­_°eE¹3 " xfId="69"/>
    <cellStyle name="ÅëÈ­_°èÈ¹3 " xfId="70"/>
    <cellStyle name="AeE­_¼±³³9804" xfId="71"/>
    <cellStyle name="ÅëÈ­_¼öÃâ½ÇÀû " xfId="72"/>
    <cellStyle name="AeE­_¼OAI¹I´o " xfId="73"/>
    <cellStyle name="ÅëÈ­_¼ÕÀÍ¹Î´ö " xfId="74"/>
    <cellStyle name="AeE­_¹≪¿ªA¡Ca≫c°eE¹¼­ " xfId="75"/>
    <cellStyle name="ÅëÈ­_2¿ù¸ÅÃâ " xfId="76"/>
    <cellStyle name="AeE­_3ÆA °³AI " xfId="77"/>
    <cellStyle name="ÅëÈ­_3ÆÀ °³ÀÎ " xfId="78"/>
    <cellStyle name="AeE­_96³a½A´cº°¼OAI " xfId="79"/>
    <cellStyle name="ÅëÈ­_96³â½Ä´çº°¼ÕÀÍ " xfId="80"/>
    <cellStyle name="AeE­_ÆAC￥Ao_°eE¹3 " xfId="81"/>
    <cellStyle name="ÅëÈ­_ÆÀÇ¥Áö_°èÈ¹3 " xfId="82"/>
    <cellStyle name="AeE­_AMT " xfId="83"/>
    <cellStyle name="ÅëÈ­_AMT " xfId="84"/>
    <cellStyle name="AeE­_INQUIRY ¿μ¾÷AßAø " xfId="85"/>
    <cellStyle name="ÅëÈ­_º¸¼öÃÑ°ý " xfId="86"/>
    <cellStyle name="AeE¡ⓒ [0]_AMT " xfId="87"/>
    <cellStyle name="AeE¡ⓒ_AMT " xfId="88"/>
    <cellStyle name="AÞ¸¶ [0]_ 2ÆAAþº° " xfId="89"/>
    <cellStyle name="ÄÞ¸¶ [0]_ 2ÆÀÃþº° " xfId="90"/>
    <cellStyle name="AÞ¸¶ [0]_ Æ?ÆCAþº° " xfId="91"/>
    <cellStyle name="ÄÞ¸¶ [0]_ Æ¯ÆÇÃþº° " xfId="92"/>
    <cellStyle name="AÞ¸¶ [0]_¸AAa¸AAa¿ø°¡ " xfId="93"/>
    <cellStyle name="ÄÞ¸¶ [0]_¸ÅÃâ¸ÅÃâ¿ø°¡ " xfId="94"/>
    <cellStyle name="AÞ¸¶ [0]_¿¹≫e³≫¿ª " xfId="95"/>
    <cellStyle name="ÄÞ¸¶ [0]_¿ùº¸¼ö·á " xfId="96"/>
    <cellStyle name="AÞ¸¶ [0]_°eE¹3 " xfId="97"/>
    <cellStyle name="ÄÞ¸¶ [0]_°èÈ¹3 " xfId="98"/>
    <cellStyle name="AÞ¸¶ [0]_¼±³³9804" xfId="99"/>
    <cellStyle name="ÄÞ¸¶ [0]_¼öÃâ½ÇÀû " xfId="100"/>
    <cellStyle name="AÞ¸¶ [0]_¼OAI¹I´o " xfId="101"/>
    <cellStyle name="ÄÞ¸¶ [0]_¼ÕÀÍ¹Î´ö " xfId="102"/>
    <cellStyle name="AÞ¸¶ [0]_3ÆA °³AI " xfId="103"/>
    <cellStyle name="ÄÞ¸¶ [0]_3ÆÀ °³ÀÎ " xfId="104"/>
    <cellStyle name="AÞ¸¶ [0]_96³a½A´cº°¼OAI " xfId="105"/>
    <cellStyle name="ÄÞ¸¶ [0]_96³â½Ä´çº°¼ÕÀÍ " xfId="106"/>
    <cellStyle name="AÞ¸¶ [0]_ÆAC￥Ao_°eE¹3 " xfId="107"/>
    <cellStyle name="ÄÞ¸¶ [0]_ÆÀÇ¥Áö_°èÈ¹3 " xfId="108"/>
    <cellStyle name="AÞ¸¶ [0]_INQUIRY ¿μ¾÷AßAø " xfId="109"/>
    <cellStyle name="ÄÞ¸¶ [0]_º¸¼öÃÑ°ý " xfId="110"/>
    <cellStyle name="AÞ¸¶_ 2ÆAAþº° " xfId="111"/>
    <cellStyle name="ÄÞ¸¶_ 2ÆÀÃþº° " xfId="112"/>
    <cellStyle name="AÞ¸¶_ Æ?ÆCAþº° " xfId="113"/>
    <cellStyle name="ÄÞ¸¶_ Æ¯ÆÇÃþº° " xfId="114"/>
    <cellStyle name="AÞ¸¶_¸AAa¸AAa¿ø°¡ " xfId="115"/>
    <cellStyle name="ÄÞ¸¶_¸ÅÃâ¸ÅÃâ¿ø°¡ " xfId="116"/>
    <cellStyle name="AÞ¸¶_¿¹≫e³≫¿ª " xfId="117"/>
    <cellStyle name="ÄÞ¸¶_¿ùº¸¼ö·á " xfId="118"/>
    <cellStyle name="AÞ¸¶_°eE¹3 " xfId="119"/>
    <cellStyle name="ÄÞ¸¶_°èÈ¹3 " xfId="120"/>
    <cellStyle name="AÞ¸¶_¼±³³9804" xfId="121"/>
    <cellStyle name="ÄÞ¸¶_¼öÃâ½ÇÀû " xfId="122"/>
    <cellStyle name="AÞ¸¶_¼OAI¹I´o " xfId="123"/>
    <cellStyle name="ÄÞ¸¶_¼ÕÀÍ¹Î´ö " xfId="124"/>
    <cellStyle name="AÞ¸¶_3ÆA °³AI " xfId="125"/>
    <cellStyle name="ÄÞ¸¶_3ÆÀ °³ÀÎ " xfId="126"/>
    <cellStyle name="AÞ¸¶_96³a½A´cº°¼OAI " xfId="127"/>
    <cellStyle name="ÄÞ¸¶_96³â½Ä´çº°¼ÕÀÍ " xfId="128"/>
    <cellStyle name="AÞ¸¶_ÆAC￥Ao_°eE¹3 " xfId="129"/>
    <cellStyle name="ÄÞ¸¶_ÆÀÇ¥Áö_°èÈ¹3 " xfId="130"/>
    <cellStyle name="AÞ¸¶_INQUIRY ¿μ¾÷AßAø " xfId="131"/>
    <cellStyle name="ÄÞ¸¶_º¸¼öÃÑ°ý " xfId="132"/>
    <cellStyle name="C¡IA¨ª_¡ic¨u¡A¨￢I¨￢¡Æ AN¡Æe " xfId="133"/>
    <cellStyle name="C￥AØ_ 2ÆAAþº° " xfId="134"/>
    <cellStyle name="Ç¥ÁØ_ 2ÆÀÃþº° " xfId="135"/>
    <cellStyle name="C￥AØ_ Æ?ÆCAþº° " xfId="136"/>
    <cellStyle name="Ç¥ÁØ_ Æ¯ÆÇÃþº° " xfId="137"/>
    <cellStyle name="C￥AØ_¸AAa¸AAa¿ø°¡ " xfId="138"/>
    <cellStyle name="Ç¥ÁØ_¸ÅÃâ¸ÅÃâ¿ø°¡ " xfId="139"/>
    <cellStyle name="C￥AØ_¿¹≫e³≫¿ª " xfId="140"/>
    <cellStyle name="Ç¥ÁØ_¿ùº¸¼ö·á " xfId="141"/>
    <cellStyle name="C￥AØ_¿μ¾÷CoE² " xfId="142"/>
    <cellStyle name="Ç¥ÁØ_»ç¾÷ºÎº° ÃÑ°è " xfId="143"/>
    <cellStyle name="C￥AØ_≫c¾÷ºIº° AN°e " xfId="144"/>
    <cellStyle name="Ç¥ÁØ_°èÈ¹3 " xfId="145"/>
    <cellStyle name="C￥AØ_0N-HANDLING " xfId="146"/>
    <cellStyle name="Ç¥ÁØ_0N-HANDLING " xfId="147"/>
    <cellStyle name="C￥AØ_¼OAI¹I´o " xfId="148"/>
    <cellStyle name="Ç¥ÁØ_¼ÕÀÍ¹Î´ö " xfId="149"/>
    <cellStyle name="C￥AØ_¾c½A " xfId="150"/>
    <cellStyle name="Ç¥ÁØ_¾ç½Ä " xfId="151"/>
    <cellStyle name="C￥AØ_3ÆA °³AI " xfId="152"/>
    <cellStyle name="Ç¥ÁØ_3ÆÀ °³ÀÎ " xfId="153"/>
    <cellStyle name="C￥AØ_5-1±¤°i " xfId="154"/>
    <cellStyle name="Ç¥ÁØ_5-1±¤°í " xfId="155"/>
    <cellStyle name="C￥AØ_96³a½A´cº°¼OAI " xfId="156"/>
    <cellStyle name="Ç¥ÁØ_96³â½Ä´çº°¼ÕÀÍ " xfId="157"/>
    <cellStyle name="C￥AØ_98³a AoAU°eE¹ " xfId="158"/>
    <cellStyle name="Ç¥ÁØ_98³â ÅõÀÚ°èÈ¹ " xfId="159"/>
    <cellStyle name="C￥AØ_Æ?±a3_p.mix " xfId="160"/>
    <cellStyle name="Ç¥ÁØ_Æ¯±â3_p.mix " xfId="161"/>
    <cellStyle name="C￥AØ_ÆAC￥Ao_°eE¹3 " xfId="162"/>
    <cellStyle name="Ç¥ÁØ_ÆÀÇ¥Áö_°èÈ¹3 " xfId="163"/>
    <cellStyle name="C￥AØ_AßA¤´eA÷ " xfId="164"/>
    <cellStyle name="Ç¥ÁØ_ÃßÁ¤´ëÂ÷ " xfId="165"/>
    <cellStyle name="C￥AØ_AU±Y_1_AßA¤´eA÷ " xfId="166"/>
    <cellStyle name="Ç¥ÁØ_ÀÚ±Ý_1_ÃßÁ¤´ëÂ÷ " xfId="167"/>
    <cellStyle name="C￥AØ_AU±Y_AßA¤´eA÷ " xfId="168"/>
    <cellStyle name="Ç¥ÁØ_ÀÚ±Ý_ÃßÁ¤´ëÂ÷ " xfId="169"/>
    <cellStyle name="C￥AØ_Ay°eC￥(2¿u) " xfId="170"/>
    <cellStyle name="Ç¥ÁØ_Áý°èÇ¥(2¿ù) " xfId="171"/>
    <cellStyle name="C￥AØ_CoAo¹yAI °A¾×¿ⓒ½A " xfId="172"/>
    <cellStyle name="Ç¥ÁØ_º¸¼öÃÑ°ý " xfId="173"/>
    <cellStyle name="C￥AØ_p.mix " xfId="174"/>
    <cellStyle name="Ç¥ÁØ_p.mix " xfId="175"/>
    <cellStyle name="C￥AØ_SOON1 " xfId="176"/>
    <cellStyle name="Ç¥ÁØ_SOON1 " xfId="177"/>
    <cellStyle name="category" xfId="178"/>
    <cellStyle name="Comma [0]_ SG&amp;A Bridge " xfId="179"/>
    <cellStyle name="comma zerodec" xfId="180"/>
    <cellStyle name="Comma_ SG&amp;A Bridge " xfId="181"/>
    <cellStyle name="Curren?_x0012_퐀_x0017_?" xfId="182"/>
    <cellStyle name="Currency [0]_ SG&amp;A Bridge " xfId="183"/>
    <cellStyle name="Currency_ SG&amp;A Bridge " xfId="184"/>
    <cellStyle name="Currency1" xfId="185"/>
    <cellStyle name="Dollar (zero dec)" xfId="186"/>
    <cellStyle name="Euro" xfId="187"/>
    <cellStyle name="Grey" xfId="188"/>
    <cellStyle name="HEADER" xfId="189"/>
    <cellStyle name="Header1" xfId="190"/>
    <cellStyle name="Header2" xfId="191"/>
    <cellStyle name="Input [yellow]" xfId="192"/>
    <cellStyle name="Model" xfId="193"/>
    <cellStyle name="Normal - Style1" xfId="194"/>
    <cellStyle name="Normal_ SG&amp;A Bridge " xfId="195"/>
    <cellStyle name="Percent [2]" xfId="196"/>
    <cellStyle name="S Sans Serif" xfId="197"/>
    <cellStyle name="subhead" xfId="198"/>
    <cellStyle name="咬訌裝?INCOM1" xfId="199"/>
    <cellStyle name="咬訌裝?INCOM10" xfId="200"/>
    <cellStyle name="咬訌裝?INCOM2" xfId="201"/>
    <cellStyle name="咬訌裝?INCOM3" xfId="202"/>
    <cellStyle name="咬訌裝?INCOM4" xfId="203"/>
    <cellStyle name="咬訌裝?INCOM5" xfId="204"/>
    <cellStyle name="咬訌裝?INCOM6" xfId="205"/>
    <cellStyle name="咬訌裝?INCOM7" xfId="206"/>
    <cellStyle name="咬訌裝?INCOM8" xfId="207"/>
    <cellStyle name="咬訌裝?INCOM9" xfId="208"/>
    <cellStyle name="咬訌裝?PRIB11" xfId="209"/>
    <cellStyle name="김재형" xfId="210"/>
    <cellStyle name="뒤에 오는 하이퍼링크_(0301)영업소평가결과양식(송부)" xfId="211"/>
    <cellStyle name="똿뗦먛귟 [0.00]_PRODUCT DETAIL Q1" xfId="212"/>
    <cellStyle name="똿뗦먛귟_PRODUCT DETAIL Q1" xfId="213"/>
    <cellStyle name="믅됞 [0.00]_PRODUCT DETAIL Q1" xfId="214"/>
    <cellStyle name="믅됞_PRODUCT DETAIL Q1" xfId="215"/>
    <cellStyle name="백분율" xfId="2473" builtinId="5"/>
    <cellStyle name="백분율 2" xfId="216"/>
    <cellStyle name="백분율 2 2" xfId="2468"/>
    <cellStyle name="백분율 3" xfId="217"/>
    <cellStyle name="백분율 3 2" xfId="2461"/>
    <cellStyle name="백분율 4" xfId="2456"/>
    <cellStyle name="백분율 4 2" xfId="2470"/>
    <cellStyle name="백분율 4 2 2" xfId="2481"/>
    <cellStyle name="백분율 4 2 3" xfId="2485"/>
    <cellStyle name="백분율 5" xfId="2459"/>
    <cellStyle name="백분율 6" xfId="2462"/>
    <cellStyle name="뷭?_BOOKSHIP" xfId="218"/>
    <cellStyle name="쉼표 [0]" xfId="2474" builtinId="6"/>
    <cellStyle name="쉼표 [0] 2" xfId="219"/>
    <cellStyle name="쉼표 [0] 3" xfId="220"/>
    <cellStyle name="쉼표 [0] 3 2" xfId="2463"/>
    <cellStyle name="쉼표 [0] 4" xfId="2458"/>
    <cellStyle name="쉼표 [0] 4 2" xfId="2471"/>
    <cellStyle name="쉼표 [0] 4 2 2" xfId="2483"/>
    <cellStyle name="쉼표 [0] 4 2 3" xfId="2486"/>
    <cellStyle name="쉼표 [0] 5" xfId="2464"/>
    <cellStyle name="쉼표 [0] 6" xfId="2467"/>
    <cellStyle name="쉼표 [0] 7" xfId="2476"/>
    <cellStyle name="쉼표 [0] 7 2" xfId="2478"/>
    <cellStyle name="스타일 1" xfId="221"/>
    <cellStyle name="스타일 10" xfId="222"/>
    <cellStyle name="스타일 100" xfId="223"/>
    <cellStyle name="스타일 101" xfId="224"/>
    <cellStyle name="스타일 102" xfId="225"/>
    <cellStyle name="스타일 103" xfId="226"/>
    <cellStyle name="스타일 104" xfId="227"/>
    <cellStyle name="스타일 105" xfId="228"/>
    <cellStyle name="스타일 106" xfId="229"/>
    <cellStyle name="스타일 107" xfId="230"/>
    <cellStyle name="스타일 108" xfId="231"/>
    <cellStyle name="스타일 109" xfId="232"/>
    <cellStyle name="스타일 11" xfId="233"/>
    <cellStyle name="스타일 110" xfId="234"/>
    <cellStyle name="스타일 111" xfId="235"/>
    <cellStyle name="스타일 112" xfId="236"/>
    <cellStyle name="스타일 113" xfId="237"/>
    <cellStyle name="스타일 114" xfId="238"/>
    <cellStyle name="스타일 115" xfId="239"/>
    <cellStyle name="스타일 116" xfId="240"/>
    <cellStyle name="스타일 117" xfId="241"/>
    <cellStyle name="스타일 118" xfId="242"/>
    <cellStyle name="스타일 119" xfId="243"/>
    <cellStyle name="스타일 12" xfId="244"/>
    <cellStyle name="스타일 120" xfId="245"/>
    <cellStyle name="스타일 121" xfId="246"/>
    <cellStyle name="스타일 122" xfId="247"/>
    <cellStyle name="스타일 123" xfId="248"/>
    <cellStyle name="스타일 124" xfId="249"/>
    <cellStyle name="스타일 125" xfId="250"/>
    <cellStyle name="스타일 126" xfId="251"/>
    <cellStyle name="스타일 127" xfId="252"/>
    <cellStyle name="스타일 128" xfId="253"/>
    <cellStyle name="스타일 129" xfId="254"/>
    <cellStyle name="스타일 13" xfId="255"/>
    <cellStyle name="스타일 130" xfId="256"/>
    <cellStyle name="스타일 131" xfId="257"/>
    <cellStyle name="스타일 132" xfId="258"/>
    <cellStyle name="스타일 133" xfId="259"/>
    <cellStyle name="스타일 134" xfId="260"/>
    <cellStyle name="스타일 135" xfId="261"/>
    <cellStyle name="스타일 136" xfId="262"/>
    <cellStyle name="스타일 137" xfId="263"/>
    <cellStyle name="스타일 138" xfId="264"/>
    <cellStyle name="스타일 139" xfId="265"/>
    <cellStyle name="스타일 14" xfId="266"/>
    <cellStyle name="스타일 140" xfId="267"/>
    <cellStyle name="스타일 141" xfId="268"/>
    <cellStyle name="스타일 142" xfId="269"/>
    <cellStyle name="스타일 143" xfId="270"/>
    <cellStyle name="스타일 144" xfId="271"/>
    <cellStyle name="스타일 145" xfId="272"/>
    <cellStyle name="스타일 146" xfId="273"/>
    <cellStyle name="스타일 147" xfId="274"/>
    <cellStyle name="스타일 148" xfId="275"/>
    <cellStyle name="스타일 149" xfId="276"/>
    <cellStyle name="스타일 15" xfId="277"/>
    <cellStyle name="스타일 150" xfId="278"/>
    <cellStyle name="스타일 151" xfId="279"/>
    <cellStyle name="스타일 152" xfId="280"/>
    <cellStyle name="스타일 153" xfId="281"/>
    <cellStyle name="스타일 154" xfId="282"/>
    <cellStyle name="스타일 155" xfId="283"/>
    <cellStyle name="스타일 156" xfId="284"/>
    <cellStyle name="스타일 157" xfId="285"/>
    <cellStyle name="스타일 158" xfId="286"/>
    <cellStyle name="스타일 159" xfId="287"/>
    <cellStyle name="스타일 16" xfId="288"/>
    <cellStyle name="스타일 160" xfId="289"/>
    <cellStyle name="스타일 161" xfId="290"/>
    <cellStyle name="스타일 162" xfId="291"/>
    <cellStyle name="스타일 163" xfId="292"/>
    <cellStyle name="스타일 164" xfId="293"/>
    <cellStyle name="스타일 165" xfId="294"/>
    <cellStyle name="스타일 166" xfId="295"/>
    <cellStyle name="스타일 167" xfId="296"/>
    <cellStyle name="스타일 168" xfId="297"/>
    <cellStyle name="스타일 169" xfId="298"/>
    <cellStyle name="스타일 17" xfId="299"/>
    <cellStyle name="스타일 170" xfId="300"/>
    <cellStyle name="스타일 171" xfId="301"/>
    <cellStyle name="스타일 172" xfId="302"/>
    <cellStyle name="스타일 173" xfId="303"/>
    <cellStyle name="스타일 174" xfId="304"/>
    <cellStyle name="스타일 175" xfId="305"/>
    <cellStyle name="스타일 176" xfId="306"/>
    <cellStyle name="스타일 177" xfId="307"/>
    <cellStyle name="스타일 178" xfId="308"/>
    <cellStyle name="스타일 179" xfId="309"/>
    <cellStyle name="스타일 18" xfId="310"/>
    <cellStyle name="스타일 180" xfId="311"/>
    <cellStyle name="스타일 181" xfId="312"/>
    <cellStyle name="스타일 182" xfId="313"/>
    <cellStyle name="스타일 183" xfId="314"/>
    <cellStyle name="스타일 184" xfId="315"/>
    <cellStyle name="스타일 185" xfId="316"/>
    <cellStyle name="스타일 186" xfId="317"/>
    <cellStyle name="스타일 187" xfId="318"/>
    <cellStyle name="스타일 188" xfId="319"/>
    <cellStyle name="스타일 189" xfId="320"/>
    <cellStyle name="스타일 19" xfId="321"/>
    <cellStyle name="스타일 190" xfId="322"/>
    <cellStyle name="스타일 191" xfId="323"/>
    <cellStyle name="스타일 192" xfId="324"/>
    <cellStyle name="스타일 193" xfId="325"/>
    <cellStyle name="스타일 194" xfId="326"/>
    <cellStyle name="스타일 195" xfId="327"/>
    <cellStyle name="스타일 196" xfId="328"/>
    <cellStyle name="스타일 197" xfId="329"/>
    <cellStyle name="스타일 198" xfId="330"/>
    <cellStyle name="스타일 199" xfId="331"/>
    <cellStyle name="스타일 2" xfId="332"/>
    <cellStyle name="스타일 20" xfId="333"/>
    <cellStyle name="스타일 200" xfId="334"/>
    <cellStyle name="스타일 201" xfId="335"/>
    <cellStyle name="스타일 202" xfId="336"/>
    <cellStyle name="스타일 203" xfId="337"/>
    <cellStyle name="스타일 204" xfId="338"/>
    <cellStyle name="스타일 205" xfId="339"/>
    <cellStyle name="스타일 206" xfId="340"/>
    <cellStyle name="스타일 207" xfId="341"/>
    <cellStyle name="스타일 208" xfId="342"/>
    <cellStyle name="스타일 209" xfId="343"/>
    <cellStyle name="스타일 21" xfId="344"/>
    <cellStyle name="스타일 210" xfId="345"/>
    <cellStyle name="스타일 211" xfId="346"/>
    <cellStyle name="스타일 212" xfId="347"/>
    <cellStyle name="스타일 213" xfId="348"/>
    <cellStyle name="스타일 214" xfId="349"/>
    <cellStyle name="스타일 215" xfId="350"/>
    <cellStyle name="스타일 216" xfId="351"/>
    <cellStyle name="스타일 217" xfId="352"/>
    <cellStyle name="스타일 218" xfId="353"/>
    <cellStyle name="스타일 219" xfId="354"/>
    <cellStyle name="스타일 22" xfId="355"/>
    <cellStyle name="스타일 220" xfId="356"/>
    <cellStyle name="스타일 221" xfId="357"/>
    <cellStyle name="스타일 222" xfId="358"/>
    <cellStyle name="스타일 223" xfId="359"/>
    <cellStyle name="스타일 224" xfId="360"/>
    <cellStyle name="스타일 225" xfId="361"/>
    <cellStyle name="스타일 226" xfId="362"/>
    <cellStyle name="스타일 227" xfId="363"/>
    <cellStyle name="스타일 228" xfId="364"/>
    <cellStyle name="스타일 229" xfId="365"/>
    <cellStyle name="스타일 23" xfId="366"/>
    <cellStyle name="스타일 230" xfId="367"/>
    <cellStyle name="스타일 231" xfId="368"/>
    <cellStyle name="스타일 232" xfId="369"/>
    <cellStyle name="스타일 233" xfId="370"/>
    <cellStyle name="스타일 234" xfId="371"/>
    <cellStyle name="스타일 235" xfId="372"/>
    <cellStyle name="스타일 236" xfId="373"/>
    <cellStyle name="스타일 237" xfId="374"/>
    <cellStyle name="스타일 238" xfId="375"/>
    <cellStyle name="스타일 239" xfId="376"/>
    <cellStyle name="스타일 24" xfId="377"/>
    <cellStyle name="스타일 240" xfId="378"/>
    <cellStyle name="스타일 241" xfId="379"/>
    <cellStyle name="스타일 242" xfId="380"/>
    <cellStyle name="스타일 243" xfId="381"/>
    <cellStyle name="스타일 244" xfId="382"/>
    <cellStyle name="스타일 245" xfId="383"/>
    <cellStyle name="스타일 246" xfId="384"/>
    <cellStyle name="스타일 247" xfId="385"/>
    <cellStyle name="스타일 248" xfId="386"/>
    <cellStyle name="스타일 249" xfId="387"/>
    <cellStyle name="스타일 25" xfId="388"/>
    <cellStyle name="스타일 250" xfId="389"/>
    <cellStyle name="스타일 251" xfId="390"/>
    <cellStyle name="스타일 252" xfId="391"/>
    <cellStyle name="스타일 253" xfId="392"/>
    <cellStyle name="스타일 254" xfId="393"/>
    <cellStyle name="스타일 255" xfId="394"/>
    <cellStyle name="스타일 26" xfId="395"/>
    <cellStyle name="스타일 27" xfId="396"/>
    <cellStyle name="스타일 28" xfId="397"/>
    <cellStyle name="스타일 29" xfId="398"/>
    <cellStyle name="스타일 3" xfId="399"/>
    <cellStyle name="스타일 30" xfId="400"/>
    <cellStyle name="스타일 31" xfId="401"/>
    <cellStyle name="스타일 32" xfId="402"/>
    <cellStyle name="스타일 33" xfId="403"/>
    <cellStyle name="스타일 34" xfId="404"/>
    <cellStyle name="스타일 35" xfId="405"/>
    <cellStyle name="스타일 36" xfId="406"/>
    <cellStyle name="스타일 37" xfId="407"/>
    <cellStyle name="스타일 38" xfId="408"/>
    <cellStyle name="스타일 39" xfId="409"/>
    <cellStyle name="스타일 4" xfId="410"/>
    <cellStyle name="스타일 40" xfId="411"/>
    <cellStyle name="스타일 41" xfId="412"/>
    <cellStyle name="스타일 42" xfId="413"/>
    <cellStyle name="스타일 43" xfId="414"/>
    <cellStyle name="스타일 44" xfId="415"/>
    <cellStyle name="스타일 45" xfId="416"/>
    <cellStyle name="스타일 46" xfId="417"/>
    <cellStyle name="스타일 47" xfId="418"/>
    <cellStyle name="스타일 48" xfId="419"/>
    <cellStyle name="스타일 49" xfId="420"/>
    <cellStyle name="스타일 5" xfId="421"/>
    <cellStyle name="스타일 50" xfId="422"/>
    <cellStyle name="스타일 51" xfId="423"/>
    <cellStyle name="스타일 52" xfId="424"/>
    <cellStyle name="스타일 53" xfId="425"/>
    <cellStyle name="스타일 54" xfId="426"/>
    <cellStyle name="스타일 55" xfId="427"/>
    <cellStyle name="스타일 56" xfId="428"/>
    <cellStyle name="스타일 57" xfId="429"/>
    <cellStyle name="스타일 58" xfId="430"/>
    <cellStyle name="스타일 59" xfId="431"/>
    <cellStyle name="스타일 6" xfId="432"/>
    <cellStyle name="스타일 60" xfId="433"/>
    <cellStyle name="스타일 61" xfId="434"/>
    <cellStyle name="스타일 62" xfId="435"/>
    <cellStyle name="스타일 63" xfId="436"/>
    <cellStyle name="스타일 64" xfId="437"/>
    <cellStyle name="스타일 65" xfId="438"/>
    <cellStyle name="스타일 66" xfId="439"/>
    <cellStyle name="스타일 67" xfId="440"/>
    <cellStyle name="스타일 68" xfId="441"/>
    <cellStyle name="스타일 69" xfId="442"/>
    <cellStyle name="스타일 7" xfId="443"/>
    <cellStyle name="스타일 70" xfId="444"/>
    <cellStyle name="스타일 71" xfId="445"/>
    <cellStyle name="스타일 72" xfId="446"/>
    <cellStyle name="스타일 73" xfId="447"/>
    <cellStyle name="스타일 74" xfId="448"/>
    <cellStyle name="스타일 75" xfId="449"/>
    <cellStyle name="스타일 76" xfId="450"/>
    <cellStyle name="스타일 77" xfId="451"/>
    <cellStyle name="스타일 78" xfId="452"/>
    <cellStyle name="스타일 79" xfId="453"/>
    <cellStyle name="스타일 8" xfId="454"/>
    <cellStyle name="스타일 80" xfId="455"/>
    <cellStyle name="스타일 81" xfId="456"/>
    <cellStyle name="스타일 82" xfId="457"/>
    <cellStyle name="스타일 83" xfId="458"/>
    <cellStyle name="스타일 84" xfId="459"/>
    <cellStyle name="스타일 85" xfId="460"/>
    <cellStyle name="스타일 86" xfId="461"/>
    <cellStyle name="스타일 87" xfId="462"/>
    <cellStyle name="스타일 88" xfId="463"/>
    <cellStyle name="스타일 89" xfId="464"/>
    <cellStyle name="스타일 9" xfId="465"/>
    <cellStyle name="스타일 90" xfId="466"/>
    <cellStyle name="스타일 91" xfId="467"/>
    <cellStyle name="스타일 92" xfId="468"/>
    <cellStyle name="스타일 93" xfId="469"/>
    <cellStyle name="스타일 94" xfId="470"/>
    <cellStyle name="스타일 95" xfId="471"/>
    <cellStyle name="스타일 96" xfId="472"/>
    <cellStyle name="스타일 97" xfId="473"/>
    <cellStyle name="스타일 98" xfId="474"/>
    <cellStyle name="스타일 99" xfId="475"/>
    <cellStyle name="원" xfId="476"/>
    <cellStyle name="원_(0301) 3분기 경남본부(영) 평가결과" xfId="477"/>
    <cellStyle name="원_(0301) 3분기 경인본부(영) 평가결과" xfId="478"/>
    <cellStyle name="원_(0301)평가품의서(단위별)3분기" xfId="479"/>
    <cellStyle name="원_(0301)평가품의서(단위별)3분기_2005.11월 점포코드" xfId="480"/>
    <cellStyle name="원_(0301)평가품의서(단위별)3분기_3058752004021610345903850617_타사유치 진행현황-본부보고용" xfId="481"/>
    <cellStyle name="원_(0301)평가품의서(단위별)3분기_7-9월설치분집행(1018)" xfId="482"/>
    <cellStyle name="원_(0301)평가품의서(단위별)3분기_Feedback-일반활성화FY'07.2분기-품의" xfId="483"/>
    <cellStyle name="원_(0301)평가품의서(단위별)3분기_TM-FY'07.중간피드백-6" xfId="484"/>
    <cellStyle name="원_(0301)평가품의서(단위별)3분기_TM대리점활성화방안(0928)" xfId="485"/>
    <cellStyle name="원_(0301)평가품의서(단위별)3분기_TM대리점활성화방안(0930)-1" xfId="486"/>
    <cellStyle name="원_(0301)평가품의서(단위별)3분기_TM신상품개발검토의견(20060327)" xfId="487"/>
    <cellStyle name="원_(0301)평가품의서(단위별)3분기_TM신청서(최종)-마지부(1229)" xfId="488"/>
    <cellStyle name="원_(0301)평가품의서(단위별)3분기_부문별월별매출계획(070330기획실)" xfId="489"/>
    <cellStyle name="원_(0301)평가품의서(단위별)3분기_신상품재검토(20040417)" xfId="490"/>
    <cellStyle name="원_(0301)평가품의서(단위별)3분기_업체선정평가표(장기tm-20051201)-장원제(최종)" xfId="491"/>
    <cellStyle name="원_(0301)평가품의서(단위별)3분기_업추비개선(초안)" xfId="492"/>
    <cellStyle name="원_(0301)평가품의서(단위별)3분기_우수대리점본부보고(서강)" xfId="493"/>
    <cellStyle name="원_(0301)평가품의서(단위별)3분기_우수대리점본부보고(서강)_1" xfId="494"/>
    <cellStyle name="원_(0301)평가품의서(단위별)3분기_우수대리점본부보고(은평)" xfId="495"/>
    <cellStyle name="원_(0301)평가품의서(단위별)3분기_우수대리점본부보고(일산)" xfId="496"/>
    <cellStyle name="원_(0301)평가품의서(단위별)3분기_우수대리점유치(0219)" xfId="497"/>
    <cellStyle name="원_(0301)평가품의서(단위별)3분기_유지율개선실시사항(050901)" xfId="498"/>
    <cellStyle name="원_(0301)평가품의서(단위별)3분기_인수지침관련의견" xfId="499"/>
    <cellStyle name="원_(0301)평가품의서(단위별)3분기_일반보험보고(0801)-3" xfId="500"/>
    <cellStyle name="원_(0301)평가품의서(단위별)3분기_장기TM관리업무지침안(보완-0105)" xfId="501"/>
    <cellStyle name="원_(0301)평가품의서(단위별)3분기_장기TM관리지침별첨(최종-0614)" xfId="502"/>
    <cellStyle name="원_(0301)평가품의서(단위별)3분기_장기TM대리점지원및관리규정(20051216-발송용)" xfId="503"/>
    <cellStyle name="원_(0301)평가품의서(단위별)3분기_장기보험목표달성방안(070903-2)" xfId="504"/>
    <cellStyle name="원_(0301)평가품의서(단위별)3분기_장기특성별실적_조정후(가안)" xfId="505"/>
    <cellStyle name="원_(0301)평가품의서(단위별)3분기_통신판매가이드라인정리(최종)" xfId="506"/>
    <cellStyle name="원_(0301)평가품의서(단위별)3분기_프리스타일(수당업)" xfId="507"/>
    <cellStyle name="원_(0301)평가품의서(단위별)3분기_하이라이프다이렉트수수료안(20060522)" xfId="508"/>
    <cellStyle name="원_(0301)평가품의서(단위별)3분기_해외여행보험활성화(060620-최종)" xfId="509"/>
    <cellStyle name="원_(0301)평가품의서(단위별)3분기_현장간담회 결과보고" xfId="510"/>
    <cellStyle name="원_(03011) 2분기 (영)평가결과(송부)" xfId="511"/>
    <cellStyle name="원_(0302) 2003평가기준초안" xfId="512"/>
    <cellStyle name="원_(0302) 2003평가기준초안_2005.11월 점포코드" xfId="513"/>
    <cellStyle name="원_(0302) 2003평가기준초안_3058752004021610345903850617_타사유치 진행현황-본부보고용" xfId="514"/>
    <cellStyle name="원_(0302) 2003평가기준초안_34분기평가예상-용자이(12.7)" xfId="515"/>
    <cellStyle name="원_(0302) 2003평가기준초안_34분기평가예상-용자이(12.7)_우수대리점본부보고(서강)" xfId="516"/>
    <cellStyle name="원_(0302) 2003평가기준초안_34분기평가예상-용자이(12.7)_우수대리점유치(0219)" xfId="517"/>
    <cellStyle name="원_(0302) 2003평가기준초안_3분기예상실적1014" xfId="518"/>
    <cellStyle name="원_(0302) 2003평가기준초안_7-9월설치분집행(1018)" xfId="519"/>
    <cellStyle name="원_(0302) 2003평가기준초안_Feedback-일반활성화FY'07.2분기-품의" xfId="520"/>
    <cellStyle name="원_(0302) 2003평가기준초안_TM-FY'07.중간피드백-6" xfId="521"/>
    <cellStyle name="원_(0302) 2003평가기준초안_TM대리점활성화방안(0928)" xfId="522"/>
    <cellStyle name="원_(0302) 2003평가기준초안_TM대리점활성화방안(0930)-1" xfId="523"/>
    <cellStyle name="원_(0302) 2003평가기준초안_TM신상품개발검토의견(20060327)" xfId="524"/>
    <cellStyle name="원_(0302) 2003평가기준초안_TM신청서(최종)-마지부(1229)" xfId="525"/>
    <cellStyle name="원_(0302) 2003평가기준초안_부문별월별매출계획(070330기획실)" xfId="526"/>
    <cellStyle name="원_(0302) 2003평가기준초안_손익점수(강북)" xfId="527"/>
    <cellStyle name="원_(0302) 2003평가기준초안_신상품재검토(20040417)" xfId="528"/>
    <cellStyle name="원_(0302) 2003평가기준초안_업체선정평가표(장기tm-20051201)-장원제(최종)" xfId="529"/>
    <cellStyle name="원_(0302) 2003평가기준초안_업추비개선(초안)" xfId="530"/>
    <cellStyle name="원_(0302) 2003평가기준초안_우수대리점본부보고(북부)" xfId="531"/>
    <cellStyle name="원_(0302) 2003평가기준초안_우수대리점본부보고(서강)" xfId="532"/>
    <cellStyle name="원_(0302) 2003평가기준초안_우수대리점본부보고(은평)" xfId="533"/>
    <cellStyle name="원_(0302) 2003평가기준초안_우수대리점본부보고(일산)" xfId="534"/>
    <cellStyle name="원_(0302) 2003평가기준초안_우수대리점유치(0219)" xfId="535"/>
    <cellStyle name="원_(0302) 2003평가기준초안_우수대리점유치현황(북부)" xfId="536"/>
    <cellStyle name="원_(0302) 2003평가기준초안_우수대리점유치현황(서강)" xfId="537"/>
    <cellStyle name="원_(0302) 2003평가기준초안_유지율개선실시사항(050901)" xfId="538"/>
    <cellStyle name="원_(0302) 2003평가기준초안_인수지침관련의견" xfId="539"/>
    <cellStyle name="원_(0302) 2003평가기준초안_일반보험보고(0801)-3" xfId="540"/>
    <cellStyle name="원_(0302) 2003평가기준초안_장기TM관리업무지침안(보완-0105)" xfId="541"/>
    <cellStyle name="원_(0302) 2003평가기준초안_장기TM관리지침별첨(최종-0614)" xfId="542"/>
    <cellStyle name="원_(0302) 2003평가기준초안_장기TM대리점지원및관리규정(20051216-발송용)" xfId="543"/>
    <cellStyle name="원_(0302) 2003평가기준초안_장기보험목표달성방안(070903-2)" xfId="544"/>
    <cellStyle name="원_(0302) 2003평가기준초안_장기특성별실적_조정후(가안)" xfId="545"/>
    <cellStyle name="원_(0302) 2003평가기준초안_통신판매가이드라인정리(최종)" xfId="546"/>
    <cellStyle name="원_(0302) 2003평가기준초안_표지" xfId="547"/>
    <cellStyle name="원_(0302) 2003평가기준초안_표지_우수대리점본부보고(서강)" xfId="548"/>
    <cellStyle name="원_(0302) 2003평가기준초안_표지_우수대리점유치(0219)" xfId="549"/>
    <cellStyle name="원_(0302) 2003평가기준초안_프리스타일(수당업)" xfId="550"/>
    <cellStyle name="원_(0302) 2003평가기준초안_하이라이프다이렉트수수료안(20060522)" xfId="551"/>
    <cellStyle name="원_(0302) 2003평가기준초안_해외여행보험활성화(060620-최종)" xfId="552"/>
    <cellStyle name="원_(0302) 2003평가기준초안_현대해상'05년우수대리점제안서(송부용최종1222)" xfId="553"/>
    <cellStyle name="원_(0302) 2003평가기준초안_현대해상'05년우수대리점제안서(송부용최종1222)_0703장기보험마감분석" xfId="554"/>
    <cellStyle name="원_(0302) 2003평가기준초안_현대해상'05년우수대리점제안서(송부용최종1222)_7-9월설치분집행(1018)" xfId="555"/>
    <cellStyle name="원_(0302) 2003평가기준초안_현대해상'05년우수대리점제안서(송부용최종1222)_Feedback-일반활성화FY'07.2분기-품의" xfId="556"/>
    <cellStyle name="원_(0302) 2003평가기준초안_현대해상'05년우수대리점제안서(송부용최종1222)_FY'07점포영업전략(070403)" xfId="557"/>
    <cellStyle name="원_(0302) 2003평가기준초안_현대해상'05년우수대리점제안서(송부용최종1222)_TM-FY'07.중간피드백-6" xfId="558"/>
    <cellStyle name="원_(0302) 2003평가기준초안_현대해상'05년우수대리점제안서(송부용최종1222)_TM대리점활성화방안(0928)" xfId="559"/>
    <cellStyle name="원_(0302) 2003평가기준초안_현대해상'05년우수대리점제안서(송부용최종1222)_TM대리점활성화방안(0930)-1" xfId="560"/>
    <cellStyle name="원_(0302) 2003평가기준초안_현대해상'05년우수대리점제안서(송부용최종1222)_TM신상품개발검토의견(20060327)" xfId="561"/>
    <cellStyle name="원_(0302) 2003평가기준초안_현대해상'05년우수대리점제안서(송부용최종1222)_TM신청서(최종)-마지부(1229)" xfId="562"/>
    <cellStyle name="원_(0302) 2003평가기준초안_현대해상'05년우수대리점제안서(송부용최종1222)_보장자산증대방안" xfId="563"/>
    <cellStyle name="원_(0302) 2003평가기준초안_현대해상'05년우수대리점제안서(송부용최종1222)_신상품재검토(20040417)" xfId="564"/>
    <cellStyle name="원_(0302) 2003평가기준초안_현대해상'05년우수대리점제안서(송부용최종1222)_업체선정평가표(장기tm-20051201)-장원제(최종)" xfId="565"/>
    <cellStyle name="원_(0302) 2003평가기준초안_현대해상'05년우수대리점제안서(송부용최종1222)_유지율개선실시사항(050901)" xfId="566"/>
    <cellStyle name="원_(0302) 2003평가기준초안_현대해상'05년우수대리점제안서(송부용최종1222)_인수지침관련의견" xfId="567"/>
    <cellStyle name="원_(0302) 2003평가기준초안_현대해상'05년우수대리점제안서(송부용최종1222)_일반보험보고(0801)-3" xfId="568"/>
    <cellStyle name="원_(0302) 2003평가기준초안_현대해상'05년우수대리점제안서(송부용최종1222)_장기TM관리업무지침안(보완-0105)" xfId="569"/>
    <cellStyle name="원_(0302) 2003평가기준초안_현대해상'05년우수대리점제안서(송부용최종1222)_장기TM관리지침별첨(최종-0614)" xfId="570"/>
    <cellStyle name="원_(0302) 2003평가기준초안_현대해상'05년우수대리점제안서(송부용최종1222)_장기TM대리점지원및관리규정(20051216-발송용)" xfId="571"/>
    <cellStyle name="원_(0302) 2003평가기준초안_현대해상'05년우수대리점제안서(송부용최종1222)_통신판매가이드라인정리(최종)" xfId="572"/>
    <cellStyle name="원_(0302) 2003평가기준초안_현대해상'05년우수대리점제안서(송부용최종1222)_프리스타일(수당업)" xfId="573"/>
    <cellStyle name="원_(0302) 2003평가기준초안_현대해상'05년우수대리점제안서(송부용최종1222)_하이라이프다이렉트수수료안(20060522)" xfId="574"/>
    <cellStyle name="원_(0302) 2003평가기준초안_현대해상'05년우수대리점제안서(송부용최종1222)_해외여행보험활성화(060620-최종)" xfId="575"/>
    <cellStyle name="원_(0302) 2003평가기준초안_현대해상'05년우수대리점제안서(송부용최종1222)_해외연수실시안(20071220)-7차-공지용" xfId="576"/>
    <cellStyle name="원_(0302) 2003평가기준초안_현대해상'05년우수대리점제안서(송부용최종1222)_해외연수실시안(20080130)-후꾸오까-차수조정" xfId="577"/>
    <cellStyle name="원_(0302) 2003평가기준초안_현장간담회 결과보고" xfId="578"/>
    <cellStyle name="원_(0303) 2003 평가기준(중안)" xfId="579"/>
    <cellStyle name="원_(0303) 2003 평가기준(중안)_2005.11월 점포코드" xfId="580"/>
    <cellStyle name="원_(0303) 2003 평가기준(중안)_3058752004021610345903850617_타사유치 진행현황-본부보고용" xfId="581"/>
    <cellStyle name="원_(0303) 2003 평가기준(중안)_34분기평가예상-용자이(12.7)" xfId="582"/>
    <cellStyle name="원_(0303) 2003 평가기준(중안)_34분기평가예상-용자이(12.7)_우수대리점본부보고(서강)" xfId="583"/>
    <cellStyle name="원_(0303) 2003 평가기준(중안)_34분기평가예상-용자이(12.7)_우수대리점유치(0219)" xfId="584"/>
    <cellStyle name="원_(0303) 2003 평가기준(중안)_3분기예상실적1014" xfId="585"/>
    <cellStyle name="원_(0303) 2003 평가기준(중안)_7-9월설치분집행(1018)" xfId="586"/>
    <cellStyle name="원_(0303) 2003 평가기준(중안)_Feedback-일반활성화FY'07.2분기-품의" xfId="587"/>
    <cellStyle name="원_(0303) 2003 평가기준(중안)_TM-FY'07.중간피드백-6" xfId="588"/>
    <cellStyle name="원_(0303) 2003 평가기준(중안)_TM대리점활성화방안(0928)" xfId="589"/>
    <cellStyle name="원_(0303) 2003 평가기준(중안)_TM대리점활성화방안(0930)-1" xfId="590"/>
    <cellStyle name="원_(0303) 2003 평가기준(중안)_TM신상품개발검토의견(20060327)" xfId="591"/>
    <cellStyle name="원_(0303) 2003 평가기준(중안)_TM신청서(최종)-마지부(1229)" xfId="592"/>
    <cellStyle name="원_(0303) 2003 평가기준(중안)_부문별월별매출계획(070330기획실)" xfId="593"/>
    <cellStyle name="원_(0303) 2003 평가기준(중안)_손익점수(강북)" xfId="594"/>
    <cellStyle name="원_(0303) 2003 평가기준(중안)_신상품재검토(20040417)" xfId="595"/>
    <cellStyle name="원_(0303) 2003 평가기준(중안)_업체선정평가표(장기tm-20051201)-장원제(최종)" xfId="596"/>
    <cellStyle name="원_(0303) 2003 평가기준(중안)_업추비개선(초안)" xfId="597"/>
    <cellStyle name="원_(0303) 2003 평가기준(중안)_우수대리점본부보고(북부)" xfId="598"/>
    <cellStyle name="원_(0303) 2003 평가기준(중안)_우수대리점본부보고(서강)" xfId="599"/>
    <cellStyle name="원_(0303) 2003 평가기준(중안)_우수대리점본부보고(은평)" xfId="600"/>
    <cellStyle name="원_(0303) 2003 평가기준(중안)_우수대리점본부보고(일산)" xfId="601"/>
    <cellStyle name="원_(0303) 2003 평가기준(중안)_우수대리점유치(0219)" xfId="602"/>
    <cellStyle name="원_(0303) 2003 평가기준(중안)_우수대리점유치현황(북부)" xfId="603"/>
    <cellStyle name="원_(0303) 2003 평가기준(중안)_우수대리점유치현황(서강)" xfId="604"/>
    <cellStyle name="원_(0303) 2003 평가기준(중안)_유지율개선실시사항(050901)" xfId="605"/>
    <cellStyle name="원_(0303) 2003 평가기준(중안)_인수지침관련의견" xfId="606"/>
    <cellStyle name="원_(0303) 2003 평가기준(중안)_일반보험보고(0801)-3" xfId="607"/>
    <cellStyle name="원_(0303) 2003 평가기준(중안)_장기TM관리업무지침안(보완-0105)" xfId="608"/>
    <cellStyle name="원_(0303) 2003 평가기준(중안)_장기TM관리지침별첨(최종-0614)" xfId="609"/>
    <cellStyle name="원_(0303) 2003 평가기준(중안)_장기TM대리점지원및관리규정(20051216-발송용)" xfId="610"/>
    <cellStyle name="원_(0303) 2003 평가기준(중안)_장기보험목표달성방안(070903-2)" xfId="611"/>
    <cellStyle name="원_(0303) 2003 평가기준(중안)_장기특성별실적_조정후(가안)" xfId="612"/>
    <cellStyle name="원_(0303) 2003 평가기준(중안)_통신판매가이드라인정리(최종)" xfId="613"/>
    <cellStyle name="원_(0303) 2003 평가기준(중안)_표지" xfId="614"/>
    <cellStyle name="원_(0303) 2003 평가기준(중안)_표지_우수대리점본부보고(서강)" xfId="615"/>
    <cellStyle name="원_(0303) 2003 평가기준(중안)_표지_우수대리점유치(0219)" xfId="616"/>
    <cellStyle name="원_(0303) 2003 평가기준(중안)_프리스타일(수당업)" xfId="617"/>
    <cellStyle name="원_(0303) 2003 평가기준(중안)_하이라이프다이렉트수수료안(20060522)" xfId="618"/>
    <cellStyle name="원_(0303) 2003 평가기준(중안)_해외여행보험활성화(060620-최종)" xfId="619"/>
    <cellStyle name="원_(0303) 2003 평가기준(중안)_현대해상'05년우수대리점제안서(송부용최종1222)" xfId="620"/>
    <cellStyle name="원_(0303) 2003 평가기준(중안)_현대해상'05년우수대리점제안서(송부용최종1222)_0703장기보험마감분석" xfId="621"/>
    <cellStyle name="원_(0303) 2003 평가기준(중안)_현대해상'05년우수대리점제안서(송부용최종1222)_7-9월설치분집행(1018)" xfId="622"/>
    <cellStyle name="원_(0303) 2003 평가기준(중안)_현대해상'05년우수대리점제안서(송부용최종1222)_Feedback-일반활성화FY'07.2분기-품의" xfId="623"/>
    <cellStyle name="원_(0303) 2003 평가기준(중안)_현대해상'05년우수대리점제안서(송부용최종1222)_FY'07점포영업전략(070403)" xfId="624"/>
    <cellStyle name="원_(0303) 2003 평가기준(중안)_현대해상'05년우수대리점제안서(송부용최종1222)_TM-FY'07.중간피드백-6" xfId="625"/>
    <cellStyle name="원_(0303) 2003 평가기준(중안)_현대해상'05년우수대리점제안서(송부용최종1222)_TM대리점활성화방안(0928)" xfId="626"/>
    <cellStyle name="원_(0303) 2003 평가기준(중안)_현대해상'05년우수대리점제안서(송부용최종1222)_TM대리점활성화방안(0930)-1" xfId="627"/>
    <cellStyle name="원_(0303) 2003 평가기준(중안)_현대해상'05년우수대리점제안서(송부용최종1222)_TM신상품개발검토의견(20060327)" xfId="628"/>
    <cellStyle name="원_(0303) 2003 평가기준(중안)_현대해상'05년우수대리점제안서(송부용최종1222)_TM신청서(최종)-마지부(1229)" xfId="629"/>
    <cellStyle name="원_(0303) 2003 평가기준(중안)_현대해상'05년우수대리점제안서(송부용최종1222)_보장자산증대방안" xfId="630"/>
    <cellStyle name="원_(0303) 2003 평가기준(중안)_현대해상'05년우수대리점제안서(송부용최종1222)_신상품재검토(20040417)" xfId="631"/>
    <cellStyle name="원_(0303) 2003 평가기준(중안)_현대해상'05년우수대리점제안서(송부용최종1222)_업체선정평가표(장기tm-20051201)-장원제(최종)" xfId="632"/>
    <cellStyle name="원_(0303) 2003 평가기준(중안)_현대해상'05년우수대리점제안서(송부용최종1222)_유지율개선실시사항(050901)" xfId="633"/>
    <cellStyle name="원_(0303) 2003 평가기준(중안)_현대해상'05년우수대리점제안서(송부용최종1222)_인수지침관련의견" xfId="634"/>
    <cellStyle name="원_(0303) 2003 평가기준(중안)_현대해상'05년우수대리점제안서(송부용최종1222)_일반보험보고(0801)-3" xfId="635"/>
    <cellStyle name="원_(0303) 2003 평가기준(중안)_현대해상'05년우수대리점제안서(송부용최종1222)_장기TM관리업무지침안(보완-0105)" xfId="636"/>
    <cellStyle name="원_(0303) 2003 평가기준(중안)_현대해상'05년우수대리점제안서(송부용최종1222)_장기TM관리지침별첨(최종-0614)" xfId="637"/>
    <cellStyle name="원_(0303) 2003 평가기준(중안)_현대해상'05년우수대리점제안서(송부용최종1222)_장기TM대리점지원및관리규정(20051216-발송용)" xfId="638"/>
    <cellStyle name="원_(0303) 2003 평가기준(중안)_현대해상'05년우수대리점제안서(송부용최종1222)_통신판매가이드라인정리(최종)" xfId="639"/>
    <cellStyle name="원_(0303) 2003 평가기준(중안)_현대해상'05년우수대리점제안서(송부용최종1222)_프리스타일(수당업)" xfId="640"/>
    <cellStyle name="원_(0303) 2003 평가기준(중안)_현대해상'05년우수대리점제안서(송부용최종1222)_하이라이프다이렉트수수료안(20060522)" xfId="641"/>
    <cellStyle name="원_(0303) 2003 평가기준(중안)_현대해상'05년우수대리점제안서(송부용최종1222)_해외여행보험활성화(060620-최종)" xfId="642"/>
    <cellStyle name="원_(0303) 2003 평가기준(중안)_현대해상'05년우수대리점제안서(송부용최종1222)_해외연수실시안(20071220)-7차-공지용" xfId="643"/>
    <cellStyle name="원_(0303) 2003 평가기준(중안)_현대해상'05년우수대리점제안서(송부용최종1222)_해외연수실시안(20080130)-후꾸오까-차수조정" xfId="644"/>
    <cellStyle name="원_(0303) 2003 평가기준(중안)_현장간담회 결과보고" xfId="645"/>
    <cellStyle name="원_(0303)+평가기준(안)+시물자료" xfId="646"/>
    <cellStyle name="원_(0303)+평가기준(안)+시물자료_우수대리점본부보고(서강)" xfId="647"/>
    <cellStyle name="원_(0303)+평가기준(안)+시물자료_우수대리점유치(0219)" xfId="648"/>
    <cellStyle name="원_(030515) 등급화 품의(진짜진짜)" xfId="649"/>
    <cellStyle name="원_(030515) 등급화 품의(진짜진짜)_2005.11월 점포코드" xfId="650"/>
    <cellStyle name="원_(030515) 등급화 품의(진짜진짜)_7-9월설치분집행(1018)" xfId="651"/>
    <cellStyle name="원_(030515) 등급화 품의(진짜진짜)_Feedback-일반활성화FY'07.2분기-품의" xfId="652"/>
    <cellStyle name="원_(030515) 등급화 품의(진짜진짜)_TM-FY'07.중간피드백-6" xfId="653"/>
    <cellStyle name="원_(030515) 등급화 품의(진짜진짜)_TM대리점활성화방안(0928)" xfId="654"/>
    <cellStyle name="원_(030515) 등급화 품의(진짜진짜)_TM대리점활성화방안(0930)-1" xfId="655"/>
    <cellStyle name="원_(030515) 등급화 품의(진짜진짜)_TM신상품개발검토의견(20060327)" xfId="656"/>
    <cellStyle name="원_(030515) 등급화 품의(진짜진짜)_TM신청서(최종)-마지부(1229)" xfId="657"/>
    <cellStyle name="원_(030515) 등급화 품의(진짜진짜)_부문별월별매출계획(070330기획실)" xfId="658"/>
    <cellStyle name="원_(030515) 등급화 품의(진짜진짜)_신상품재검토(20040417)" xfId="659"/>
    <cellStyle name="원_(030515) 등급화 품의(진짜진짜)_업체선정평가표(장기tm-20051201)-장원제(최종)" xfId="660"/>
    <cellStyle name="원_(030515) 등급화 품의(진짜진짜)_업추비개선(초안)" xfId="661"/>
    <cellStyle name="원_(030515) 등급화 품의(진짜진짜)_유지율개선실시사항(050901)" xfId="662"/>
    <cellStyle name="원_(030515) 등급화 품의(진짜진짜)_인수지침관련의견" xfId="663"/>
    <cellStyle name="원_(030515) 등급화 품의(진짜진짜)_일반보험보고(0801)-3" xfId="664"/>
    <cellStyle name="원_(030515) 등급화 품의(진짜진짜)_장기TM관리업무지침안(보완-0105)" xfId="665"/>
    <cellStyle name="원_(030515) 등급화 품의(진짜진짜)_장기TM관리지침별첨(최종-0614)" xfId="666"/>
    <cellStyle name="원_(030515) 등급화 품의(진짜진짜)_장기TM대리점지원및관리규정(20051216-발송용)" xfId="667"/>
    <cellStyle name="원_(030515) 등급화 품의(진짜진짜)_장기보험목표달성방안(070903-2)" xfId="668"/>
    <cellStyle name="원_(030515) 등급화 품의(진짜진짜)_장기특성별실적_조정후(가안)" xfId="669"/>
    <cellStyle name="원_(030515) 등급화 품의(진짜진짜)_통신판매가이드라인정리(최종)" xfId="670"/>
    <cellStyle name="원_(030515) 등급화 품의(진짜진짜)_프리스타일(수당업)" xfId="671"/>
    <cellStyle name="원_(030515) 등급화 품의(진짜진짜)_하이라이프다이렉트수수료안(20060522)" xfId="672"/>
    <cellStyle name="원_(030515) 등급화 품의(진짜진짜)_해외여행보험활성화(060620-최종)" xfId="673"/>
    <cellStyle name="원_(030515) 등급화 품의(진짜진짜)_현대해상'05년우수대리점제안서(송부용최종1222)" xfId="674"/>
    <cellStyle name="원_(030515) 등급화 품의(진짜진짜)_현대해상'05년우수대리점제안서(송부용최종1222)_0703장기보험마감분석" xfId="675"/>
    <cellStyle name="원_(030515) 등급화 품의(진짜진짜)_현대해상'05년우수대리점제안서(송부용최종1222)_7-9월설치분집행(1018)" xfId="676"/>
    <cellStyle name="원_(030515) 등급화 품의(진짜진짜)_현대해상'05년우수대리점제안서(송부용최종1222)_Feedback-일반활성화FY'07.2분기-품의" xfId="677"/>
    <cellStyle name="원_(030515) 등급화 품의(진짜진짜)_현대해상'05년우수대리점제안서(송부용최종1222)_FY'07점포영업전략(070403)" xfId="678"/>
    <cellStyle name="원_(030515) 등급화 품의(진짜진짜)_현대해상'05년우수대리점제안서(송부용최종1222)_TM-FY'07.중간피드백-6" xfId="679"/>
    <cellStyle name="원_(030515) 등급화 품의(진짜진짜)_현대해상'05년우수대리점제안서(송부용최종1222)_TM대리점활성화방안(0928)" xfId="680"/>
    <cellStyle name="원_(030515) 등급화 품의(진짜진짜)_현대해상'05년우수대리점제안서(송부용최종1222)_TM대리점활성화방안(0930)-1" xfId="681"/>
    <cellStyle name="원_(030515) 등급화 품의(진짜진짜)_현대해상'05년우수대리점제안서(송부용최종1222)_TM신상품개발검토의견(20060327)" xfId="682"/>
    <cellStyle name="원_(030515) 등급화 품의(진짜진짜)_현대해상'05년우수대리점제안서(송부용최종1222)_TM신청서(최종)-마지부(1229)" xfId="683"/>
    <cellStyle name="원_(030515) 등급화 품의(진짜진짜)_현대해상'05년우수대리점제안서(송부용최종1222)_보장자산증대방안" xfId="684"/>
    <cellStyle name="원_(030515) 등급화 품의(진짜진짜)_현대해상'05년우수대리점제안서(송부용최종1222)_신상품재검토(20040417)" xfId="685"/>
    <cellStyle name="원_(030515) 등급화 품의(진짜진짜)_현대해상'05년우수대리점제안서(송부용최종1222)_업체선정평가표(장기tm-20051201)-장원제(최종)" xfId="686"/>
    <cellStyle name="원_(030515) 등급화 품의(진짜진짜)_현대해상'05년우수대리점제안서(송부용최종1222)_유지율개선실시사항(050901)" xfId="687"/>
    <cellStyle name="원_(030515) 등급화 품의(진짜진짜)_현대해상'05년우수대리점제안서(송부용최종1222)_인수지침관련의견" xfId="688"/>
    <cellStyle name="원_(030515) 등급화 품의(진짜진짜)_현대해상'05년우수대리점제안서(송부용최종1222)_일반보험보고(0801)-3" xfId="689"/>
    <cellStyle name="원_(030515) 등급화 품의(진짜진짜)_현대해상'05년우수대리점제안서(송부용최종1222)_장기TM관리업무지침안(보완-0105)" xfId="690"/>
    <cellStyle name="원_(030515) 등급화 품의(진짜진짜)_현대해상'05년우수대리점제안서(송부용최종1222)_장기TM관리지침별첨(최종-0614)" xfId="691"/>
    <cellStyle name="원_(030515) 등급화 품의(진짜진짜)_현대해상'05년우수대리점제안서(송부용최종1222)_장기TM대리점지원및관리규정(20051216-발송용)" xfId="692"/>
    <cellStyle name="원_(030515) 등급화 품의(진짜진짜)_현대해상'05년우수대리점제안서(송부용최종1222)_통신판매가이드라인정리(최종)" xfId="693"/>
    <cellStyle name="원_(030515) 등급화 품의(진짜진짜)_현대해상'05년우수대리점제안서(송부용최종1222)_프리스타일(수당업)" xfId="694"/>
    <cellStyle name="원_(030515) 등급화 품의(진짜진짜)_현대해상'05년우수대리점제안서(송부용최종1222)_하이라이프다이렉트수수료안(20060522)" xfId="695"/>
    <cellStyle name="원_(030515) 등급화 품의(진짜진짜)_현대해상'05년우수대리점제안서(송부용최종1222)_해외여행보험활성화(060620-최종)" xfId="696"/>
    <cellStyle name="원_(030515) 등급화 품의(진짜진짜)_현대해상'05년우수대리점제안서(송부용최종1222)_해외연수실시안(20071220)-7차-공지용" xfId="697"/>
    <cellStyle name="원_(030515) 등급화 품의(진짜진짜)_현대해상'05년우수대리점제안서(송부용최종1222)_해외연수실시안(20080130)-후꾸오까-차수조정" xfId="698"/>
    <cellStyle name="원_(030515) 등급화 품의(진짜진짜)_현장간담회 결과보고" xfId="699"/>
    <cellStyle name="원_(030522) FY2003년사업단위별 평가기준(송부-A4)" xfId="700"/>
    <cellStyle name="원_(030522) FY2003년사업단위별 평가기준(송부-A4)_3058752004021610345903850617_타사유치 진행현황-본부보고용" xfId="701"/>
    <cellStyle name="원_(030522) FY2003년사업단위별 평가기준(송부-A4)_34분기평가예상-용자이(12.7)" xfId="702"/>
    <cellStyle name="원_(030522) FY2003년사업단위별 평가기준(송부-A4)_34분기평가예상-용자이(12.7)_우수대리점본부보고(서강)" xfId="703"/>
    <cellStyle name="원_(030522) FY2003년사업단위별 평가기준(송부-A4)_34분기평가예상-용자이(12.7)_우수대리점유치(0219)" xfId="704"/>
    <cellStyle name="원_(030522) FY2003년사업단위별 평가기준(송부-A4)_우수대리점본부보고(서강)" xfId="705"/>
    <cellStyle name="원_(030522) FY2003년사업단위별 평가기준(송부-A4)_우수대리점본부보고(은평)" xfId="706"/>
    <cellStyle name="원_(030522) FY2003년사업단위별 평가기준(송부-A4)_우수대리점본부보고(일산)" xfId="707"/>
    <cellStyle name="원_(030522) FY2003년사업단위별 평가기준(송부-A4)_우수대리점유치(0219)" xfId="708"/>
    <cellStyle name="원_(030522) FY2003년사업단위별 평가기준(송부-A4)_우수대리점유치현황(서강)" xfId="709"/>
    <cellStyle name="원_(030723) 기지부평가결과(확대영업회의자료)" xfId="710"/>
    <cellStyle name="원_(030723) 기지부평가결과(확대영업회의자료)_34분기평가예상-용자이(12.7)" xfId="711"/>
    <cellStyle name="원_(030723) 기지부평가결과(확대영업회의자료)_우수대리점본부보고(서강)" xfId="712"/>
    <cellStyle name="원_(030723) 기지부평가결과(확대영업회의자료)_우수대리점유치현황(서강)" xfId="713"/>
    <cellStyle name="원_(030724)14평가결과(송부)" xfId="714"/>
    <cellStyle name="원_(030724)14평가결과(송부)_우수대리점본부보고(서강)" xfId="715"/>
    <cellStyle name="원_(030724)14평가결과(송부)_우수대리점유치(0219)" xfId="716"/>
    <cellStyle name="원_(0310) 평가품의서(단위별)2분기(A-1)" xfId="717"/>
    <cellStyle name="원_(031118) (10월) 영업가족 영업소별 합격현황(03.05~)" xfId="718"/>
    <cellStyle name="원_(031118) (홍) 2003.7~9월무합격점포현황" xfId="719"/>
    <cellStyle name="원_(040223) 영업소 시상금(방광섭)" xfId="720"/>
    <cellStyle name="원_(040305) 등급화시물Ⅲ" xfId="721"/>
    <cellStyle name="원_(040412)인센티브시뮬작업" xfId="722"/>
    <cellStyle name="원_(040423) 품의서" xfId="723"/>
    <cellStyle name="원_(040712) (부진지점 송부)" xfId="724"/>
    <cellStyle name="원_(040712) 품의서(부진지점)" xfId="725"/>
    <cellStyle name="원_(040831) (박문슈) 9월+24분기+총력달성+본부시상(발송용)" xfId="726"/>
    <cellStyle name="원_(040901) (박문슈2) 9월+24분기+총력달성+본부시상(수정)" xfId="727"/>
    <cellStyle name="원_(040901) 품의서(쳌업포인츠10)" xfId="728"/>
    <cellStyle name="원_(050315)-FY'05영업지원기준개정 품의(안)" xfId="729"/>
    <cellStyle name="원_(050704)2분기점포등급화(0412-0505)" xfId="730"/>
    <cellStyle name="원_(050928발송)3분기점포등급화(0503-0508)" xfId="731"/>
    <cellStyle name="원_(060515)유니버셜판매관련회장님보고" xfId="732"/>
    <cellStyle name="원_(060515)하이라이프유니버셜판매보고" xfId="733"/>
    <cellStyle name="원_(20040712)+부진지점list" xfId="734"/>
    <cellStyle name="원_(2분기) 평가시뮬(변경후)" xfId="735"/>
    <cellStyle name="원_(2분기) 평가시뮬(변경후)_우수대리점본부보고(서강)" xfId="736"/>
    <cellStyle name="원_(2분기) 평가시뮬(변경후)_우수대리점유치(0219)" xfId="737"/>
    <cellStyle name="원_(대표본부장)FY'04인센티브기준안" xfId="738"/>
    <cellStyle name="원_(보고1)FY2002장기배분" xfId="739"/>
    <cellStyle name="원_(보고1)FY2002장기배분_3063932006021309511403280445_FY'06년 자동차보험 매출계획 기획실송부 요약" xfId="740"/>
    <cellStyle name="원_(보고1)FY2002장기배분_3063932006021314282903120496_FY'06년 자동차보험 매출계획 기획실송부 요약" xfId="741"/>
    <cellStyle name="원_(보고1)FY2002장기배분_306393200701221041450656000468420013_FY07 매출계획 작성양식" xfId="742"/>
    <cellStyle name="원_(보고1)FY2002장기배분_306393200701221329200203007251260027_FY07 매출계획 작성양식" xfId="743"/>
    <cellStyle name="원_(보고1)FY2002장기배분_306393200701250903550250090628260030_FY07 매출계획 작성양식" xfId="744"/>
    <cellStyle name="원_(보고1)FY2002장기배분_7-9월설치분집행(1018)" xfId="745"/>
    <cellStyle name="원_(보고1)FY2002장기배분_FY'06년 자동차보험 매출계획 5(안)-1" xfId="746"/>
    <cellStyle name="원_(보고1)FY2002장기배분_FY'06년 자동차보험 매출계획 5(안)-2" xfId="747"/>
    <cellStyle name="원_(보고1)FY2002장기배분_FY'06년 자동차보험 매출계획 기획실송부 요약" xfId="748"/>
    <cellStyle name="원_(보고1)FY2002장기배분_FY07 매출계획 작성양식(최종송부)" xfId="749"/>
    <cellStyle name="원_(보고1)FY2002장기배분_PLACARD" xfId="750"/>
    <cellStyle name="원_(보고1)FY2002장기배분_TM대리점활성화방안(0928)" xfId="751"/>
    <cellStyle name="원_(보고1)FY2002장기배분_TM대리점활성화방안(0930)-1" xfId="752"/>
    <cellStyle name="원_(보고1)FY2002장기배분_TM신상품개발검토의견(20060327)" xfId="753"/>
    <cellStyle name="원_(보고1)FY2002장기배분_TM신청서(최종)-마지부(1229)" xfId="754"/>
    <cellStyle name="원_(보고1)FY2002장기배분_tm활성화(예산수정)" xfId="755"/>
    <cellStyle name="원_(보고1)FY2002장기배분_마지부승인(0512 -5차)" xfId="756"/>
    <cellStyle name="원_(보고1)FY2002장기배분_업체선정평가표(장기tm-20051201)-장원제(최종)" xfId="757"/>
    <cellStyle name="원_(보고1)FY2002장기배분_유지율개선실시사항(050901)" xfId="758"/>
    <cellStyle name="원_(보고1)FY2002장기배분_인수지침관련의견" xfId="759"/>
    <cellStyle name="원_(보고1)FY2002장기배분_일반보험보고(0801)-3" xfId="760"/>
    <cellStyle name="원_(보고1)FY2002장기배분_장기TM관리업무지침안(보완-0105)" xfId="761"/>
    <cellStyle name="원_(보고1)FY2002장기배분_장기TM관리지침별첨(최종-0614)" xfId="762"/>
    <cellStyle name="원_(보고1)FY2002장기배분_장기TM대리점지원및관리규정(20051216-발송용)" xfId="763"/>
    <cellStyle name="원_(보고1)FY2002장기배분_장기TM활성화방안(11월-결재예산보완본)-최종판" xfId="764"/>
    <cellStyle name="원_(보고1)FY2002장기배분_참석자명단(대리점)" xfId="765"/>
    <cellStyle name="원_(보고1)FY2002장기배분_해외여행보험활성화(060620-최종)" xfId="766"/>
    <cellStyle name="원_(보고용)FY04년 점포운영기준안" xfId="767"/>
    <cellStyle name="원_★ 매출품의 ★ (050303 미국支 수정-HJN&amp;품의)" xfId="768"/>
    <cellStyle name="원_02~04(총괄)" xfId="769"/>
    <cellStyle name="원_'03(1).10월+신인도입시책(0926)" xfId="770"/>
    <cellStyle name="원_0304장기업추비" xfId="771"/>
    <cellStyle name="원_030623소장회의" xfId="772"/>
    <cellStyle name="원_030714소장회의" xfId="773"/>
    <cellStyle name="원_04.4~05.3월합격자육성현황(05.5.19)출력" xfId="774"/>
    <cellStyle name="원_04.4~9월합격자육성현황(04.11.24)" xfId="775"/>
    <cellStyle name="원_04.9~10월타사유치현황(04.10.20)" xfId="776"/>
    <cellStyle name="원_04.9~11월MS지원금(04.12.14)" xfId="777"/>
    <cellStyle name="원_0410월별합격시상금(배포용)" xfId="778"/>
    <cellStyle name="원_041111부서장회의발표" xfId="779"/>
    <cellStyle name="원_05.12월분석자료" xfId="780"/>
    <cellStyle name="원_05.4~6월합격자입교현황(05.8.1)HIPA" xfId="781"/>
    <cellStyle name="원_05.4~6월합격자퍼스티수료(05.9.2)추가자반영" xfId="782"/>
    <cellStyle name="원_05.4~6월합격자퍼스티수료(05.9.2)하이비젼" xfId="783"/>
    <cellStyle name="원_05.4~6월합격자퍼스티수료현황(05.8.10)" xfId="784"/>
    <cellStyle name="원_05.4~9월합격예상" xfId="785"/>
    <cellStyle name="원_05.5월타사유치인원리스트" xfId="786"/>
    <cellStyle name="원_05.5월합격예상(05.5.19)" xfId="787"/>
    <cellStyle name="원_05.6월분석자료" xfId="788"/>
    <cellStyle name="원_05.8월결과(05.8.31)" xfId="789"/>
    <cellStyle name="원_05.8월타사유치인원리스트" xfId="790"/>
    <cellStyle name="원_05.9월점포별합격예상공지(05.9.16)" xfId="791"/>
    <cellStyle name="원_05.상반기체크업컨퍼런스(05.10.27)최종" xfId="792"/>
    <cellStyle name="원_0606장기보험OFF추가목표(060519)MOON" xfId="793"/>
    <cellStyle name="원_0703유지율참고자료" xfId="794"/>
    <cellStyle name="원_0703장기보험마감분석" xfId="795"/>
    <cellStyle name="원_0711-마감보고참고자료(장기보험)-유지율" xfId="796"/>
    <cellStyle name="원_08월임원회의 참고자료" xfId="797"/>
    <cellStyle name="원_08월임원회의 참고자료_3063932006021309511403280445_FY'06년 자동차보험 매출계획 기획실송부 요약" xfId="798"/>
    <cellStyle name="원_08월임원회의 참고자료_3063932006021314282903120496_FY'06년 자동차보험 매출계획 기획실송부 요약" xfId="799"/>
    <cellStyle name="원_08월임원회의 참고자료_306393200701221041450656000468420013_FY07 매출계획 작성양식" xfId="800"/>
    <cellStyle name="원_08월임원회의 참고자료_306393200701221329200203007251260027_FY07 매출계획 작성양식" xfId="801"/>
    <cellStyle name="원_08월임원회의 참고자료_306393200701250903550250090628260030_FY07 매출계획 작성양식" xfId="802"/>
    <cellStyle name="원_08월임원회의 참고자료_7-9월설치분집행(1018)" xfId="803"/>
    <cellStyle name="원_08월임원회의 참고자료_FY'06년 자동차보험 매출계획 5(안)-1" xfId="804"/>
    <cellStyle name="원_08월임원회의 참고자료_FY'06년 자동차보험 매출계획 5(안)-2" xfId="805"/>
    <cellStyle name="원_08월임원회의 참고자료_FY'06년 자동차보험 매출계획 기획실송부 요약" xfId="806"/>
    <cellStyle name="원_08월임원회의 참고자료_FY07 매출계획 작성양식(최종송부)" xfId="807"/>
    <cellStyle name="원_08월임원회의 참고자료_PLACARD" xfId="808"/>
    <cellStyle name="원_08월임원회의 참고자료_TM대리점활성화방안(0928)" xfId="809"/>
    <cellStyle name="원_08월임원회의 참고자료_TM대리점활성화방안(0930)-1" xfId="810"/>
    <cellStyle name="원_08월임원회의 참고자료_TM신상품개발검토의견(20060327)" xfId="811"/>
    <cellStyle name="원_08월임원회의 참고자료_TM신청서(최종)-마지부(1229)" xfId="812"/>
    <cellStyle name="원_08월임원회의 참고자료_tm활성화(예산수정)" xfId="813"/>
    <cellStyle name="원_08월임원회의 참고자료_마지부승인(0512 -5차)" xfId="814"/>
    <cellStyle name="원_08월임원회의 참고자료_업체선정평가표(장기tm-20051201)-장원제(최종)" xfId="815"/>
    <cellStyle name="원_08월임원회의 참고자료_인수지침관련의견" xfId="816"/>
    <cellStyle name="원_08월임원회의 참고자료_장기TM대리점지원및관리규정(20051216-발송용)" xfId="817"/>
    <cellStyle name="원_08월임원회의 참고자료_장기TM활성화방안(11월-결재예산보완본)-최종판" xfId="818"/>
    <cellStyle name="원_08월임원회의 참고자료_참석자명단(대리점)" xfId="819"/>
    <cellStyle name="원_10.13본부장(3분기예상실적영업소)" xfId="820"/>
    <cellStyle name="원_10.13본부장(3분기예상실적영업소)_우수대리점본부보고(서강)" xfId="821"/>
    <cellStyle name="원_10.13본부장(3분기예상실적영업소)_우수대리점유치(0219)" xfId="822"/>
    <cellStyle name="원_10~11월checkup진도현황(04.12.14)" xfId="823"/>
    <cellStyle name="원_10~11월checkup진도현황(04.12.3)" xfId="824"/>
    <cellStyle name="원_10월 예상 GRADE1013  " xfId="825"/>
    <cellStyle name="원_10월+신인도입시책(0925)" xfId="826"/>
    <cellStyle name="원_10월checkup진도현황(04.11.4)" xfId="827"/>
    <cellStyle name="원_10월마감보고회의부속자료" xfId="828"/>
    <cellStyle name="원_10월양식1" xfId="829"/>
    <cellStyle name="원_11월 GRADE예상1101" xfId="830"/>
    <cellStyle name="원_11월 차수마감 최종12.21" xfId="831"/>
    <cellStyle name="원_11월+설대+합격+부진+자료+임원회의+030904" xfId="832"/>
    <cellStyle name="원_11월+설대+합격+부진+자료+임원회의+030904_3063932006021309511403280445_FY'06년 자동차보험 매출계획 기획실송부 요약" xfId="833"/>
    <cellStyle name="원_11월+설대+합격+부진+자료+임원회의+030904_3063932006021314282903120496_FY'06년 자동차보험 매출계획 기획실송부 요약" xfId="834"/>
    <cellStyle name="원_11월+설대+합격+부진+자료+임원회의+030904_306393200701221041450656000468420013_FY07 매출계획 작성양식" xfId="835"/>
    <cellStyle name="원_11월+설대+합격+부진+자료+임원회의+030904_306393200701221329200203007251260027_FY07 매출계획 작성양식" xfId="836"/>
    <cellStyle name="원_11월+설대+합격+부진+자료+임원회의+030904_306393200701250903550250090628260030_FY07 매출계획 작성양식" xfId="837"/>
    <cellStyle name="원_11월+설대+합격+부진+자료+임원회의+030904_7-9월설치분집행(1018)" xfId="838"/>
    <cellStyle name="원_11월+설대+합격+부진+자료+임원회의+030904_Feedback-일반활성화FY'07.2분기-품의" xfId="839"/>
    <cellStyle name="원_11월+설대+합격+부진+자료+임원회의+030904_FY'06년 자동차보험 매출계획 5(안)-1" xfId="840"/>
    <cellStyle name="원_11월+설대+합격+부진+자료+임원회의+030904_FY'06년 자동차보험 매출계획 5(안)-2" xfId="841"/>
    <cellStyle name="원_11월+설대+합격+부진+자료+임원회의+030904_FY'06년 자동차보험 매출계획 기획실송부 요약" xfId="842"/>
    <cellStyle name="원_11월+설대+합격+부진+자료+임원회의+030904_FY07 매출계획 작성양식(최종송부)" xfId="843"/>
    <cellStyle name="원_11월+설대+합격+부진+자료+임원회의+030904_TM-FY'07.중간피드백-6" xfId="844"/>
    <cellStyle name="원_11월+설대+합격+부진+자료+임원회의+030904_TM대리점활성화방안(0928)" xfId="845"/>
    <cellStyle name="원_11월+설대+합격+부진+자료+임원회의+030904_TM대리점활성화방안(0930)-1" xfId="846"/>
    <cellStyle name="원_11월+설대+합격+부진+자료+임원회의+030904_TM신상품개발검토의견(20060327)" xfId="847"/>
    <cellStyle name="원_11월+설대+합격+부진+자료+임원회의+030904_TM신청서(최종)-마지부(1229)" xfId="848"/>
    <cellStyle name="원_11월+설대+합격+부진+자료+임원회의+030904_부문별월별매출계획(070330기획실)" xfId="849"/>
    <cellStyle name="원_11월+설대+합격+부진+자료+임원회의+030904_신상품재검토(20040417)" xfId="850"/>
    <cellStyle name="원_11월+설대+합격+부진+자료+임원회의+030904_업체선정평가표(장기tm-20051201)-장원제(최종)" xfId="851"/>
    <cellStyle name="원_11월+설대+합격+부진+자료+임원회의+030904_인수지침관련의견" xfId="852"/>
    <cellStyle name="원_11월+설대+합격+부진+자료+임원회의+030904_장기TM대리점지원및관리규정(20051216-발송용)" xfId="853"/>
    <cellStyle name="원_11월+설대+합격+부진+자료+임원회의+030904_장기보험목표달성방안(070903-2)" xfId="854"/>
    <cellStyle name="원_11월+설대+합격+부진+자료+임원회의+030904_장기특성별실적_조정후(가안)" xfId="855"/>
    <cellStyle name="원_11월+설대+합격+부진+자료+임원회의+030904_통신판매가이드라인정리(최종)" xfId="856"/>
    <cellStyle name="원_11월+설대+합격+부진+자료+임원회의+030904_하이라이프다이렉트수수료안(20060522)" xfId="857"/>
    <cellStyle name="원_11월양식" xfId="858"/>
    <cellStyle name="원_11월영업지원팀장회의(최종)" xfId="859"/>
    <cellStyle name="원_11월영업지원팀장회의(최종)_0703장기보험마감분석" xfId="860"/>
    <cellStyle name="원_11월영업지원팀장회의(최종)_7-9월설치분집행(1018)" xfId="861"/>
    <cellStyle name="원_11월영업지원팀장회의(최종)_Feedback-일반활성화FY'07.2분기-품의" xfId="862"/>
    <cellStyle name="원_11월영업지원팀장회의(최종)_FY'07점포영업전략(070403)" xfId="863"/>
    <cellStyle name="원_11월영업지원팀장회의(최종)_TM-FY'07.중간피드백-6" xfId="864"/>
    <cellStyle name="원_11월영업지원팀장회의(최종)_TM대리점활성화방안(0928)" xfId="865"/>
    <cellStyle name="원_11월영업지원팀장회의(최종)_TM대리점활성화방안(0930)-1" xfId="866"/>
    <cellStyle name="원_11월영업지원팀장회의(최종)_TM신상품개발검토의견(20060327)" xfId="867"/>
    <cellStyle name="원_11월영업지원팀장회의(최종)_TM신청서(최종)-마지부(1229)" xfId="868"/>
    <cellStyle name="원_11월영업지원팀장회의(최종)_보장자산증대방안" xfId="869"/>
    <cellStyle name="원_11월영업지원팀장회의(최종)_신상품재검토(20040417)" xfId="870"/>
    <cellStyle name="원_11월영업지원팀장회의(최종)_업체선정평가표(장기tm-20051201)-장원제(최종)" xfId="871"/>
    <cellStyle name="원_11월영업지원팀장회의(최종)_업추비개선(초안)" xfId="872"/>
    <cellStyle name="원_11월영업지원팀장회의(최종)_인수지침관련의견" xfId="873"/>
    <cellStyle name="원_11월영업지원팀장회의(최종)_장기TM대리점지원및관리규정(20051216-발송용)" xfId="874"/>
    <cellStyle name="원_11월영업지원팀장회의(최종)_통신판매가이드라인정리(최종)" xfId="875"/>
    <cellStyle name="원_11월영업지원팀장회의(최종)_하이라이프다이렉트수수료안(20060522)" xfId="876"/>
    <cellStyle name="원_11월영업지원팀장회의(최종)_해외연수실시안(20071220)-7차-공지용" xfId="877"/>
    <cellStyle name="원_11월영업지원팀장회의(최종)_해외연수실시안(20080130)-후꾸오까-차수조정" xfId="878"/>
    <cellStyle name="원_11월영업지원팀장회의(최종)_현장간담회 결과보고" xfId="879"/>
    <cellStyle name="원_11월합격예상" xfId="880"/>
    <cellStyle name="원_11월합격예상_Feedback-일반활성화FY'07.2분기-품의" xfId="881"/>
    <cellStyle name="원_11월합격예상_FY'06장기보험매출계획(유지율)" xfId="882"/>
    <cellStyle name="원_11월합격예상_FY'07 매출추정(0130)-3차(목표문구)" xfId="883"/>
    <cellStyle name="원_11월합격예상_FY'07점포영업전략(070403)" xfId="884"/>
    <cellStyle name="원_11월합격예상_보장자산증대방안" xfId="885"/>
    <cellStyle name="원_12월경쟁사(마기부)" xfId="886"/>
    <cellStyle name="원_12월마감보고회의부속자료(최종-기지부)" xfId="887"/>
    <cellStyle name="원_12월양식" xfId="888"/>
    <cellStyle name="원_1분기예상누계실적및지표" xfId="889"/>
    <cellStyle name="원_2002-07-장기업추비배정(보고)" xfId="890"/>
    <cellStyle name="원_2002-07-장기업추비배정(보고)_7-9월설치분집행(1018)" xfId="891"/>
    <cellStyle name="원_2002-07-장기업추비배정(보고)_Feedback-일반활성화FY'07.2분기-품의" xfId="892"/>
    <cellStyle name="원_2002-07-장기업추비배정(보고)_TM-FY'07.중간피드백-6" xfId="893"/>
    <cellStyle name="원_2002-07-장기업추비배정(보고)_TM대리점활성화방안(0928)" xfId="894"/>
    <cellStyle name="원_2002-07-장기업추비배정(보고)_TM대리점활성화방안(0930)-1" xfId="895"/>
    <cellStyle name="원_2002-07-장기업추비배정(보고)_TM신상품개발검토의견(20060327)" xfId="896"/>
    <cellStyle name="원_2002-07-장기업추비배정(보고)_TM신청서(최종)-마지부(1229)" xfId="897"/>
    <cellStyle name="원_2002-07-장기업추비배정(보고)_부문별월별매출계획(070330기획실)" xfId="898"/>
    <cellStyle name="원_2002-07-장기업추비배정(보고)_신상품재검토(20040417)" xfId="899"/>
    <cellStyle name="원_2002-07-장기업추비배정(보고)_업체선정평가표(장기tm-20051201)-장원제(최종)" xfId="900"/>
    <cellStyle name="원_2002-07-장기업추비배정(보고)_업추비개선(초안)" xfId="901"/>
    <cellStyle name="원_2002-07-장기업추비배정(보고)_인수지침관련의견" xfId="902"/>
    <cellStyle name="원_2002-07-장기업추비배정(보고)_장기TM대리점지원및관리규정(20051216-발송용)" xfId="903"/>
    <cellStyle name="원_2002-07-장기업추비배정(보고)_장기보험목표달성방안(070903-2)" xfId="904"/>
    <cellStyle name="원_2002-07-장기업추비배정(보고)_장기특성별실적_조정후(가안)" xfId="905"/>
    <cellStyle name="원_2002-07-장기업추비배정(보고)_통신판매가이드라인정리(최종)" xfId="906"/>
    <cellStyle name="원_2002-07-장기업추비배정(보고)_하이라이프다이렉트수수료안(20060522)" xfId="907"/>
    <cellStyle name="원_2002-07-장기업추비배정(보고)_현장간담회 결과보고" xfId="908"/>
    <cellStyle name="원_2002-10-장기업추비배정(보고)" xfId="909"/>
    <cellStyle name="원_2003 업추비교육OHP(2003.12)" xfId="910"/>
    <cellStyle name="원_2003.12 지역팀데이타(20040119)" xfId="911"/>
    <cellStyle name="원_2003.1월 장기 업추비배정(보고)" xfId="912"/>
    <cellStyle name="원_2003.4월+장기+업추비배정(보고)" xfId="913"/>
    <cellStyle name="원_2003.5월+장기+업추비배정(발송)" xfId="914"/>
    <cellStyle name="원_2003년 5월양식" xfId="915"/>
    <cellStyle name="원_2003년1월양식" xfId="916"/>
    <cellStyle name="원_2003년2월양식" xfId="917"/>
    <cellStyle name="원_2003년3월양식" xfId="918"/>
    <cellStyle name="원_2003년4월양식" xfId="919"/>
    <cellStyle name="원_2003년5월장기고객유지현황(03.06.09)" xfId="920"/>
    <cellStyle name="원_2004.10.1차 경상비" xfId="921"/>
    <cellStyle name="원_2004.11월+점포코드" xfId="922"/>
    <cellStyle name="원_2004.1월 2차 경상비" xfId="923"/>
    <cellStyle name="원_2004년 예비비현황" xfId="924"/>
    <cellStyle name="원_2004목표(수정전)" xfId="925"/>
    <cellStyle name="원_2004품의서" xfId="926"/>
    <cellStyle name="원_2004품의서_0703장기보험마감분석" xfId="927"/>
    <cellStyle name="원_2004품의서_7-9월설치분집행(1018)" xfId="928"/>
    <cellStyle name="원_2004품의서_Feedback-일반활성화FY'07.2분기-품의" xfId="929"/>
    <cellStyle name="원_2004품의서_FY'07점포영업전략(070403)" xfId="930"/>
    <cellStyle name="원_2004품의서_TM-FY'07.중간피드백-6" xfId="931"/>
    <cellStyle name="원_2004품의서_TM대리점활성화방안(0928)" xfId="932"/>
    <cellStyle name="원_2004품의서_TM대리점활성화방안(0930)-1" xfId="933"/>
    <cellStyle name="원_2004품의서_TM신상품개발검토의견(20060327)" xfId="934"/>
    <cellStyle name="원_2004품의서_TM신청서(최종)-마지부(1229)" xfId="935"/>
    <cellStyle name="원_2004품의서_보장자산증대방안" xfId="936"/>
    <cellStyle name="원_2004품의서_신상품재검토(20040417)" xfId="937"/>
    <cellStyle name="원_2004품의서_업체선정평가표(장기tm-20051201)-장원제(최종)" xfId="938"/>
    <cellStyle name="원_2004품의서_인수지침관련의견" xfId="939"/>
    <cellStyle name="원_2004품의서_장기TM대리점지원및관리규정(20051216-발송용)" xfId="940"/>
    <cellStyle name="원_2004품의서_통신판매가이드라인정리(최종)" xfId="941"/>
    <cellStyle name="원_2004품의서_하이라이프다이렉트수수료안(20060522)" xfId="942"/>
    <cellStyle name="원_2004품의서_해외연수실시안(20071220)-7차-공지용" xfId="943"/>
    <cellStyle name="원_2004품의서_해외연수실시안(20080130)-후꾸오까-차수조정" xfId="944"/>
    <cellStyle name="원_2005.11월 점포코드" xfId="945"/>
    <cellStyle name="원_2005.3월 점포코드" xfId="946"/>
    <cellStyle name="원_2005.4월 2차 경상비" xfId="947"/>
    <cellStyle name="원_210" xfId="948"/>
    <cellStyle name="원_24분기평가결과(경남)" xfId="949"/>
    <cellStyle name="원_2분기 조직부문예상902" xfId="950"/>
    <cellStyle name="원_3035992003121714114601300567_가.11월 마감실적" xfId="951"/>
    <cellStyle name="원_304631200705181144070140081483730076_2007품의서양식(개인보험부문장협조)" xfId="952"/>
    <cellStyle name="원_3046782005070420094503750344_부진지점회의자료" xfId="953"/>
    <cellStyle name="원_3047842004071210483005930590_보고양식" xfId="954"/>
    <cellStyle name="원_3059062006042515040808120170_2006목표(본사영업부계)" xfId="955"/>
    <cellStyle name="원_3061422004072313222408370910_신인육성프로그램0701" xfId="956"/>
    <cellStyle name="원_3061422004072609252908170160_신인육성프로그램0701" xfId="957"/>
    <cellStyle name="원_3063222004080617303503070863_임원회의자료0809" xfId="958"/>
    <cellStyle name="원_3063222004080617303503070863_임원회의자료0809_0703장기보험마감분석" xfId="959"/>
    <cellStyle name="원_3063222004080617303503070863_임원회의자료0809_7-9월설치분집행(1018)" xfId="960"/>
    <cellStyle name="원_3063222004080617303503070863_임원회의자료0809_Feedback-일반활성화FY'07.2분기-품의" xfId="961"/>
    <cellStyle name="원_3063222004080617303503070863_임원회의자료0809_FY'07점포영업전략(070403)" xfId="962"/>
    <cellStyle name="원_3063222004080617303503070863_임원회의자료0809_TM-FY'07.중간피드백-6" xfId="963"/>
    <cellStyle name="원_3063222004080617303503070863_임원회의자료0809_TM대리점활성화방안(0928)" xfId="964"/>
    <cellStyle name="원_3063222004080617303503070863_임원회의자료0809_TM대리점활성화방안(0930)-1" xfId="965"/>
    <cellStyle name="원_3063222004080617303503070863_임원회의자료0809_TM신상품개발검토의견(20060327)" xfId="966"/>
    <cellStyle name="원_3063222004080617303503070863_임원회의자료0809_TM신청서(최종)-마지부(1229)" xfId="967"/>
    <cellStyle name="원_3063222004080617303503070863_임원회의자료0809_보장자산증대방안" xfId="968"/>
    <cellStyle name="원_3063222004080617303503070863_임원회의자료0809_신상품재검토(20040417)" xfId="969"/>
    <cellStyle name="원_3063222004080617303503070863_임원회의자료0809_업체선정평가표(장기tm-20051201)-장원제(최종)" xfId="970"/>
    <cellStyle name="원_3063222004080617303503070863_임원회의자료0809_인수지침관련의견" xfId="971"/>
    <cellStyle name="원_3063222004080617303503070863_임원회의자료0809_장기TM대리점지원및관리규정(20051216-발송용)" xfId="972"/>
    <cellStyle name="원_3063222004080617303503070863_임원회의자료0809_통신판매가이드라인정리(최종)" xfId="973"/>
    <cellStyle name="원_3063222004080617303503070863_임원회의자료0809_하이라이프다이렉트수수료안(20060522)" xfId="974"/>
    <cellStyle name="원_3063222004080617303503070863_임원회의자료0809_해외연수실시안(20071220)-7차-공지용" xfId="975"/>
    <cellStyle name="원_3063222004080617303503070863_임원회의자료0809_해외연수실시안(20080130)-후꾸오까-차수조정" xfId="976"/>
    <cellStyle name="원_3063932006041821511701710347_FY'06 매출계획 최종확정(시장전망)" xfId="977"/>
    <cellStyle name="원_3064912004101513272601560660_작성계약근절대책방안(041007)" xfId="978"/>
    <cellStyle name="원_3066902003102017141100300542_03조직" xfId="979"/>
    <cellStyle name="원_3066902003102717262602600621_03조직" xfId="980"/>
    <cellStyle name="원_3066902003103117281806900099_03조직" xfId="981"/>
    <cellStyle name="원_3069072004072318002900000101_(3차)사업팀운영기준안" xfId="982"/>
    <cellStyle name="원_3083072006010511200705150661_TM신청서(최종)" xfId="983"/>
    <cellStyle name="원_3083312004030218411900930673_육성인원확인용" xfId="984"/>
    <cellStyle name="원_34분기평가예상-용자이(12.7)" xfId="985"/>
    <cellStyle name="원_34분기평가예상-용자이(12.7)_우수대리점본부보고(서강)" xfId="986"/>
    <cellStyle name="원_34분기평가예상-용자이(12.7)_우수대리점유치(0219)" xfId="987"/>
    <cellStyle name="원_3-FY'05영업지원기준-업추비7월" xfId="988"/>
    <cellStyle name="원_3분기변경대비표" xfId="989"/>
    <cellStyle name="원_3분기예상실적1014" xfId="990"/>
    <cellStyle name="원_3월기지부" xfId="991"/>
    <cellStyle name="원_3월영업활성화최종공지(2.27)" xfId="992"/>
    <cellStyle name="원_3월자동차분석" xfId="993"/>
    <cellStyle name="원_3월자동차분석_Feedback-일반활성화FY'07.2분기-품의" xfId="994"/>
    <cellStyle name="원_3월자동차분석_FY'06장기보험매출계획(유지율)" xfId="995"/>
    <cellStyle name="원_3월자동차분석_FY'07점포영업전략(070403)" xfId="996"/>
    <cellStyle name="원_3월자동차분석_보장자산증대방안" xfId="997"/>
    <cellStyle name="원_4-FY04영업지원기준-Q" xfId="998"/>
    <cellStyle name="원_4월 실적분석" xfId="999"/>
    <cellStyle name="원_4월+증원+업추비배정(0516)1" xfId="1000"/>
    <cellStyle name="원_5월+실적관련+자료" xfId="1001"/>
    <cellStyle name="원_5월신인도입시책1" xfId="1002"/>
    <cellStyle name="원_6월영업활성화송부(장기월납분기결재)" xfId="1003"/>
    <cellStyle name="원_6월일반 실적분석" xfId="1004"/>
    <cellStyle name="원_7.28소장회의" xfId="1005"/>
    <cellStyle name="원_7-9월설치분집행(1018)" xfId="1006"/>
    <cellStyle name="원_7page(작업)" xfId="1007"/>
    <cellStyle name="원_7page(작업)_3063932006021309511403280445_FY'06년 자동차보험 매출계획 기획실송부 요약" xfId="1008"/>
    <cellStyle name="원_7page(작업)_3063932006021314282903120496_FY'06년 자동차보험 매출계획 기획실송부 요약" xfId="1009"/>
    <cellStyle name="원_7page(작업)_306393200701221041450656000468420013_FY07 매출계획 작성양식" xfId="1010"/>
    <cellStyle name="원_7page(작업)_306393200701221329200203007251260027_FY07 매출계획 작성양식" xfId="1011"/>
    <cellStyle name="원_7page(작업)_306393200701250903550250090628260030_FY07 매출계획 작성양식" xfId="1012"/>
    <cellStyle name="원_7page(작업)_7-9월설치분집행(1018)" xfId="1013"/>
    <cellStyle name="원_7page(작업)_FY'06년 자동차보험 매출계획 5(안)-1" xfId="1014"/>
    <cellStyle name="원_7page(작업)_FY'06년 자동차보험 매출계획 5(안)-2" xfId="1015"/>
    <cellStyle name="원_7page(작업)_FY'06년 자동차보험 매출계획 기획실송부 요약" xfId="1016"/>
    <cellStyle name="원_7page(작업)_FY07 매출계획 작성양식(최종송부)" xfId="1017"/>
    <cellStyle name="원_7page(작업)_PLACARD" xfId="1018"/>
    <cellStyle name="원_7page(작업)_TM대리점활성화방안(0928)" xfId="1019"/>
    <cellStyle name="원_7page(작업)_TM대리점활성화방안(0930)-1" xfId="1020"/>
    <cellStyle name="원_7page(작업)_TM신상품개발검토의견(20060327)" xfId="1021"/>
    <cellStyle name="원_7page(작업)_TM신청서(최종)-마지부(1229)" xfId="1022"/>
    <cellStyle name="원_7page(작업)_tm활성화(예산수정)" xfId="1023"/>
    <cellStyle name="원_7page(작업)_마지부승인(0512 -5차)" xfId="1024"/>
    <cellStyle name="원_7page(작업)_업체선정평가표(장기tm-20051201)-장원제(최종)" xfId="1025"/>
    <cellStyle name="원_7page(작업)_인수지침관련의견" xfId="1026"/>
    <cellStyle name="원_7page(작업)_장기TM대리점지원및관리규정(20051216-발송용)" xfId="1027"/>
    <cellStyle name="원_7page(작업)_장기TM활성화방안(11월-결재예산보완본)-최종판" xfId="1028"/>
    <cellStyle name="원_7page(작업)_참석자명단(대리점)" xfId="1029"/>
    <cellStyle name="원_7월 중점사항 결과(송부용)" xfId="1030"/>
    <cellStyle name="원_7월기지부" xfId="1031"/>
    <cellStyle name="원_7월신인도입시책(6.25수정)품의" xfId="1032"/>
    <cellStyle name="원_7월실적현황일천만원87" xfId="1033"/>
    <cellStyle name="원_7월아침에해야할일" xfId="1034"/>
    <cellStyle name="원_8월2차예상실적" xfId="1035"/>
    <cellStyle name="원_8월설계사및대리점접수현황(05.8.2)" xfId="1036"/>
    <cellStyle name="원_8월지원비&amp;지원비통계(이양호)" xfId="1037"/>
    <cellStyle name="원_915 소장회의" xfId="1038"/>
    <cellStyle name="원_9월 합격부진 사유 및 대책(동래)" xfId="1039"/>
    <cellStyle name="원_9월+장기진도+게시(1004최종)" xfId="1040"/>
    <cellStyle name="원_9월+장기진도+게시(1004최종)_7-9월설치분집행(1018)" xfId="1041"/>
    <cellStyle name="원_9월+장기진도+게시(1004최종)_Feedback-일반활성화FY'07.2분기-품의" xfId="1042"/>
    <cellStyle name="원_9월+장기진도+게시(1004최종)_TM-FY'07.중간피드백-6" xfId="1043"/>
    <cellStyle name="원_9월+장기진도+게시(1004최종)_TM대리점활성화방안(0928)" xfId="1044"/>
    <cellStyle name="원_9월+장기진도+게시(1004최종)_TM대리점활성화방안(0930)-1" xfId="1045"/>
    <cellStyle name="원_9월+장기진도+게시(1004최종)_TM신상품개발검토의견(20060327)" xfId="1046"/>
    <cellStyle name="원_9월+장기진도+게시(1004최종)_TM신청서(최종)-마지부(1229)" xfId="1047"/>
    <cellStyle name="원_9월+장기진도+게시(1004최종)_부문별월별매출계획(070330기획실)" xfId="1048"/>
    <cellStyle name="원_9월+장기진도+게시(1004최종)_신상품재검토(20040417)" xfId="1049"/>
    <cellStyle name="원_9월+장기진도+게시(1004최종)_업체선정평가표(장기tm-20051201)-장원제(최종)" xfId="1050"/>
    <cellStyle name="원_9월+장기진도+게시(1004최종)_업추비개선(초안)" xfId="1051"/>
    <cellStyle name="원_9월+장기진도+게시(1004최종)_인수지침관련의견" xfId="1052"/>
    <cellStyle name="원_9월+장기진도+게시(1004최종)_장기TM대리점지원및관리규정(20051216-발송용)" xfId="1053"/>
    <cellStyle name="원_9월+장기진도+게시(1004최종)_장기보험목표달성방안(070903-2)" xfId="1054"/>
    <cellStyle name="원_9월+장기진도+게시(1004최종)_장기특성별실적_조정후(가안)" xfId="1055"/>
    <cellStyle name="원_9월+장기진도+게시(1004최종)_통신판매가이드라인정리(최종)" xfId="1056"/>
    <cellStyle name="원_9월+장기진도+게시(1004최종)_하이라이프다이렉트수수료안(20060522)" xfId="1057"/>
    <cellStyle name="원_9월+장기진도+게시(1004최종)_현장간담회 결과보고" xfId="1058"/>
    <cellStyle name="원_9월checkup진도현황(04.10.11)" xfId="1059"/>
    <cellStyle name="원_9월GRADE예상98보고" xfId="1060"/>
    <cellStyle name="원_9월GRADE재작성915" xfId="1061"/>
    <cellStyle name="원_9월아침에해야할일" xfId="1062"/>
    <cellStyle name="원_9월체크업(검증)" xfId="1063"/>
    <cellStyle name="원_9월체크업및비상대책" xfId="1064"/>
    <cellStyle name="원_9월확정10.11(일기부송부)" xfId="1065"/>
    <cellStyle name="원_Book3" xfId="1066"/>
    <cellStyle name="원_Book4" xfId="1067"/>
    <cellStyle name="원_Book8" xfId="1068"/>
    <cellStyle name="원_e사업담당" xfId="1069"/>
    <cellStyle name="원_factsheet(2003. 4)" xfId="1070"/>
    <cellStyle name="원_factsheet(2004. 3)" xfId="1071"/>
    <cellStyle name="원_Feedback-일반활성화FY'07.2분기-품의" xfId="1072"/>
    <cellStyle name="원_FY 2004 영업가족 자동차 보험 교육 운영안(0116)2" xfId="1073"/>
    <cellStyle name="원_FY+2004+영업가족+자동차+보험+교육+운영안 보고 최종(040308)" xfId="1074"/>
    <cellStyle name="원_FY+2004+영업가족+자동차+보험+교육+운영안 보고 최종(040407)" xfId="1075"/>
    <cellStyle name="원_FY+2004+영업가족+자동차+보험+교육+운영안(04+02+12)심기보 최종1" xfId="1076"/>
    <cellStyle name="원_FY+2004년+영업교육+운영안+(대표이사)+보고5(0315)1-A4" xfId="1077"/>
    <cellStyle name="원_FY+2004년+영업교육+운영안+(대표이사)+보고최종(040330)3-B4" xfId="1078"/>
    <cellStyle name="원_FY+2004년+영업교육+운영안+(대표이사)+보고최종(040401)5-B4" xfId="1079"/>
    <cellStyle name="원_FY+2004년+영업교육+운영안+(대표이사)+보고최종(040406)5-A4" xfId="1080"/>
    <cellStyle name="원_FY+2004년+영업교육+운영안+(대표이사)+보고최종(040409)7-A4" xfId="1081"/>
    <cellStyle name="원_FY'03. 12월" xfId="1082"/>
    <cellStyle name="원_FY03년2분기영업소평가자료(강북)_78" xfId="1083"/>
    <cellStyle name="원_FY03년2분기영업소평가자료(강북)_78_우수대리점본부보고(서강)" xfId="1084"/>
    <cellStyle name="원_FY03년2분기영업소평가자료(강북)_78_우수대리점유치(0219)" xfId="1085"/>
    <cellStyle name="원_FY04 장기매출계획 자료(기획실정리보고용)" xfId="1086"/>
    <cellStyle name="원_FY04 장기매출계획 자료(기획실정리보고용)_0703장기보험마감분석" xfId="1087"/>
    <cellStyle name="원_FY04 장기매출계획 자료(기획실정리보고용)_7-9월설치분집행(1018)" xfId="1088"/>
    <cellStyle name="원_FY04 장기매출계획 자료(기획실정리보고용)_Feedback-일반활성화FY'07.2분기-품의" xfId="1089"/>
    <cellStyle name="원_FY04 장기매출계획 자료(기획실정리보고용)_FY'07점포영업전략(070403)" xfId="1090"/>
    <cellStyle name="원_FY04 장기매출계획 자료(기획실정리보고용)_TM-FY'07.중간피드백-6" xfId="1091"/>
    <cellStyle name="원_FY04 장기매출계획 자료(기획실정리보고용)_TM대리점활성화방안(0928)" xfId="1092"/>
    <cellStyle name="원_FY04 장기매출계획 자료(기획실정리보고용)_TM대리점활성화방안(0930)-1" xfId="1093"/>
    <cellStyle name="원_FY04 장기매출계획 자료(기획실정리보고용)_TM신상품개발검토의견(20060327)" xfId="1094"/>
    <cellStyle name="원_FY04 장기매출계획 자료(기획실정리보고용)_TM신청서(최종)-마지부(1229)" xfId="1095"/>
    <cellStyle name="원_FY04 장기매출계획 자료(기획실정리보고용)_보장자산증대방안" xfId="1096"/>
    <cellStyle name="원_FY04 장기매출계획 자료(기획실정리보고용)_신상품재검토(20040417)" xfId="1097"/>
    <cellStyle name="원_FY04 장기매출계획 자료(기획실정리보고용)_업체선정평가표(장기tm-20051201)-장원제(최종)" xfId="1098"/>
    <cellStyle name="원_FY04 장기매출계획 자료(기획실정리보고용)_인수지침관련의견" xfId="1099"/>
    <cellStyle name="원_FY04 장기매출계획 자료(기획실정리보고용)_장기TM대리점지원및관리규정(20051216-발송용)" xfId="1100"/>
    <cellStyle name="원_FY04 장기매출계획 자료(기획실정리보고용)_통신판매가이드라인정리(최종)" xfId="1101"/>
    <cellStyle name="원_FY04 장기매출계획 자료(기획실정리보고용)_하이라이프다이렉트수수료안(20060522)" xfId="1102"/>
    <cellStyle name="원_FY04 장기매출계획 자료(기획실정리보고용)_해외연수실시안(20071220)-7차-공지용" xfId="1103"/>
    <cellStyle name="원_FY04 장기매출계획 자료(기획실정리보고용)_해외연수실시안(20080130)-후꾸오까-차수조정" xfId="1104"/>
    <cellStyle name="원_FY04년 월별배정현황" xfId="1105"/>
    <cellStyle name="원_FY04년 총무평가기준 품의" xfId="1106"/>
    <cellStyle name="원_FY'04년+종목별+매출총괄(기획실+완성5)" xfId="1107"/>
    <cellStyle name="원_FY'04년전문사업소기준변경(0715)" xfId="1108"/>
    <cellStyle name="원_FY04방카장기목표(수정안0330)" xfId="1109"/>
    <cellStyle name="원_FY04방카장기목표월별(0329)" xfId="1110"/>
    <cellStyle name="원_FY05 &amp; FY06 추정(05.12월)" xfId="1111"/>
    <cellStyle name="원_FY05 기타사업비(2)" xfId="1112"/>
    <cellStyle name="원_FY05년4~7월합격현황" xfId="1113"/>
    <cellStyle name="원_FY'05매출계획(본사)" xfId="1114"/>
    <cellStyle name="원_FY05매출계획품의" xfId="1115"/>
    <cellStyle name="원_FY05매출품의" xfId="1116"/>
    <cellStyle name="원_FY06사업계획추진안(예산포함 최종)" xfId="1117"/>
    <cellStyle name="원_FY'06장기보험매출계획(유지율)" xfId="1118"/>
    <cellStyle name="원_FY'06장기보험채널별목표(060502)" xfId="1119"/>
    <cellStyle name="원_FY'06점포영업전략-060421" xfId="1120"/>
    <cellStyle name="원_FY'07 매출추정(0130)-3차(목표문구)" xfId="1121"/>
    <cellStyle name="원_FY'07년 시장전망(조희철GJ)" xfId="1122"/>
    <cellStyle name="원_FY'07점포영업전략(070403)" xfId="1123"/>
    <cellStyle name="원_FY2001 list(all)" xfId="1124"/>
    <cellStyle name="원_FY2001 list(all)_3063932006021309511403280445_FY'06년 자동차보험 매출계획 기획실송부 요약" xfId="1125"/>
    <cellStyle name="원_FY2001 list(all)_3063932006021314282903120496_FY'06년 자동차보험 매출계획 기획실송부 요약" xfId="1126"/>
    <cellStyle name="원_FY2001 list(all)_306393200701221041450656000468420013_FY07 매출계획 작성양식" xfId="1127"/>
    <cellStyle name="원_FY2001 list(all)_306393200701221329200203007251260027_FY07 매출계획 작성양식" xfId="1128"/>
    <cellStyle name="원_FY2001 list(all)_306393200701250903550250090628260030_FY07 매출계획 작성양식" xfId="1129"/>
    <cellStyle name="원_FY2001 list(all)_7-9월설치분집행(1018)" xfId="1130"/>
    <cellStyle name="원_FY2001 list(all)_FY'06년 자동차보험 매출계획 5(안)-1" xfId="1131"/>
    <cellStyle name="원_FY2001 list(all)_FY'06년 자동차보험 매출계획 5(안)-2" xfId="1132"/>
    <cellStyle name="원_FY2001 list(all)_FY'06년 자동차보험 매출계획 기획실송부 요약" xfId="1133"/>
    <cellStyle name="원_FY2001 list(all)_FY07 매출계획 작성양식(최종송부)" xfId="1134"/>
    <cellStyle name="원_FY2001 list(all)_PLACARD" xfId="1135"/>
    <cellStyle name="원_FY2001 list(all)_TM대리점활성화방안(0928)" xfId="1136"/>
    <cellStyle name="원_FY2001 list(all)_TM대리점활성화방안(0930)-1" xfId="1137"/>
    <cellStyle name="원_FY2001 list(all)_TM신상품개발검토의견(20060327)" xfId="1138"/>
    <cellStyle name="원_FY2001 list(all)_TM신청서(최종)-마지부(1229)" xfId="1139"/>
    <cellStyle name="원_FY2001 list(all)_tm활성화(예산수정)" xfId="1140"/>
    <cellStyle name="원_FY2001 list(all)_마지부승인(0512 -5차)" xfId="1141"/>
    <cellStyle name="원_FY2001 list(all)_업체선정평가표(장기tm-20051201)-장원제(최종)" xfId="1142"/>
    <cellStyle name="원_FY2001 list(all)_유지율개선실시사항(050901)" xfId="1143"/>
    <cellStyle name="원_FY2001 list(all)_인수지침관련의견" xfId="1144"/>
    <cellStyle name="원_FY2001 list(all)_일반보험보고(0801)-3" xfId="1145"/>
    <cellStyle name="원_FY2001 list(all)_장기TM관리업무지침안(보완-0105)" xfId="1146"/>
    <cellStyle name="원_FY2001 list(all)_장기TM관리지침별첨(최종-0614)" xfId="1147"/>
    <cellStyle name="원_FY2001 list(all)_장기TM대리점지원및관리규정(20051216-발송용)" xfId="1148"/>
    <cellStyle name="원_FY2001 list(all)_장기TM활성화방안(11월-결재예산보완본)-최종판" xfId="1149"/>
    <cellStyle name="원_FY2001 list(all)_참석자명단(대리점)" xfId="1150"/>
    <cellStyle name="원_FY2001 list(all)_해외여행보험활성화(060620-최종)" xfId="1151"/>
    <cellStyle name="원_FY2002년 2분기 영업소 평가기준(최종)" xfId="1152"/>
    <cellStyle name="원_FY2002년 평가기준 개정(최종안b4)" xfId="1153"/>
    <cellStyle name="원_FY2002년 평가기준 개정(최종안b4)_3063932006021309511403280445_FY'06년 자동차보험 매출계획 기획실송부 요약" xfId="1154"/>
    <cellStyle name="원_FY2002년 평가기준 개정(최종안b4)_3063932006021314282903120496_FY'06년 자동차보험 매출계획 기획실송부 요약" xfId="1155"/>
    <cellStyle name="원_FY2002년 평가기준 개정(최종안b4)_306393200701221041450656000468420013_FY07 매출계획 작성양식" xfId="1156"/>
    <cellStyle name="원_FY2002년 평가기준 개정(최종안b4)_306393200701221329200203007251260027_FY07 매출계획 작성양식" xfId="1157"/>
    <cellStyle name="원_FY2002년 평가기준 개정(최종안b4)_306393200701250903550250090628260030_FY07 매출계획 작성양식" xfId="1158"/>
    <cellStyle name="원_FY2002년 평가기준 개정(최종안b4)_7-9월설치분집행(1018)" xfId="1159"/>
    <cellStyle name="원_FY2002년 평가기준 개정(최종안b4)_FY'06년 자동차보험 매출계획 5(안)-1" xfId="1160"/>
    <cellStyle name="원_FY2002년 평가기준 개정(최종안b4)_FY'06년 자동차보험 매출계획 5(안)-2" xfId="1161"/>
    <cellStyle name="원_FY2002년 평가기준 개정(최종안b4)_FY'06년 자동차보험 매출계획 기획실송부 요약" xfId="1162"/>
    <cellStyle name="원_FY2002년 평가기준 개정(최종안b4)_FY07 매출계획 작성양식(최종송부)" xfId="1163"/>
    <cellStyle name="원_FY2002년 평가기준 개정(최종안b4)_PLACARD" xfId="1164"/>
    <cellStyle name="원_FY2002년 평가기준 개정(최종안b4)_TM대리점활성화방안(0928)" xfId="1165"/>
    <cellStyle name="원_FY2002년 평가기준 개정(최종안b4)_TM대리점활성화방안(0930)-1" xfId="1166"/>
    <cellStyle name="원_FY2002년 평가기준 개정(최종안b4)_TM신상품개발검토의견(20060327)" xfId="1167"/>
    <cellStyle name="원_FY2002년 평가기준 개정(최종안b4)_TM신청서(최종)-마지부(1229)" xfId="1168"/>
    <cellStyle name="원_FY2002년 평가기준 개정(최종안b4)_tm활성화(예산수정)" xfId="1169"/>
    <cellStyle name="원_FY2002년 평가기준 개정(최종안b4)_마지부승인(0512 -5차)" xfId="1170"/>
    <cellStyle name="원_FY2002년 평가기준 개정(최종안b4)_업체선정평가표(장기tm-20051201)-장원제(최종)" xfId="1171"/>
    <cellStyle name="원_FY2002년 평가기준 개정(최종안b4)_유지율개선실시사항(050901)" xfId="1172"/>
    <cellStyle name="원_FY2002년 평가기준 개정(최종안b4)_인수지침관련의견" xfId="1173"/>
    <cellStyle name="원_FY2002년 평가기준 개정(최종안b4)_일반보험보고(0801)-3" xfId="1174"/>
    <cellStyle name="원_FY2002년 평가기준 개정(최종안b4)_장기TM관리업무지침안(보완-0105)" xfId="1175"/>
    <cellStyle name="원_FY2002년 평가기준 개정(최종안b4)_장기TM관리지침별첨(최종-0614)" xfId="1176"/>
    <cellStyle name="원_FY2002년 평가기준 개정(최종안b4)_장기TM대리점지원및관리규정(20051216-발송용)" xfId="1177"/>
    <cellStyle name="원_FY2002년 평가기준 개정(최종안b4)_장기TM활성화방안(11월-결재예산보완본)-최종판" xfId="1178"/>
    <cellStyle name="원_FY2002년 평가기준 개정(최종안b4)_참석자명단(대리점)" xfId="1179"/>
    <cellStyle name="원_FY2002년 평가기준 개정(최종안b4)_해외여행보험활성화(060620-최종)" xfId="1180"/>
    <cellStyle name="원_FY2002년사업단위별평가기준(8.9)" xfId="1181"/>
    <cellStyle name="원_FY2002일반목표" xfId="1182"/>
    <cellStyle name="원_FY2002일반목표_3063932006021309511403280445_FY'06년 자동차보험 매출계획 기획실송부 요약" xfId="1183"/>
    <cellStyle name="원_FY2002일반목표_3063932006021314282903120496_FY'06년 자동차보험 매출계획 기획실송부 요약" xfId="1184"/>
    <cellStyle name="원_FY2002일반목표_306393200701221041450656000468420013_FY07 매출계획 작성양식" xfId="1185"/>
    <cellStyle name="원_FY2002일반목표_306393200701221329200203007251260027_FY07 매출계획 작성양식" xfId="1186"/>
    <cellStyle name="원_FY2002일반목표_306393200701250903550250090628260030_FY07 매출계획 작성양식" xfId="1187"/>
    <cellStyle name="원_FY2002일반목표_7-9월설치분집행(1018)" xfId="1188"/>
    <cellStyle name="원_FY2002일반목표_FY'06년 자동차보험 매출계획 5(안)-1" xfId="1189"/>
    <cellStyle name="원_FY2002일반목표_FY'06년 자동차보험 매출계획 5(안)-2" xfId="1190"/>
    <cellStyle name="원_FY2002일반목표_FY'06년 자동차보험 매출계획 기획실송부 요약" xfId="1191"/>
    <cellStyle name="원_FY2002일반목표_FY07 매출계획 작성양식(최종송부)" xfId="1192"/>
    <cellStyle name="원_FY2002일반목표_PLACARD" xfId="1193"/>
    <cellStyle name="원_FY2002일반목표_TM대리점활성화방안(0928)" xfId="1194"/>
    <cellStyle name="원_FY2002일반목표_TM대리점활성화방안(0930)-1" xfId="1195"/>
    <cellStyle name="원_FY2002일반목표_TM신상품개발검토의견(20060327)" xfId="1196"/>
    <cellStyle name="원_FY2002일반목표_TM신청서(최종)-마지부(1229)" xfId="1197"/>
    <cellStyle name="원_FY2002일반목표_tm활성화(예산수정)" xfId="1198"/>
    <cellStyle name="원_FY2002일반목표_마지부승인(0512 -5차)" xfId="1199"/>
    <cellStyle name="원_FY2002일반목표_업체선정평가표(장기tm-20051201)-장원제(최종)" xfId="1200"/>
    <cellStyle name="원_FY2002일반목표_유지율개선실시사항(050901)" xfId="1201"/>
    <cellStyle name="원_FY2002일반목표_인수지침관련의견" xfId="1202"/>
    <cellStyle name="원_FY2002일반목표_일반보험보고(0801)-3" xfId="1203"/>
    <cellStyle name="원_FY2002일반목표_장기TM관리업무지침안(보완-0105)" xfId="1204"/>
    <cellStyle name="원_FY2002일반목표_장기TM관리지침별첨(최종-0614)" xfId="1205"/>
    <cellStyle name="원_FY2002일반목표_장기TM대리점지원및관리규정(20051216-발송용)" xfId="1206"/>
    <cellStyle name="원_FY2002일반목표_장기TM활성화방안(11월-결재예산보완본)-최종판" xfId="1207"/>
    <cellStyle name="원_FY2002일반목표_참석자명단(대리점)" xfId="1208"/>
    <cellStyle name="원_FY2002일반목표_해외여행보험활성화(060620-최종)" xfId="1209"/>
    <cellStyle name="원_FY2002일반목표배분" xfId="1210"/>
    <cellStyle name="원_FY2002일반목표배분_3063932006021309511403280445_FY'06년 자동차보험 매출계획 기획실송부 요약" xfId="1211"/>
    <cellStyle name="원_FY2002일반목표배분_3063932006021314282903120496_FY'06년 자동차보험 매출계획 기획실송부 요약" xfId="1212"/>
    <cellStyle name="원_FY2002일반목표배분_306393200701221041450656000468420013_FY07 매출계획 작성양식" xfId="1213"/>
    <cellStyle name="원_FY2002일반목표배분_306393200701221329200203007251260027_FY07 매출계획 작성양식" xfId="1214"/>
    <cellStyle name="원_FY2002일반목표배분_306393200701250903550250090628260030_FY07 매출계획 작성양식" xfId="1215"/>
    <cellStyle name="원_FY2002일반목표배분_7-9월설치분집행(1018)" xfId="1216"/>
    <cellStyle name="원_FY2002일반목표배분_FY'06년 자동차보험 매출계획 5(안)-1" xfId="1217"/>
    <cellStyle name="원_FY2002일반목표배분_FY'06년 자동차보험 매출계획 5(안)-2" xfId="1218"/>
    <cellStyle name="원_FY2002일반목표배분_FY'06년 자동차보험 매출계획 기획실송부 요약" xfId="1219"/>
    <cellStyle name="원_FY2002일반목표배분_FY07 매출계획 작성양식(최종송부)" xfId="1220"/>
    <cellStyle name="원_FY2002일반목표배분_PLACARD" xfId="1221"/>
    <cellStyle name="원_FY2002일반목표배분_TM대리점활성화방안(0928)" xfId="1222"/>
    <cellStyle name="원_FY2002일반목표배분_TM대리점활성화방안(0930)-1" xfId="1223"/>
    <cellStyle name="원_FY2002일반목표배분_TM신상품개발검토의견(20060327)" xfId="1224"/>
    <cellStyle name="원_FY2002일반목표배분_TM신청서(최종)-마지부(1229)" xfId="1225"/>
    <cellStyle name="원_FY2002일반목표배분_tm활성화(예산수정)" xfId="1226"/>
    <cellStyle name="원_FY2002일반목표배분_마지부승인(0512 -5차)" xfId="1227"/>
    <cellStyle name="원_FY2002일반목표배분_업체선정평가표(장기tm-20051201)-장원제(최종)" xfId="1228"/>
    <cellStyle name="원_FY2002일반목표배분_유지율개선실시사항(050901)" xfId="1229"/>
    <cellStyle name="원_FY2002일반목표배분_인수지침관련의견" xfId="1230"/>
    <cellStyle name="원_FY2002일반목표배분_일반보험보고(0801)-3" xfId="1231"/>
    <cellStyle name="원_FY2002일반목표배분_장기TM관리업무지침안(보완-0105)" xfId="1232"/>
    <cellStyle name="원_FY2002일반목표배분_장기TM관리지침별첨(최종-0614)" xfId="1233"/>
    <cellStyle name="원_FY2002일반목표배분_장기TM대리점지원및관리규정(20051216-발송용)" xfId="1234"/>
    <cellStyle name="원_FY2002일반목표배분_장기TM활성화방안(11월-결재예산보완본)-최종판" xfId="1235"/>
    <cellStyle name="원_FY2002일반목표배분_참석자명단(대리점)" xfId="1236"/>
    <cellStyle name="원_FY2002일반목표배분_해외여행보험활성화(060620-최종)" xfId="1237"/>
    <cellStyle name="원_FY2003  7월 방카슈랑스 교육성과 분석 (0808) " xfId="1238"/>
    <cellStyle name="원_FY2003 연도평가결과" xfId="1239"/>
    <cellStyle name="원_FY2004.월별가마감" xfId="1240"/>
    <cellStyle name="원_FY2004년 24분기 점포평가기준 변경(안)(0720)" xfId="1241"/>
    <cellStyle name="원_FY2004년도 자동차 교육수료 예정인원 시뮬레이션보고(0403)" xfId="1242"/>
    <cellStyle name="원_FY2004년도 자동차 교육수료 예정인원 시뮬레이션보고최종(0503)" xfId="1243"/>
    <cellStyle name="원_fy2004업계실적" xfId="1244"/>
    <cellStyle name="원_FY2005년RS현황분석(06.1.4)" xfId="1245"/>
    <cellStyle name="원_FY2006손익(한장)" xfId="1246"/>
    <cellStyle name="원_LG화재상품종목별판매실적" xfId="1247"/>
    <cellStyle name="원_LG화재상품종목별판매실적_0703장기보험마감분석" xfId="1248"/>
    <cellStyle name="원_LG화재상품종목별판매실적_7-9월설치분집행(1018)" xfId="1249"/>
    <cellStyle name="원_LG화재상품종목별판매실적_Feedback-일반활성화FY'07.2분기-품의" xfId="1250"/>
    <cellStyle name="원_LG화재상품종목별판매실적_FY'07점포영업전략(070403)" xfId="1251"/>
    <cellStyle name="원_LG화재상품종목별판매실적_TM-FY'07.중간피드백-6" xfId="1252"/>
    <cellStyle name="원_LG화재상품종목별판매실적_TM대리점활성화방안(0928)" xfId="1253"/>
    <cellStyle name="원_LG화재상품종목별판매실적_TM대리점활성화방안(0930)-1" xfId="1254"/>
    <cellStyle name="원_LG화재상품종목별판매실적_TM신상품개발검토의견(20060327)" xfId="1255"/>
    <cellStyle name="원_LG화재상품종목별판매실적_TM신청서(최종)-마지부(1229)" xfId="1256"/>
    <cellStyle name="원_LG화재상품종목별판매실적_보장자산증대방안" xfId="1257"/>
    <cellStyle name="원_LG화재상품종목별판매실적_신상품재검토(20040417)" xfId="1258"/>
    <cellStyle name="원_LG화재상품종목별판매실적_업체선정평가표(장기tm-20051201)-장원제(최종)" xfId="1259"/>
    <cellStyle name="원_LG화재상품종목별판매실적_인수지침관련의견" xfId="1260"/>
    <cellStyle name="원_LG화재상품종목별판매실적_장기TM대리점지원및관리규정(20051216-발송용)" xfId="1261"/>
    <cellStyle name="원_LG화재상품종목별판매실적_통신판매가이드라인정리(최종)" xfId="1262"/>
    <cellStyle name="원_LG화재상품종목별판매실적_프리스타일(수당업)" xfId="1263"/>
    <cellStyle name="원_LG화재상품종목별판매실적_하이라이프다이렉트수수료안(20060522)" xfId="1264"/>
    <cellStyle name="원_LG화재상품종목별판매실적_해외연수실시안(20071220)-7차-공지용" xfId="1265"/>
    <cellStyle name="원_LG화재상품종목별판매실적_해외연수실시안(20080130)-후꾸오까-차수조정" xfId="1266"/>
    <cellStyle name="원_LIG대비격차추정" xfId="1267"/>
    <cellStyle name="원_Lover" xfId="1268"/>
    <cellStyle name="원_Lover_1" xfId="1269"/>
    <cellStyle name="원_Lover_1_7-9월설치분집행(1018)" xfId="1270"/>
    <cellStyle name="원_Lover_1_Feedback-일반활성화FY'07.2분기-품의" xfId="1271"/>
    <cellStyle name="원_Lover_1_TM-FY'07.중간피드백-6" xfId="1272"/>
    <cellStyle name="원_Lover_1_TM대리점활성화방안(0928)" xfId="1273"/>
    <cellStyle name="원_Lover_1_TM대리점활성화방안(0930)-1" xfId="1274"/>
    <cellStyle name="원_Lover_1_TM신상품개발검토의견(20060327)" xfId="1275"/>
    <cellStyle name="원_Lover_1_TM신청서(최종)-마지부(1229)" xfId="1276"/>
    <cellStyle name="원_Lover_1_부문별월별매출계획(070330기획실)" xfId="1277"/>
    <cellStyle name="원_Lover_1_신상품재검토(20040417)" xfId="1278"/>
    <cellStyle name="원_Lover_1_업체선정평가표(장기tm-20051201)-장원제(최종)" xfId="1279"/>
    <cellStyle name="원_Lover_1_업추비개선(초안)" xfId="1280"/>
    <cellStyle name="원_Lover_1_인수지침관련의견" xfId="1281"/>
    <cellStyle name="원_Lover_1_장기TM대리점지원및관리규정(20051216-발송용)" xfId="1282"/>
    <cellStyle name="원_Lover_1_장기보험목표달성방안(070903-2)" xfId="1283"/>
    <cellStyle name="원_Lover_1_장기특성별실적_조정후(가안)" xfId="1284"/>
    <cellStyle name="원_Lover_1_통신판매가이드라인정리(최종)" xfId="1285"/>
    <cellStyle name="원_Lover_1_하이라이프다이렉트수수료안(20060522)" xfId="1286"/>
    <cellStyle name="원_Lover_1_현장간담회 결과보고" xfId="1287"/>
    <cellStyle name="원_Lover_2003 업추비교육OHP(2003.12)" xfId="1288"/>
    <cellStyle name="원_Lover_7-9월설치분집행(1018)" xfId="1289"/>
    <cellStyle name="원_Lover_Feedback-일반활성화FY'07.2분기-품의" xfId="1290"/>
    <cellStyle name="원_Lover_FY'07년 시장전망(조희철GJ)" xfId="1291"/>
    <cellStyle name="원_Lover_PLACARD" xfId="1292"/>
    <cellStyle name="원_Lover_TM-FY'07.중간피드백-6" xfId="1293"/>
    <cellStyle name="원_Lover_TM대리점활성화방안(0928)" xfId="1294"/>
    <cellStyle name="원_Lover_TM대리점활성화방안(0930)-1" xfId="1295"/>
    <cellStyle name="원_Lover_TM신상품개발검토의견(20060327)" xfId="1296"/>
    <cellStyle name="원_Lover_TM신청서(최종)-마지부(1229)" xfId="1297"/>
    <cellStyle name="원_Lover_tm활성화(예산수정)" xfId="1298"/>
    <cellStyle name="원_Lover_각사별 통합형보험 수당체계 비교" xfId="1299"/>
    <cellStyle name="원_Lover_마지부승인(0512 -5차)" xfId="1300"/>
    <cellStyle name="원_Lover_부문별월별매출계획(070330기획실)" xfId="1301"/>
    <cellStyle name="원_Lover_신상품재검토(20040417)" xfId="1302"/>
    <cellStyle name="원_Lover_업체선정평가표(장기tm-20051201)-장원제(최종)" xfId="1303"/>
    <cellStyle name="원_Lover_업추비개선(초안)" xfId="1304"/>
    <cellStyle name="원_Lover_인수지침관련의견" xfId="1305"/>
    <cellStyle name="원_Lover_장기TM대리점지원및관리규정(20051216-발송용)" xfId="1306"/>
    <cellStyle name="원_Lover_장기TM활성화방안(11월-결재예산보완본)-최종판" xfId="1307"/>
    <cellStyle name="원_Lover_장기보험목표달성방안(070903-2)" xfId="1308"/>
    <cellStyle name="원_Lover_장기특성별실적_조정후(가안)" xfId="1309"/>
    <cellStyle name="원_Lover_참석자명단(대리점)" xfId="1310"/>
    <cellStyle name="원_Lover_통신판매가이드라인정리(최종)" xfId="1311"/>
    <cellStyle name="원_Lover_하이라이프다이렉트수수료안(20060522)" xfId="1312"/>
    <cellStyle name="원_Lover_현장간담회 결과보고" xfId="1313"/>
    <cellStyle name="원_MS(051123)-품의보고" xfId="1314"/>
    <cellStyle name="원_MS대책지점별목표(04.9.30)" xfId="1315"/>
    <cellStyle name="원_MS증대방안(050927)" xfId="1316"/>
    <cellStyle name="원_OJT리더교육" xfId="1317"/>
    <cellStyle name="원_PLACARD" xfId="1318"/>
    <cellStyle name="원_RC관련회의자료(05.10.21)10" xfId="1319"/>
    <cellStyle name="원_RMS체계개선++보고자료(심기보과장정리)" xfId="1320"/>
    <cellStyle name="원_rms해외연수특별시책전개" xfId="1321"/>
    <cellStyle name="원_RTC+예산배정" xfId="1322"/>
    <cellStyle name="원_TA수수료신설안(040825)" xfId="1323"/>
    <cellStyle name="원_TA육성수수료체계운영기준(040830발송)" xfId="1324"/>
    <cellStyle name="원_TA육성수수료체계운영기준(040830발송)_0703장기보험마감분석" xfId="1325"/>
    <cellStyle name="원_TA육성수수료체계운영기준(040830발송)_7-9월설치분집행(1018)" xfId="1326"/>
    <cellStyle name="원_TA육성수수료체계운영기준(040830발송)_Feedback-일반활성화FY'07.2분기-품의" xfId="1327"/>
    <cellStyle name="원_TA육성수수료체계운영기준(040830발송)_FY'07점포영업전략(070403)" xfId="1328"/>
    <cellStyle name="원_TA육성수수료체계운영기준(040830발송)_TM-FY'07.중간피드백-6" xfId="1329"/>
    <cellStyle name="원_TA육성수수료체계운영기준(040830발송)_TM대리점활성화방안(0928)" xfId="1330"/>
    <cellStyle name="원_TA육성수수료체계운영기준(040830발송)_TM대리점활성화방안(0930)-1" xfId="1331"/>
    <cellStyle name="원_TA육성수수료체계운영기준(040830발송)_TM신상품개발검토의견(20060327)" xfId="1332"/>
    <cellStyle name="원_TA육성수수료체계운영기준(040830발송)_TM신청서(최종)-마지부(1229)" xfId="1333"/>
    <cellStyle name="원_TA육성수수료체계운영기준(040830발송)_보장자산증대방안" xfId="1334"/>
    <cellStyle name="원_TA육성수수료체계운영기준(040830발송)_신상품재검토(20040417)" xfId="1335"/>
    <cellStyle name="원_TA육성수수료체계운영기준(040830발송)_업체선정평가표(장기tm-20051201)-장원제(최종)" xfId="1336"/>
    <cellStyle name="원_TA육성수수료체계운영기준(040830발송)_인수지침관련의견" xfId="1337"/>
    <cellStyle name="원_TA육성수수료체계운영기준(040830발송)_장기TM대리점지원및관리규정(20051216-발송용)" xfId="1338"/>
    <cellStyle name="원_TA육성수수료체계운영기준(040830발송)_통신판매가이드라인정리(최종)" xfId="1339"/>
    <cellStyle name="원_TA육성수수료체계운영기준(040830발송)_하이라이프다이렉트수수료안(20060522)" xfId="1340"/>
    <cellStyle name="원_TA육성수수료체계운영기준(040830발송)_해외연수실시안(20071220)-7차-공지용" xfId="1341"/>
    <cellStyle name="원_TA육성수수료체계운영기준(040830발송)_해외연수실시안(20080130)-후꾸오까-차수조정" xfId="1342"/>
    <cellStyle name="원_TA적용상품확대기준(051001)" xfId="1343"/>
    <cellStyle name="원_TFT운영비(050801)-발송용" xfId="1344"/>
    <cellStyle name="원_TM-FY'07.중간피드백-6" xfId="1345"/>
    <cellStyle name="원_TM대리점활성화방안(0928)" xfId="1346"/>
    <cellStyle name="원_TM대리점활성화방안(0930)-1" xfId="1347"/>
    <cellStyle name="원_TM대리점활성화방안(재수정-1020)" xfId="1348"/>
    <cellStyle name="원_TM신상품개발검토의견(20060327)" xfId="1349"/>
    <cellStyle name="원_TM신청서(최종)-마지부(1229)" xfId="1350"/>
    <cellStyle name="원_TM판매관련회의(051230)" xfId="1351"/>
    <cellStyle name="원_TM현황(051223)일반" xfId="1352"/>
    <cellStyle name="원_tm활성화(예산수정)" xfId="1353"/>
    <cellStyle name="원_T신인육성팀운영안이권도팀장진짜최종안16시10분(041129)" xfId="1354"/>
    <cellStyle name="원_가.+공지+파일(12.6)값입력" xfId="1355"/>
    <cellStyle name="원_가.05.3월+마감실적" xfId="1356"/>
    <cellStyle name="원_가.12월 마감실적" xfId="1357"/>
    <cellStyle name="원_가.6월 마감실적" xfId="1358"/>
    <cellStyle name="원_가.7월 마감실적" xfId="1359"/>
    <cellStyle name="원_가.9월 마감실적" xfId="1360"/>
    <cellStyle name="원_가마감(11월)" xfId="1361"/>
    <cellStyle name="원_가마감(11월)_3063932006021309511403280445_FY'06년 자동차보험 매출계획 기획실송부 요약" xfId="1362"/>
    <cellStyle name="원_가마감(11월)_3063932006021314282903120496_FY'06년 자동차보험 매출계획 기획실송부 요약" xfId="1363"/>
    <cellStyle name="원_가마감(11월)_306393200701221041450656000468420013_FY07 매출계획 작성양식" xfId="1364"/>
    <cellStyle name="원_가마감(11월)_306393200701221329200203007251260027_FY07 매출계획 작성양식" xfId="1365"/>
    <cellStyle name="원_가마감(11월)_306393200701250903550250090628260030_FY07 매출계획 작성양식" xfId="1366"/>
    <cellStyle name="원_가마감(11월)_7-9월설치분집행(1018)" xfId="1367"/>
    <cellStyle name="원_가마감(11월)_FY'06년 자동차보험 매출계획 5(안)-1" xfId="1368"/>
    <cellStyle name="원_가마감(11월)_FY'06년 자동차보험 매출계획 5(안)-2" xfId="1369"/>
    <cellStyle name="원_가마감(11월)_FY'06년 자동차보험 매출계획 기획실송부 요약" xfId="1370"/>
    <cellStyle name="원_가마감(11월)_FY07 매출계획 작성양식(최종송부)" xfId="1371"/>
    <cellStyle name="원_가마감(11월)_PLACARD" xfId="1372"/>
    <cellStyle name="원_가마감(11월)_TM대리점활성화방안(0928)" xfId="1373"/>
    <cellStyle name="원_가마감(11월)_TM대리점활성화방안(0930)-1" xfId="1374"/>
    <cellStyle name="원_가마감(11월)_TM신상품개발검토의견(20060327)" xfId="1375"/>
    <cellStyle name="원_가마감(11월)_TM신청서(최종)-마지부(1229)" xfId="1376"/>
    <cellStyle name="원_가마감(11월)_tm활성화(예산수정)" xfId="1377"/>
    <cellStyle name="원_가마감(11월)_마지부승인(0512 -5차)" xfId="1378"/>
    <cellStyle name="원_가마감(11월)_업체선정평가표(장기tm-20051201)-장원제(최종)" xfId="1379"/>
    <cellStyle name="원_가마감(11월)_유지율개선실시사항(050901)" xfId="1380"/>
    <cellStyle name="원_가마감(11월)_인수지침관련의견" xfId="1381"/>
    <cellStyle name="원_가마감(11월)_일반보험보고(0801)-3" xfId="1382"/>
    <cellStyle name="원_가마감(11월)_장기TM관리업무지침안(보완-0105)" xfId="1383"/>
    <cellStyle name="원_가마감(11월)_장기TM관리지침별첨(최종-0614)" xfId="1384"/>
    <cellStyle name="원_가마감(11월)_장기TM대리점지원및관리규정(20051216-발송용)" xfId="1385"/>
    <cellStyle name="원_가마감(11월)_장기TM활성화방안(11월-결재예산보완본)-최종판" xfId="1386"/>
    <cellStyle name="원_가마감(11월)_참석자명단(대리점)" xfId="1387"/>
    <cellStyle name="원_가마감(11월)_해외여행보험활성화(060620-최종)" xfId="1388"/>
    <cellStyle name="원_개총(부진9월)성남" xfId="1389"/>
    <cellStyle name="원_겉표지" xfId="1390"/>
    <cellStyle name="원_겉표지_Feedback-일반활성화FY'07.2분기-품의" xfId="1391"/>
    <cellStyle name="원_겉표지_FY'06장기보험매출계획(유지율)" xfId="1392"/>
    <cellStyle name="원_겉표지_FY'07점포영업전략(070403)" xfId="1393"/>
    <cellStyle name="원_겉표지_보장자산증대방안" xfId="1394"/>
    <cellStyle name="원_경남지역본부점포운영전략방안" xfId="1395"/>
    <cellStyle name="원_경상비 검증파일" xfId="1396"/>
    <cellStyle name="원_경쟁사대비계속보험료현황(031111)" xfId="1397"/>
    <cellStyle name="원_경쟁사보험종목별실적현황" xfId="1398"/>
    <cellStyle name="원_경쟁사시험합격현황" xfId="1399"/>
    <cellStyle name="원_경쟁사유지율(040113)" xfId="1400"/>
    <cellStyle name="원_경쟁사유지율(040113)_7-9월설치분집행(1018)" xfId="1401"/>
    <cellStyle name="원_경쟁사유지율(040113)_Feedback-일반활성화FY'07.2분기-품의" xfId="1402"/>
    <cellStyle name="원_경쟁사유지율(040113)_TM-FY'07.중간피드백-6" xfId="1403"/>
    <cellStyle name="원_경쟁사유지율(040113)_TM대리점활성화방안(0928)" xfId="1404"/>
    <cellStyle name="원_경쟁사유지율(040113)_TM대리점활성화방안(0930)-1" xfId="1405"/>
    <cellStyle name="원_경쟁사유지율(040113)_TM신상품개발검토의견(20060327)" xfId="1406"/>
    <cellStyle name="원_경쟁사유지율(040113)_TM신청서(최종)-마지부(1229)" xfId="1407"/>
    <cellStyle name="원_경쟁사유지율(040113)_신상품재검토(20040417)" xfId="1408"/>
    <cellStyle name="원_경쟁사유지율(040113)_업체선정평가표(장기tm-20051201)-장원제(최종)" xfId="1409"/>
    <cellStyle name="원_경쟁사유지율(040113)_인수지침관련의견" xfId="1410"/>
    <cellStyle name="원_경쟁사유지율(040113)_장기TM대리점지원및관리규정(20051216-발송용)" xfId="1411"/>
    <cellStyle name="원_경쟁사유지율(040113)_장기보험목표달성방안(070903-2)" xfId="1412"/>
    <cellStyle name="원_경쟁사유지율(040113)_통신판매가이드라인정리(최종)" xfId="1413"/>
    <cellStyle name="원_경쟁사유지율(040113)_퇴직보험(연금)추가목표배분기준(발송용)-마케팅" xfId="1414"/>
    <cellStyle name="원_경쟁사유지율(040113)_하이라이프다이렉트수수료안(20060522)" xfId="1415"/>
    <cellStyle name="원_경쟁사-일반 9월 실적분석" xfId="1416"/>
    <cellStyle name="원_계속보험방카영향도" xfId="1417"/>
    <cellStyle name="원_계속총량MS자료" xfId="1418"/>
    <cellStyle name="원_계열+비계열(0406)" xfId="1419"/>
    <cellStyle name="원_계열+비계열(0408)" xfId="1420"/>
    <cellStyle name="원_계획보고(품의용)" xfId="1421"/>
    <cellStyle name="원_고세영대리(05.12.20)" xfId="1422"/>
    <cellStyle name="원_공문" xfId="1423"/>
    <cellStyle name="원_공문_0703장기보험마감분석" xfId="1424"/>
    <cellStyle name="원_공문_7-9월설치분집행(1018)" xfId="1425"/>
    <cellStyle name="원_공문_Feedback-일반활성화FY'07.2분기-품의" xfId="1426"/>
    <cellStyle name="원_공문_FY'07점포영업전략(070403)" xfId="1427"/>
    <cellStyle name="원_공문_TM-FY'07.중간피드백-6" xfId="1428"/>
    <cellStyle name="원_공문_TM대리점활성화방안(0928)" xfId="1429"/>
    <cellStyle name="원_공문_TM대리점활성화방안(0930)-1" xfId="1430"/>
    <cellStyle name="원_공문_TM신상품개발검토의견(20060327)" xfId="1431"/>
    <cellStyle name="원_공문_TM신청서(최종)-마지부(1229)" xfId="1432"/>
    <cellStyle name="원_공문_보장자산증대방안" xfId="1433"/>
    <cellStyle name="원_공문_신상품재검토(20040417)" xfId="1434"/>
    <cellStyle name="원_공문_업체선정평가표(장기tm-20051201)-장원제(최종)" xfId="1435"/>
    <cellStyle name="원_공문_업추비개선(초안)" xfId="1436"/>
    <cellStyle name="원_공문_인수지침관련의견" xfId="1437"/>
    <cellStyle name="원_공문_장기TM대리점지원및관리규정(20051216-발송용)" xfId="1438"/>
    <cellStyle name="원_공문_통신판매가이드라인정리(최종)" xfId="1439"/>
    <cellStyle name="원_공문_하이라이프다이렉트수수료안(20060522)" xfId="1440"/>
    <cellStyle name="원_공문_해외연수실시안(20071220)-7차-공지용" xfId="1441"/>
    <cellStyle name="원_공문_해외연수실시안(20080130)-후꾸오까-차수조정" xfId="1442"/>
    <cellStyle name="원_공문_현장간담회 결과보고" xfId="1443"/>
    <cellStyle name="원_교육대상자" xfId="1444"/>
    <cellStyle name="원_교환자료종합" xfId="1445"/>
    <cellStyle name="원_교환자료종합_0703장기보험마감분석" xfId="1446"/>
    <cellStyle name="원_교환자료종합_7-9월설치분집행(1018)" xfId="1447"/>
    <cellStyle name="원_교환자료종합_Feedback-일반활성화FY'07.2분기-품의" xfId="1448"/>
    <cellStyle name="원_교환자료종합_FY'07점포영업전략(070403)" xfId="1449"/>
    <cellStyle name="원_교환자료종합_TM-FY'07.중간피드백-6" xfId="1450"/>
    <cellStyle name="원_교환자료종합_TM대리점활성화방안(0928)" xfId="1451"/>
    <cellStyle name="원_교환자료종합_TM대리점활성화방안(0930)-1" xfId="1452"/>
    <cellStyle name="원_교환자료종합_TM신상품개발검토의견(20060327)" xfId="1453"/>
    <cellStyle name="원_교환자료종합_TM신청서(최종)-마지부(1229)" xfId="1454"/>
    <cellStyle name="원_교환자료종합_보장자산증대방안" xfId="1455"/>
    <cellStyle name="원_교환자료종합_신상품재검토(20040417)" xfId="1456"/>
    <cellStyle name="원_교환자료종합_업체선정평가표(장기tm-20051201)-장원제(최종)" xfId="1457"/>
    <cellStyle name="원_교환자료종합_유지율개선실시사항(050901)" xfId="1458"/>
    <cellStyle name="원_교환자료종합_인수지침관련의견" xfId="1459"/>
    <cellStyle name="원_교환자료종합_일반보험보고(0801)-3" xfId="1460"/>
    <cellStyle name="원_교환자료종합_장기TM관리업무지침안(보완-0105)" xfId="1461"/>
    <cellStyle name="원_교환자료종합_장기TM관리지침별첨(최종-0614)" xfId="1462"/>
    <cellStyle name="원_교환자료종합_장기TM대리점지원및관리규정(20051216-발송용)" xfId="1463"/>
    <cellStyle name="원_교환자료종합_통신판매가이드라인정리(최종)" xfId="1464"/>
    <cellStyle name="원_교환자료종합_프리스타일(수당업)" xfId="1465"/>
    <cellStyle name="원_교환자료종합_하이라이프다이렉트수수료안(20060522)" xfId="1466"/>
    <cellStyle name="원_교환자료종합_해외여행보험활성화(060620-최종)" xfId="1467"/>
    <cellStyle name="원_교환자료종합_해외연수실시안(20071220)-7차-공지용" xfId="1468"/>
    <cellStyle name="원_교환자료종합_해외연수실시안(20080130)-후꾸오까-차수조정" xfId="1469"/>
    <cellStyle name="원_교환자료종합월별정리" xfId="1470"/>
    <cellStyle name="원_교환자료종합월별정리_0703장기보험마감분석" xfId="1471"/>
    <cellStyle name="원_교환자료종합월별정리_7-9월설치분집행(1018)" xfId="1472"/>
    <cellStyle name="원_교환자료종합월별정리_Feedback-일반활성화FY'07.2분기-품의" xfId="1473"/>
    <cellStyle name="원_교환자료종합월별정리_FY'07점포영업전략(070403)" xfId="1474"/>
    <cellStyle name="원_교환자료종합월별정리_TM-FY'07.중간피드백-6" xfId="1475"/>
    <cellStyle name="원_교환자료종합월별정리_TM대리점활성화방안(0928)" xfId="1476"/>
    <cellStyle name="원_교환자료종합월별정리_TM대리점활성화방안(0930)-1" xfId="1477"/>
    <cellStyle name="원_교환자료종합월별정리_TM신상품개발검토의견(20060327)" xfId="1478"/>
    <cellStyle name="원_교환자료종합월별정리_TM신청서(최종)-마지부(1229)" xfId="1479"/>
    <cellStyle name="원_교환자료종합월별정리_보장자산증대방안" xfId="1480"/>
    <cellStyle name="원_교환자료종합월별정리_신상품재검토(20040417)" xfId="1481"/>
    <cellStyle name="원_교환자료종합월별정리_업체선정평가표(장기tm-20051201)-장원제(최종)" xfId="1482"/>
    <cellStyle name="원_교환자료종합월별정리_인수지침관련의견" xfId="1483"/>
    <cellStyle name="원_교환자료종합월별정리_장기TM대리점지원및관리규정(20051216-발송용)" xfId="1484"/>
    <cellStyle name="원_교환자료종합월별정리_통신판매가이드라인정리(최종)" xfId="1485"/>
    <cellStyle name="원_교환자료종합월별정리_프리스타일(수당업)" xfId="1486"/>
    <cellStyle name="원_교환자료종합월별정리_하이라이프다이렉트수수료안(20060522)" xfId="1487"/>
    <cellStyle name="원_교환자료종합월별정리_해외연수실시안(20071220)-7차-공지용" xfId="1488"/>
    <cellStyle name="원_교환자료종합월별정리_해외연수실시안(20080130)-후꾸오까-차수조정" xfId="1489"/>
    <cellStyle name="원_기지부05.10월분석자료" xfId="1490"/>
    <cellStyle name="원_기지부마감분석" xfId="1491"/>
    <cellStyle name="원_기지부자료" xfId="1492"/>
    <cellStyle name="원_기초자료" xfId="1493"/>
    <cellStyle name="원_기총6월 마감실적" xfId="1494"/>
    <cellStyle name="원_기획가마감" xfId="1495"/>
    <cellStyle name="원_김종선부장님" xfId="1496"/>
    <cellStyle name="원_나.05.1월본부별4" xfId="1497"/>
    <cellStyle name="원_나.10월본부별4" xfId="1498"/>
    <cellStyle name="원_나.11월본부별4" xfId="1499"/>
    <cellStyle name="원_나.11월본부별4-수정" xfId="1500"/>
    <cellStyle name="원_나.12월본부별4" xfId="1501"/>
    <cellStyle name="원_나.1월본부별4" xfId="1502"/>
    <cellStyle name="원_나.2월본부별4" xfId="1503"/>
    <cellStyle name="원_나.2월본부별4(수정)" xfId="1504"/>
    <cellStyle name="원_나.3월본부별4" xfId="1505"/>
    <cellStyle name="원_나.3월본부별4-수정본" xfId="1506"/>
    <cellStyle name="원_나.5월본부별4" xfId="1507"/>
    <cellStyle name="원_나.6월본부별4" xfId="1508"/>
    <cellStyle name="원_나.7월본부별4" xfId="1509"/>
    <cellStyle name="원_나.8월본부별4" xfId="1510"/>
    <cellStyle name="원_나.9월본부별4" xfId="1511"/>
    <cellStyle name="원_나.9월본부별4-확인용" xfId="1512"/>
    <cellStyle name="원_누계 및 신규(3월2차)" xfId="1513"/>
    <cellStyle name="원_더블보장체결현황(05.8.19)공지" xfId="1514"/>
    <cellStyle name="원_더블보장체결현황(05.9.2)" xfId="1515"/>
    <cellStyle name="원_등급화(수정)" xfId="1516"/>
    <cellStyle name="원_등급화(수정)_2005.11월 점포코드" xfId="1517"/>
    <cellStyle name="원_등급화(수정)_7-9월설치분집행(1018)" xfId="1518"/>
    <cellStyle name="원_등급화(수정)_Feedback-일반활성화FY'07.2분기-품의" xfId="1519"/>
    <cellStyle name="원_등급화(수정)_TM-FY'07.중간피드백-6" xfId="1520"/>
    <cellStyle name="원_등급화(수정)_TM대리점활성화방안(0928)" xfId="1521"/>
    <cellStyle name="원_등급화(수정)_TM대리점활성화방안(0930)-1" xfId="1522"/>
    <cellStyle name="원_등급화(수정)_TM신상품개발검토의견(20060327)" xfId="1523"/>
    <cellStyle name="원_등급화(수정)_TM신청서(최종)-마지부(1229)" xfId="1524"/>
    <cellStyle name="원_등급화(수정)_부문별월별매출계획(070330기획실)" xfId="1525"/>
    <cellStyle name="원_등급화(수정)_신상품재검토(20040417)" xfId="1526"/>
    <cellStyle name="원_등급화(수정)_업체선정평가표(장기tm-20051201)-장원제(최종)" xfId="1527"/>
    <cellStyle name="원_등급화(수정)_업추비개선(초안)" xfId="1528"/>
    <cellStyle name="원_등급화(수정)_유지율개선실시사항(050901)" xfId="1529"/>
    <cellStyle name="원_등급화(수정)_인수지침관련의견" xfId="1530"/>
    <cellStyle name="원_등급화(수정)_일반보험보고(0801)-3" xfId="1531"/>
    <cellStyle name="원_등급화(수정)_장기TM관리업무지침안(보완-0105)" xfId="1532"/>
    <cellStyle name="원_등급화(수정)_장기TM관리지침별첨(최종-0614)" xfId="1533"/>
    <cellStyle name="원_등급화(수정)_장기TM대리점지원및관리규정(20051216-발송용)" xfId="1534"/>
    <cellStyle name="원_등급화(수정)_장기보험목표달성방안(070903-2)" xfId="1535"/>
    <cellStyle name="원_등급화(수정)_장기특성별실적_조정후(가안)" xfId="1536"/>
    <cellStyle name="원_등급화(수정)_통신판매가이드라인정리(최종)" xfId="1537"/>
    <cellStyle name="원_등급화(수정)_프리스타일(수당업)" xfId="1538"/>
    <cellStyle name="원_등급화(수정)_하이라이프다이렉트수수료안(20060522)" xfId="1539"/>
    <cellStyle name="원_등급화(수정)_해외여행보험활성화(060620-최종)" xfId="1540"/>
    <cellStyle name="원_등급화(수정)_현대해상'05년우수대리점제안서(송부용최종1222)" xfId="1541"/>
    <cellStyle name="원_등급화(수정)_현대해상'05년우수대리점제안서(송부용최종1222)_0703장기보험마감분석" xfId="1542"/>
    <cellStyle name="원_등급화(수정)_현대해상'05년우수대리점제안서(송부용최종1222)_7-9월설치분집행(1018)" xfId="1543"/>
    <cellStyle name="원_등급화(수정)_현대해상'05년우수대리점제안서(송부용최종1222)_Feedback-일반활성화FY'07.2분기-품의" xfId="1544"/>
    <cellStyle name="원_등급화(수정)_현대해상'05년우수대리점제안서(송부용최종1222)_FY'07점포영업전략(070403)" xfId="1545"/>
    <cellStyle name="원_등급화(수정)_현대해상'05년우수대리점제안서(송부용최종1222)_TM-FY'07.중간피드백-6" xfId="1546"/>
    <cellStyle name="원_등급화(수정)_현대해상'05년우수대리점제안서(송부용최종1222)_TM대리점활성화방안(0928)" xfId="1547"/>
    <cellStyle name="원_등급화(수정)_현대해상'05년우수대리점제안서(송부용최종1222)_TM대리점활성화방안(0930)-1" xfId="1548"/>
    <cellStyle name="원_등급화(수정)_현대해상'05년우수대리점제안서(송부용최종1222)_TM신상품개발검토의견(20060327)" xfId="1549"/>
    <cellStyle name="원_등급화(수정)_현대해상'05년우수대리점제안서(송부용최종1222)_TM신청서(최종)-마지부(1229)" xfId="1550"/>
    <cellStyle name="원_등급화(수정)_현대해상'05년우수대리점제안서(송부용최종1222)_보장자산증대방안" xfId="1551"/>
    <cellStyle name="원_등급화(수정)_현대해상'05년우수대리점제안서(송부용최종1222)_신상품재검토(20040417)" xfId="1552"/>
    <cellStyle name="원_등급화(수정)_현대해상'05년우수대리점제안서(송부용최종1222)_업체선정평가표(장기tm-20051201)-장원제(최종)" xfId="1553"/>
    <cellStyle name="원_등급화(수정)_현대해상'05년우수대리점제안서(송부용최종1222)_유지율개선실시사항(050901)" xfId="1554"/>
    <cellStyle name="원_등급화(수정)_현대해상'05년우수대리점제안서(송부용최종1222)_인수지침관련의견" xfId="1555"/>
    <cellStyle name="원_등급화(수정)_현대해상'05년우수대리점제안서(송부용최종1222)_일반보험보고(0801)-3" xfId="1556"/>
    <cellStyle name="원_등급화(수정)_현대해상'05년우수대리점제안서(송부용최종1222)_장기TM관리업무지침안(보완-0105)" xfId="1557"/>
    <cellStyle name="원_등급화(수정)_현대해상'05년우수대리점제안서(송부용최종1222)_장기TM관리지침별첨(최종-0614)" xfId="1558"/>
    <cellStyle name="원_등급화(수정)_현대해상'05년우수대리점제안서(송부용최종1222)_장기TM대리점지원및관리규정(20051216-발송용)" xfId="1559"/>
    <cellStyle name="원_등급화(수정)_현대해상'05년우수대리점제안서(송부용최종1222)_통신판매가이드라인정리(최종)" xfId="1560"/>
    <cellStyle name="원_등급화(수정)_현대해상'05년우수대리점제안서(송부용최종1222)_프리스타일(수당업)" xfId="1561"/>
    <cellStyle name="원_등급화(수정)_현대해상'05년우수대리점제안서(송부용최종1222)_하이라이프다이렉트수수료안(20060522)" xfId="1562"/>
    <cellStyle name="원_등급화(수정)_현대해상'05년우수대리점제안서(송부용최종1222)_해외여행보험활성화(060620-최종)" xfId="1563"/>
    <cellStyle name="원_등급화(수정)_현대해상'05년우수대리점제안서(송부용최종1222)_해외연수실시안(20071220)-7차-공지용" xfId="1564"/>
    <cellStyle name="원_등급화(수정)_현대해상'05년우수대리점제안서(송부용최종1222)_해외연수실시안(20080130)-후꾸오까-차수조정" xfId="1565"/>
    <cellStyle name="원_등급화(수정)_현장간담회 결과보고" xfId="1566"/>
    <cellStyle name="원_마.6월+별첨부록" xfId="1567"/>
    <cellStyle name="원_마.6월+별첨부록_3063932006021309511403280445_FY'06년 자동차보험 매출계획 기획실송부 요약" xfId="1568"/>
    <cellStyle name="원_마.6월+별첨부록_3063932006021314282903120496_FY'06년 자동차보험 매출계획 기획실송부 요약" xfId="1569"/>
    <cellStyle name="원_마.6월+별첨부록_306393200701221041450656000468420013_FY07 매출계획 작성양식" xfId="1570"/>
    <cellStyle name="원_마.6월+별첨부록_306393200701221329200203007251260027_FY07 매출계획 작성양식" xfId="1571"/>
    <cellStyle name="원_마.6월+별첨부록_306393200701250903550250090628260030_FY07 매출계획 작성양식" xfId="1572"/>
    <cellStyle name="원_마.6월+별첨부록_7-9월설치분집행(1018)" xfId="1573"/>
    <cellStyle name="원_마.6월+별첨부록_FY'06년 자동차보험 매출계획 5(안)-1" xfId="1574"/>
    <cellStyle name="원_마.6월+별첨부록_FY'06년 자동차보험 매출계획 5(안)-2" xfId="1575"/>
    <cellStyle name="원_마.6월+별첨부록_FY'06년 자동차보험 매출계획 기획실송부 요약" xfId="1576"/>
    <cellStyle name="원_마.6월+별첨부록_FY07 매출계획 작성양식(최종송부)" xfId="1577"/>
    <cellStyle name="원_마.6월+별첨부록_PLACARD" xfId="1578"/>
    <cellStyle name="원_마.6월+별첨부록_TM대리점활성화방안(0928)" xfId="1579"/>
    <cellStyle name="원_마.6월+별첨부록_TM대리점활성화방안(0930)-1" xfId="1580"/>
    <cellStyle name="원_마.6월+별첨부록_TM신상품개발검토의견(20060327)" xfId="1581"/>
    <cellStyle name="원_마.6월+별첨부록_TM신청서(최종)-마지부(1229)" xfId="1582"/>
    <cellStyle name="원_마.6월+별첨부록_tm활성화(예산수정)" xfId="1583"/>
    <cellStyle name="원_마.6월+별첨부록_마지부승인(0512 -5차)" xfId="1584"/>
    <cellStyle name="원_마.6월+별첨부록_업체선정평가표(장기tm-20051201)-장원제(최종)" xfId="1585"/>
    <cellStyle name="원_마.6월+별첨부록_인수지침관련의견" xfId="1586"/>
    <cellStyle name="원_마.6월+별첨부록_장기TM대리점지원및관리규정(20051216-발송용)" xfId="1587"/>
    <cellStyle name="원_마.6월+별첨부록_장기TM활성화방안(11월-결재예산보완본)-최종판" xfId="1588"/>
    <cellStyle name="원_마.6월+별첨부록_참석자명단(대리점)" xfId="1589"/>
    <cellStyle name="원_마.마감별첨1-10월" xfId="1590"/>
    <cellStyle name="원_마.마감별첨1-10월_3063932006021309511403280445_FY'06년 자동차보험 매출계획 기획실송부 요약" xfId="1591"/>
    <cellStyle name="원_마.마감별첨1-10월_3063932006021314282903120496_FY'06년 자동차보험 매출계획 기획실송부 요약" xfId="1592"/>
    <cellStyle name="원_마.마감별첨1-10월_306393200701221041450656000468420013_FY07 매출계획 작성양식" xfId="1593"/>
    <cellStyle name="원_마.마감별첨1-10월_306393200701221329200203007251260027_FY07 매출계획 작성양식" xfId="1594"/>
    <cellStyle name="원_마.마감별첨1-10월_306393200701250903550250090628260030_FY07 매출계획 작성양식" xfId="1595"/>
    <cellStyle name="원_마.마감별첨1-10월_7-9월설치분집행(1018)" xfId="1596"/>
    <cellStyle name="원_마.마감별첨1-10월_Feedback-일반활성화FY'07.2분기-품의" xfId="1597"/>
    <cellStyle name="원_마.마감별첨1-10월_FY'06년 자동차보험 매출계획 5(안)-1" xfId="1598"/>
    <cellStyle name="원_마.마감별첨1-10월_FY'06년 자동차보험 매출계획 5(안)-2" xfId="1599"/>
    <cellStyle name="원_마.마감별첨1-10월_FY'06년 자동차보험 매출계획 기획실송부 요약" xfId="1600"/>
    <cellStyle name="원_마.마감별첨1-10월_FY07 매출계획 작성양식(최종송부)" xfId="1601"/>
    <cellStyle name="원_마.마감별첨1-10월_TM-FY'07.중간피드백-6" xfId="1602"/>
    <cellStyle name="원_마.마감별첨1-10월_TM대리점활성화방안(0928)" xfId="1603"/>
    <cellStyle name="원_마.마감별첨1-10월_TM대리점활성화방안(0930)-1" xfId="1604"/>
    <cellStyle name="원_마.마감별첨1-10월_TM신상품개발검토의견(20060327)" xfId="1605"/>
    <cellStyle name="원_마.마감별첨1-10월_TM신청서(최종)-마지부(1229)" xfId="1606"/>
    <cellStyle name="원_마.마감별첨1-10월_부문별월별매출계획(070330기획실)" xfId="1607"/>
    <cellStyle name="원_마.마감별첨1-10월_신상품재검토(20040417)" xfId="1608"/>
    <cellStyle name="원_마.마감별첨1-10월_업체선정평가표(장기tm-20051201)-장원제(최종)" xfId="1609"/>
    <cellStyle name="원_마.마감별첨1-10월_인수지침관련의견" xfId="1610"/>
    <cellStyle name="원_마.마감별첨1-10월_장기TM대리점지원및관리규정(20051216-발송용)" xfId="1611"/>
    <cellStyle name="원_마.마감별첨1-10월_장기보험목표달성방안(070903-2)" xfId="1612"/>
    <cellStyle name="원_마.마감별첨1-10월_장기특성별실적_조정후(가안)" xfId="1613"/>
    <cellStyle name="원_마.마감별첨1-10월_통신판매가이드라인정리(최종)" xfId="1614"/>
    <cellStyle name="원_마.마감별첨1-10월_하이라이프다이렉트수수료안(20060522)" xfId="1615"/>
    <cellStyle name="원_마.마감별첨1-3월" xfId="1616"/>
    <cellStyle name="원_마.마감별첨1-3월_Feedback-일반활성화FY'07.2분기-품의" xfId="1617"/>
    <cellStyle name="원_마.마감별첨1-3월_FY'06장기보험매출계획(유지율)" xfId="1618"/>
    <cellStyle name="원_마.마감별첨1-3월_FY'07점포영업전략(070403)" xfId="1619"/>
    <cellStyle name="원_마.마감별첨1-3월_보장자산증대방안" xfId="1620"/>
    <cellStyle name="원_마.마감별첨1-4월(진짜)" xfId="1621"/>
    <cellStyle name="원_마.마감별첨2-10월" xfId="1622"/>
    <cellStyle name="원_마.마감별첨2-10월_3063932006021309511403280445_FY'06년 자동차보험 매출계획 기획실송부 요약" xfId="1623"/>
    <cellStyle name="원_마.마감별첨2-10월_3063932006021314282903120496_FY'06년 자동차보험 매출계획 기획실송부 요약" xfId="1624"/>
    <cellStyle name="원_마.마감별첨2-10월_306393200701221041450656000468420013_FY07 매출계획 작성양식" xfId="1625"/>
    <cellStyle name="원_마.마감별첨2-10월_306393200701221329200203007251260027_FY07 매출계획 작성양식" xfId="1626"/>
    <cellStyle name="원_마.마감별첨2-10월_306393200701250903550250090628260030_FY07 매출계획 작성양식" xfId="1627"/>
    <cellStyle name="원_마.마감별첨2-10월_7-9월설치분집행(1018)" xfId="1628"/>
    <cellStyle name="원_마.마감별첨2-10월_Feedback-일반활성화FY'07.2분기-품의" xfId="1629"/>
    <cellStyle name="원_마.마감별첨2-10월_FY'06년 자동차보험 매출계획 5(안)-1" xfId="1630"/>
    <cellStyle name="원_마.마감별첨2-10월_FY'06년 자동차보험 매출계획 5(안)-2" xfId="1631"/>
    <cellStyle name="원_마.마감별첨2-10월_FY'06년 자동차보험 매출계획 기획실송부 요약" xfId="1632"/>
    <cellStyle name="원_마.마감별첨2-10월_FY07 매출계획 작성양식(최종송부)" xfId="1633"/>
    <cellStyle name="원_마.마감별첨2-10월_TM-FY'07.중간피드백-6" xfId="1634"/>
    <cellStyle name="원_마.마감별첨2-10월_TM대리점활성화방안(0928)" xfId="1635"/>
    <cellStyle name="원_마.마감별첨2-10월_TM대리점활성화방안(0930)-1" xfId="1636"/>
    <cellStyle name="원_마.마감별첨2-10월_TM신상품개발검토의견(20060327)" xfId="1637"/>
    <cellStyle name="원_마.마감별첨2-10월_TM신청서(최종)-마지부(1229)" xfId="1638"/>
    <cellStyle name="원_마.마감별첨2-10월_부문별월별매출계획(070330기획실)" xfId="1639"/>
    <cellStyle name="원_마.마감별첨2-10월_신상품재검토(20040417)" xfId="1640"/>
    <cellStyle name="원_마.마감별첨2-10월_업체선정평가표(장기tm-20051201)-장원제(최종)" xfId="1641"/>
    <cellStyle name="원_마.마감별첨2-10월_인수지침관련의견" xfId="1642"/>
    <cellStyle name="원_마.마감별첨2-10월_장기TM대리점지원및관리규정(20051216-발송용)" xfId="1643"/>
    <cellStyle name="원_마.마감별첨2-10월_장기보험목표달성방안(070903-2)" xfId="1644"/>
    <cellStyle name="원_마.마감별첨2-10월_장기특성별실적_조정후(가안)" xfId="1645"/>
    <cellStyle name="원_마.마감별첨2-10월_통신판매가이드라인정리(최종)" xfId="1646"/>
    <cellStyle name="원_마.마감별첨2-10월_하이라이프다이렉트수수료안(20060522)" xfId="1647"/>
    <cellStyle name="원_마.마감별첨2-12월" xfId="1648"/>
    <cellStyle name="원_마.마감별첨2-2월" xfId="1649"/>
    <cellStyle name="원_마.마감별첨2-2월_Feedback-일반활성화FY'07.2분기-품의" xfId="1650"/>
    <cellStyle name="원_마.마감별첨2-2월_FY'06장기보험매출계획(유지율)" xfId="1651"/>
    <cellStyle name="원_마.마감별첨2-2월_FY'07점포영업전략(070403)" xfId="1652"/>
    <cellStyle name="원_마.마감별첨2-2월_보장자산증대방안" xfId="1653"/>
    <cellStyle name="원_마.마감별첨2-3월" xfId="1654"/>
    <cellStyle name="원_마.마감별첨2-3월_Feedback-일반활성화FY'07.2분기-품의" xfId="1655"/>
    <cellStyle name="원_마.마감별첨2-3월_FY'06장기보험매출계획(유지율)" xfId="1656"/>
    <cellStyle name="원_마.마감별첨2-3월_FY'07점포영업전략(070403)" xfId="1657"/>
    <cellStyle name="원_마.마감별첨2-3월_보장자산증대방안" xfId="1658"/>
    <cellStyle name="원_마.마감별첨3-10월" xfId="1659"/>
    <cellStyle name="원_마.마감별첨3-10월_3063932006021309511403280445_FY'06년 자동차보험 매출계획 기획실송부 요약" xfId="1660"/>
    <cellStyle name="원_마.마감별첨3-10월_3063932006021314282903120496_FY'06년 자동차보험 매출계획 기획실송부 요약" xfId="1661"/>
    <cellStyle name="원_마.마감별첨3-10월_306393200701221041450656000468420013_FY07 매출계획 작성양식" xfId="1662"/>
    <cellStyle name="원_마.마감별첨3-10월_306393200701221329200203007251260027_FY07 매출계획 작성양식" xfId="1663"/>
    <cellStyle name="원_마.마감별첨3-10월_306393200701250903550250090628260030_FY07 매출계획 작성양식" xfId="1664"/>
    <cellStyle name="원_마.마감별첨3-10월_7-9월설치분집행(1018)" xfId="1665"/>
    <cellStyle name="원_마.마감별첨3-10월_Feedback-일반활성화FY'07.2분기-품의" xfId="1666"/>
    <cellStyle name="원_마.마감별첨3-10월_FY'06년 자동차보험 매출계획 5(안)-1" xfId="1667"/>
    <cellStyle name="원_마.마감별첨3-10월_FY'06년 자동차보험 매출계획 5(안)-2" xfId="1668"/>
    <cellStyle name="원_마.마감별첨3-10월_FY'06년 자동차보험 매출계획 기획실송부 요약" xfId="1669"/>
    <cellStyle name="원_마.마감별첨3-10월_FY07 매출계획 작성양식(최종송부)" xfId="1670"/>
    <cellStyle name="원_마.마감별첨3-10월_TM-FY'07.중간피드백-6" xfId="1671"/>
    <cellStyle name="원_마.마감별첨3-10월_TM대리점활성화방안(0928)" xfId="1672"/>
    <cellStyle name="원_마.마감별첨3-10월_TM대리점활성화방안(0930)-1" xfId="1673"/>
    <cellStyle name="원_마.마감별첨3-10월_TM신상품개발검토의견(20060327)" xfId="1674"/>
    <cellStyle name="원_마.마감별첨3-10월_TM신청서(최종)-마지부(1229)" xfId="1675"/>
    <cellStyle name="원_마.마감별첨3-10월_부문별월별매출계획(070330기획실)" xfId="1676"/>
    <cellStyle name="원_마.마감별첨3-10월_신상품재검토(20040417)" xfId="1677"/>
    <cellStyle name="원_마.마감별첨3-10월_업체선정평가표(장기tm-20051201)-장원제(최종)" xfId="1678"/>
    <cellStyle name="원_마.마감별첨3-10월_인수지침관련의견" xfId="1679"/>
    <cellStyle name="원_마.마감별첨3-10월_장기TM대리점지원및관리규정(20051216-발송용)" xfId="1680"/>
    <cellStyle name="원_마.마감별첨3-10월_장기보험목표달성방안(070903-2)" xfId="1681"/>
    <cellStyle name="원_마.마감별첨3-10월_장기특성별실적_조정후(가안)" xfId="1682"/>
    <cellStyle name="원_마.마감별첨3-10월_통신판매가이드라인정리(최종)" xfId="1683"/>
    <cellStyle name="원_마.마감별첨3-10월_하이라이프다이렉트수수료안(20060522)" xfId="1684"/>
    <cellStyle name="원_마.마감별첨3-2월" xfId="1685"/>
    <cellStyle name="원_마.마감별첨3-2월_Feedback-일반활성화FY'07.2분기-품의" xfId="1686"/>
    <cellStyle name="원_마.마감별첨3-2월_FY'06장기보험매출계획(유지율)" xfId="1687"/>
    <cellStyle name="원_마.마감별첨3-2월_FY'07점포영업전략(070403)" xfId="1688"/>
    <cellStyle name="원_마.마감별첨3-2월_보장자산증대방안" xfId="1689"/>
    <cellStyle name="원_마.마감별첨3-3월" xfId="1690"/>
    <cellStyle name="원_마.마감별첨3-3월_Feedback-일반활성화FY'07.2분기-품의" xfId="1691"/>
    <cellStyle name="원_마.마감별첨3-3월_FY'06장기보험매출계획(유지율)" xfId="1692"/>
    <cellStyle name="원_마.마감별첨3-3월_FY'07점포영업전략(070403)" xfId="1693"/>
    <cellStyle name="원_마.마감별첨3-3월_보장자산증대방안" xfId="1694"/>
    <cellStyle name="원_마.마감별첨3-9월" xfId="1695"/>
    <cellStyle name="원_마.마감별첨3-9월_Feedback-일반활성화FY'07.2분기-품의" xfId="1696"/>
    <cellStyle name="원_마.마감별첨3-9월_FY'06장기보험매출계획(유지율)" xfId="1697"/>
    <cellStyle name="원_마.마감별첨3-9월_FY'07 매출추정(0130)-3차(목표문구)" xfId="1698"/>
    <cellStyle name="원_마.마감별첨3-9월_FY'07점포영업전략(070403)" xfId="1699"/>
    <cellStyle name="원_마.마감별첨3-9월_보장자산증대방안" xfId="1700"/>
    <cellStyle name="원_마.마감별첨4-3월" xfId="1701"/>
    <cellStyle name="원_마.마감별첨4-3월_Feedback-일반활성화FY'07.2분기-품의" xfId="1702"/>
    <cellStyle name="원_마.마감별첨4-3월_FY'06장기보험매출계획(유지율)" xfId="1703"/>
    <cellStyle name="원_마.마감별첨4-3월_FY'07점포영업전략(070403)" xfId="1704"/>
    <cellStyle name="원_마.마감별첨4-3월_보장자산증대방안" xfId="1705"/>
    <cellStyle name="원_마감요약" xfId="1706"/>
    <cellStyle name="원_마감자료" xfId="1707"/>
    <cellStyle name="원_마감현황(본부별합격현황)" xfId="1708"/>
    <cellStyle name="원_마감현황(본부별합격현황)_3063932006021309511403280445_FY'06년 자동차보험 매출계획 기획실송부 요약" xfId="1709"/>
    <cellStyle name="원_마감현황(본부별합격현황)_3063932006021314282903120496_FY'06년 자동차보험 매출계획 기획실송부 요약" xfId="1710"/>
    <cellStyle name="원_마감현황(본부별합격현황)_306393200701221041450656000468420013_FY07 매출계획 작성양식" xfId="1711"/>
    <cellStyle name="원_마감현황(본부별합격현황)_306393200701221329200203007251260027_FY07 매출계획 작성양식" xfId="1712"/>
    <cellStyle name="원_마감현황(본부별합격현황)_306393200701250903550250090628260030_FY07 매출계획 작성양식" xfId="1713"/>
    <cellStyle name="원_마감현황(본부별합격현황)_7-9월설치분집행(1018)" xfId="1714"/>
    <cellStyle name="원_마감현황(본부별합격현황)_FY'06년 자동차보험 매출계획 5(안)-1" xfId="1715"/>
    <cellStyle name="원_마감현황(본부별합격현황)_FY'06년 자동차보험 매출계획 5(안)-2" xfId="1716"/>
    <cellStyle name="원_마감현황(본부별합격현황)_FY'06년 자동차보험 매출계획 기획실송부 요약" xfId="1717"/>
    <cellStyle name="원_마감현황(본부별합격현황)_FY07 매출계획 작성양식(최종송부)" xfId="1718"/>
    <cellStyle name="원_마감현황(본부별합격현황)_PLACARD" xfId="1719"/>
    <cellStyle name="원_마감현황(본부별합격현황)_TM대리점활성화방안(0928)" xfId="1720"/>
    <cellStyle name="원_마감현황(본부별합격현황)_TM대리점활성화방안(0930)-1" xfId="1721"/>
    <cellStyle name="원_마감현황(본부별합격현황)_TM신상품개발검토의견(20060327)" xfId="1722"/>
    <cellStyle name="원_마감현황(본부별합격현황)_TM신청서(최종)-마지부(1229)" xfId="1723"/>
    <cellStyle name="원_마감현황(본부별합격현황)_tm활성화(예산수정)" xfId="1724"/>
    <cellStyle name="원_마감현황(본부별합격현황)_마지부승인(0512 -5차)" xfId="1725"/>
    <cellStyle name="원_마감현황(본부별합격현황)_업체선정평가표(장기tm-20051201)-장원제(최종)" xfId="1726"/>
    <cellStyle name="원_마감현황(본부별합격현황)_인수지침관련의견" xfId="1727"/>
    <cellStyle name="원_마감현황(본부별합격현황)_장기TM대리점지원및관리규정(20051216-발송용)" xfId="1728"/>
    <cellStyle name="원_마감현황(본부별합격현황)_장기TM활성화방안(11월-결재예산보완본)-최종판" xfId="1729"/>
    <cellStyle name="원_마감현황(본부별합격현황)_참석자명단(대리점)" xfId="1730"/>
    <cellStyle name="원_마감회의(본부별합격현황)" xfId="1731"/>
    <cellStyle name="원_마감회의(본부별합격현황)_3063932006021309511403280445_FY'06년 자동차보험 매출계획 기획실송부 요약" xfId="1732"/>
    <cellStyle name="원_마감회의(본부별합격현황)_3063932006021314282903120496_FY'06년 자동차보험 매출계획 기획실송부 요약" xfId="1733"/>
    <cellStyle name="원_마감회의(본부별합격현황)_306393200701221041450656000468420013_FY07 매출계획 작성양식" xfId="1734"/>
    <cellStyle name="원_마감회의(본부별합격현황)_306393200701221329200203007251260027_FY07 매출계획 작성양식" xfId="1735"/>
    <cellStyle name="원_마감회의(본부별합격현황)_306393200701250903550250090628260030_FY07 매출계획 작성양식" xfId="1736"/>
    <cellStyle name="원_마감회의(본부별합격현황)_7-9월설치분집행(1018)" xfId="1737"/>
    <cellStyle name="원_마감회의(본부별합격현황)_FY'06년 자동차보험 매출계획 5(안)-1" xfId="1738"/>
    <cellStyle name="원_마감회의(본부별합격현황)_FY'06년 자동차보험 매출계획 5(안)-2" xfId="1739"/>
    <cellStyle name="원_마감회의(본부별합격현황)_FY'06년 자동차보험 매출계획 기획실송부 요약" xfId="1740"/>
    <cellStyle name="원_마감회의(본부별합격현황)_FY07 매출계획 작성양식(최종송부)" xfId="1741"/>
    <cellStyle name="원_마감회의(본부별합격현황)_PLACARD" xfId="1742"/>
    <cellStyle name="원_마감회의(본부별합격현황)_TM대리점활성화방안(0928)" xfId="1743"/>
    <cellStyle name="원_마감회의(본부별합격현황)_TM대리점활성화방안(0930)-1" xfId="1744"/>
    <cellStyle name="원_마감회의(본부별합격현황)_TM신상품개발검토의견(20060327)" xfId="1745"/>
    <cellStyle name="원_마감회의(본부별합격현황)_TM신청서(최종)-마지부(1229)" xfId="1746"/>
    <cellStyle name="원_마감회의(본부별합격현황)_tm활성화(예산수정)" xfId="1747"/>
    <cellStyle name="원_마감회의(본부별합격현황)_마지부승인(0512 -5차)" xfId="1748"/>
    <cellStyle name="원_마감회의(본부별합격현황)_업체선정평가표(장기tm-20051201)-장원제(최종)" xfId="1749"/>
    <cellStyle name="원_마감회의(본부별합격현황)_인수지침관련의견" xfId="1750"/>
    <cellStyle name="원_마감회의(본부별합격현황)_장기TM대리점지원및관리규정(20051216-발송용)" xfId="1751"/>
    <cellStyle name="원_마감회의(본부별합격현황)_장기TM활성화방안(11월-결재예산보완본)-최종판" xfId="1752"/>
    <cellStyle name="원_마감회의(본부별합격현황)_참석자명단(대리점)" xfId="1753"/>
    <cellStyle name="원_마감회의자료(홍재선" xfId="1754"/>
    <cellStyle name="원_마지부승인(0512 -5차)" xfId="1755"/>
    <cellStyle name="원_매출계획7월확정분88" xfId="1756"/>
    <cellStyle name="원_무증원점포" xfId="1757"/>
    <cellStyle name="원_무증원점포_3063932006021309511403280445_FY'06년 자동차보험 매출계획 기획실송부 요약" xfId="1758"/>
    <cellStyle name="원_무증원점포_3063932006021314282903120496_FY'06년 자동차보험 매출계획 기획실송부 요약" xfId="1759"/>
    <cellStyle name="원_무증원점포_306393200701221041450656000468420013_FY07 매출계획 작성양식" xfId="1760"/>
    <cellStyle name="원_무증원점포_306393200701221329200203007251260027_FY07 매출계획 작성양식" xfId="1761"/>
    <cellStyle name="원_무증원점포_306393200701250903550250090628260030_FY07 매출계획 작성양식" xfId="1762"/>
    <cellStyle name="원_무증원점포_7-9월설치분집행(1018)" xfId="1763"/>
    <cellStyle name="원_무증원점포_Feedback-일반활성화FY'07.2분기-품의" xfId="1764"/>
    <cellStyle name="원_무증원점포_FY'06년 자동차보험 매출계획 5(안)-1" xfId="1765"/>
    <cellStyle name="원_무증원점포_FY'06년 자동차보험 매출계획 5(안)-2" xfId="1766"/>
    <cellStyle name="원_무증원점포_FY'06년 자동차보험 매출계획 기획실송부 요약" xfId="1767"/>
    <cellStyle name="원_무증원점포_FY07 매출계획 작성양식(최종송부)" xfId="1768"/>
    <cellStyle name="원_무증원점포_TM-FY'07.중간피드백-6" xfId="1769"/>
    <cellStyle name="원_무증원점포_TM대리점활성화방안(0928)" xfId="1770"/>
    <cellStyle name="원_무증원점포_TM대리점활성화방안(0930)-1" xfId="1771"/>
    <cellStyle name="원_무증원점포_TM신상품개발검토의견(20060327)" xfId="1772"/>
    <cellStyle name="원_무증원점포_TM신청서(최종)-마지부(1229)" xfId="1773"/>
    <cellStyle name="원_무증원점포_부문별월별매출계획(070330기획실)" xfId="1774"/>
    <cellStyle name="원_무증원점포_신상품재검토(20040417)" xfId="1775"/>
    <cellStyle name="원_무증원점포_업체선정평가표(장기tm-20051201)-장원제(최종)" xfId="1776"/>
    <cellStyle name="원_무증원점포_인수지침관련의견" xfId="1777"/>
    <cellStyle name="원_무증원점포_장기TM대리점지원및관리규정(20051216-발송용)" xfId="1778"/>
    <cellStyle name="원_무증원점포_장기보험목표달성방안(070903-2)" xfId="1779"/>
    <cellStyle name="원_무증원점포_장기특성별실적_조정후(가안)" xfId="1780"/>
    <cellStyle name="원_무증원점포_통신판매가이드라인정리(최종)" xfId="1781"/>
    <cellStyle name="원_무증원점포_하이라이프다이렉트수수료안(20060522)" xfId="1782"/>
    <cellStyle name="원_무증원합격현황(03.05~)" xfId="1783"/>
    <cellStyle name="원_무증원합격현황(03.05~)_Feedback-일반활성화FY'07.2분기-품의" xfId="1784"/>
    <cellStyle name="원_무증원합격현황(03.05~)_FY'06장기보험매출계획(유지율)" xfId="1785"/>
    <cellStyle name="원_무증원합격현황(03.05~)_FY'07점포영업전략(070403)" xfId="1786"/>
    <cellStyle name="원_무증원합격현황(03.05~)_보장자산증대방안" xfId="1787"/>
    <cellStyle name="원_밀레니엄3년만기판매중지검토(안)" xfId="1788"/>
    <cellStyle name="원_방카11월 지급액 산정결과(12.14)" xfId="1789"/>
    <cellStyle name="원_방카부" xfId="1790"/>
    <cellStyle name="원_방카수정목표배분기준및목표액송부(040506)" xfId="1791"/>
    <cellStyle name="원_방카수정목표배분기준및목표액송부(040506)_0703장기보험마감분석" xfId="1792"/>
    <cellStyle name="원_방카수정목표배분기준및목표액송부(040506)_7-9월설치분집행(1018)" xfId="1793"/>
    <cellStyle name="원_방카수정목표배분기준및목표액송부(040506)_Feedback-일반활성화FY'07.2분기-품의" xfId="1794"/>
    <cellStyle name="원_방카수정목표배분기준및목표액송부(040506)_FY'07점포영업전략(070403)" xfId="1795"/>
    <cellStyle name="원_방카수정목표배분기준및목표액송부(040506)_TM-FY'07.중간피드백-6" xfId="1796"/>
    <cellStyle name="원_방카수정목표배분기준및목표액송부(040506)_TM대리점활성화방안(0928)" xfId="1797"/>
    <cellStyle name="원_방카수정목표배분기준및목표액송부(040506)_TM대리점활성화방안(0930)-1" xfId="1798"/>
    <cellStyle name="원_방카수정목표배분기준및목표액송부(040506)_TM신상품개발검토의견(20060327)" xfId="1799"/>
    <cellStyle name="원_방카수정목표배분기준및목표액송부(040506)_TM신청서(최종)-마지부(1229)" xfId="1800"/>
    <cellStyle name="원_방카수정목표배분기준및목표액송부(040506)_보장자산증대방안" xfId="1801"/>
    <cellStyle name="원_방카수정목표배분기준및목표액송부(040506)_신상품재검토(20040417)" xfId="1802"/>
    <cellStyle name="원_방카수정목표배분기준및목표액송부(040506)_업체선정평가표(장기tm-20051201)-장원제(최종)" xfId="1803"/>
    <cellStyle name="원_방카수정목표배분기준및목표액송부(040506)_인수지침관련의견" xfId="1804"/>
    <cellStyle name="원_방카수정목표배분기준및목표액송부(040506)_장기TM대리점지원및관리규정(20051216-발송용)" xfId="1805"/>
    <cellStyle name="원_방카수정목표배분기준및목표액송부(040506)_통신판매가이드라인정리(최종)" xfId="1806"/>
    <cellStyle name="원_방카수정목표배분기준및목표액송부(040506)_하이라이프다이렉트수수료안(20060522)" xfId="1807"/>
    <cellStyle name="원_방카수정목표배분기준및목표액송부(040506)_해외연수실시안(20071220)-7차-공지용" xfId="1808"/>
    <cellStyle name="원_방카수정목표배분기준및목표액송부(040506)_해외연수실시안(20080130)-후꾸오까-차수조정" xfId="1809"/>
    <cellStyle name="원_방카슈랑스본부+지점달성율현황(12.06)11월" xfId="1810"/>
    <cellStyle name="원_배움운영매뉴얼" xfId="1811"/>
    <cellStyle name="원_법지부(1.28)" xfId="1812"/>
    <cellStyle name="원_법지부(1.28)_3063932006021309511403280445_FY'06년 자동차보험 매출계획 기획실송부 요약" xfId="1813"/>
    <cellStyle name="원_법지부(1.28)_3063932006021314282903120496_FY'06년 자동차보험 매출계획 기획실송부 요약" xfId="1814"/>
    <cellStyle name="원_법지부(1.28)_306393200701221041450656000468420013_FY07 매출계획 작성양식" xfId="1815"/>
    <cellStyle name="원_법지부(1.28)_306393200701221329200203007251260027_FY07 매출계획 작성양식" xfId="1816"/>
    <cellStyle name="원_법지부(1.28)_306393200701250903550250090628260030_FY07 매출계획 작성양식" xfId="1817"/>
    <cellStyle name="원_법지부(1.28)_7-9월설치분집행(1018)" xfId="1818"/>
    <cellStyle name="원_법지부(1.28)_FY'06년 자동차보험 매출계획 5(안)-1" xfId="1819"/>
    <cellStyle name="원_법지부(1.28)_FY'06년 자동차보험 매출계획 5(안)-2" xfId="1820"/>
    <cellStyle name="원_법지부(1.28)_FY'06년 자동차보험 매출계획 기획실송부 요약" xfId="1821"/>
    <cellStyle name="원_법지부(1.28)_FY07 매출계획 작성양식(최종송부)" xfId="1822"/>
    <cellStyle name="원_법지부(1.28)_PLACARD" xfId="1823"/>
    <cellStyle name="원_법지부(1.28)_TM대리점활성화방안(0928)" xfId="1824"/>
    <cellStyle name="원_법지부(1.28)_TM대리점활성화방안(0930)-1" xfId="1825"/>
    <cellStyle name="원_법지부(1.28)_TM신상품개발검토의견(20060327)" xfId="1826"/>
    <cellStyle name="원_법지부(1.28)_TM신청서(최종)-마지부(1229)" xfId="1827"/>
    <cellStyle name="원_법지부(1.28)_tm활성화(예산수정)" xfId="1828"/>
    <cellStyle name="원_법지부(1.28)_마지부승인(0512 -5차)" xfId="1829"/>
    <cellStyle name="원_법지부(1.28)_업체선정평가표(장기tm-20051201)-장원제(최종)" xfId="1830"/>
    <cellStyle name="원_법지부(1.28)_인수지침관련의견" xfId="1831"/>
    <cellStyle name="원_법지부(1.28)_장기TM대리점지원및관리규정(20051216-발송용)" xfId="1832"/>
    <cellStyle name="원_법지부(1.28)_장기TM활성화방안(11월-결재예산보완본)-최종판" xfId="1833"/>
    <cellStyle name="원_법지부(1.28)_참석자명단(대리점)" xfId="1834"/>
    <cellStyle name="원_별첨자료" xfId="1835"/>
    <cellStyle name="원_보장자산증대방안" xfId="1836"/>
    <cellStyle name="원_본부별" xfId="1837"/>
    <cellStyle name="원_본부별합격" xfId="1838"/>
    <cellStyle name="원_본부장간담회11월-0" xfId="1839"/>
    <cellStyle name="원_부문별월별매출계획(070330기획실)" xfId="1840"/>
    <cellStyle name="원_부서장회의(02.12)" xfId="1841"/>
    <cellStyle name="원_부장님요청" xfId="1842"/>
    <cellStyle name="원_부장님요청_3063932006021309511403280445_FY'06년 자동차보험 매출계획 기획실송부 요약" xfId="1843"/>
    <cellStyle name="원_부장님요청_3063932006021314282903120496_FY'06년 자동차보험 매출계획 기획실송부 요약" xfId="1844"/>
    <cellStyle name="원_부장님요청_306393200701221041450656000468420013_FY07 매출계획 작성양식" xfId="1845"/>
    <cellStyle name="원_부장님요청_306393200701221329200203007251260027_FY07 매출계획 작성양식" xfId="1846"/>
    <cellStyle name="원_부장님요청_306393200701250903550250090628260030_FY07 매출계획 작성양식" xfId="1847"/>
    <cellStyle name="원_부장님요청_7-9월설치분집행(1018)" xfId="1848"/>
    <cellStyle name="원_부장님요청_Feedback-일반활성화FY'07.2분기-품의" xfId="1849"/>
    <cellStyle name="원_부장님요청_FY'06년 자동차보험 매출계획 5(안)-1" xfId="1850"/>
    <cellStyle name="원_부장님요청_FY'06년 자동차보험 매출계획 5(안)-2" xfId="1851"/>
    <cellStyle name="원_부장님요청_FY'06년 자동차보험 매출계획 기획실송부 요약" xfId="1852"/>
    <cellStyle name="원_부장님요청_FY07 매출계획 작성양식(최종송부)" xfId="1853"/>
    <cellStyle name="원_부장님요청_TM-FY'07.중간피드백-6" xfId="1854"/>
    <cellStyle name="원_부장님요청_TM대리점활성화방안(0928)" xfId="1855"/>
    <cellStyle name="원_부장님요청_TM대리점활성화방안(0930)-1" xfId="1856"/>
    <cellStyle name="원_부장님요청_TM신상품개발검토의견(20060327)" xfId="1857"/>
    <cellStyle name="원_부장님요청_TM신청서(최종)-마지부(1229)" xfId="1858"/>
    <cellStyle name="원_부장님요청_부문별월별매출계획(070330기획실)" xfId="1859"/>
    <cellStyle name="원_부장님요청_신상품재검토(20040417)" xfId="1860"/>
    <cellStyle name="원_부장님요청_업체선정평가표(장기tm-20051201)-장원제(최종)" xfId="1861"/>
    <cellStyle name="원_부장님요청_인수지침관련의견" xfId="1862"/>
    <cellStyle name="원_부장님요청_장기TM대리점지원및관리규정(20051216-발송용)" xfId="1863"/>
    <cellStyle name="원_부장님요청_장기보험목표달성방안(070903-2)" xfId="1864"/>
    <cellStyle name="원_부장님요청_장기특성별실적_조정후(가안)" xfId="1865"/>
    <cellStyle name="원_부장님요청_통신판매가이드라인정리(최종)" xfId="1866"/>
    <cellStyle name="원_부장님요청_하이라이프다이렉트수수료안(20060522)" xfId="1867"/>
    <cellStyle name="원_비계수평가3분기메인(1)" xfId="1868"/>
    <cellStyle name="원_상위사월납기준비교(03.10" xfId="1869"/>
    <cellStyle name="원_상위사월납기준비교(03.10_Feedback-일반활성화FY'07.2분기-품의" xfId="1870"/>
    <cellStyle name="원_상위사월납기준비교(03.10_FY'06장기보험매출계획(유지율)" xfId="1871"/>
    <cellStyle name="원_상위사월납기준비교(03.10_FY'07 매출추정(0130)-3차(목표문구)" xfId="1872"/>
    <cellStyle name="원_상위사월납기준비교(03.10_FY'07점포영업전략(070403)" xfId="1873"/>
    <cellStyle name="원_상위사월납기준비교(03.10_보장자산증대방안" xfId="1874"/>
    <cellStyle name="원_설문집계양식" xfId="1875"/>
    <cellStyle name="원_세부추진+계획(1차보고용)" xfId="1876"/>
    <cellStyle name="원_세부추진+계획(1차보고용)_3083072006010511200705150661_TM신청서(최종)" xfId="1877"/>
    <cellStyle name="원_세부추진+계획(1차보고용)_7-9월설치분집행(1018)" xfId="1878"/>
    <cellStyle name="원_세부추진+계획(1차보고용)_Feedback-일반활성화FY'07.2분기-품의" xfId="1879"/>
    <cellStyle name="원_세부추진+계획(1차보고용)_TM-FY'07.중간피드백-6" xfId="1880"/>
    <cellStyle name="원_세부추진+계획(1차보고용)_TM대리점활성화방안(0928)" xfId="1881"/>
    <cellStyle name="원_세부추진+계획(1차보고용)_TM대리점활성화방안(0930)-1" xfId="1882"/>
    <cellStyle name="원_세부추진+계획(1차보고용)_TM신상품개발검토의견(20060327)" xfId="1883"/>
    <cellStyle name="원_세부추진+계획(1차보고용)_TM현황(051223)일반" xfId="1884"/>
    <cellStyle name="원_세부추진+계획(1차보고용)_부문별월별매출계획(070330기획실)" xfId="1885"/>
    <cellStyle name="원_세부추진+계획(1차보고용)_신상품재검토(20040417)" xfId="1886"/>
    <cellStyle name="원_세부추진+계획(1차보고용)_업체선정평가표(장기tm-20051201)-장원제(최종)" xfId="1887"/>
    <cellStyle name="원_세부추진+계획(1차보고용)_업추비개선(초안)" xfId="1888"/>
    <cellStyle name="원_세부추진+계획(1차보고용)_유지율개선실시사항(050901)" xfId="1889"/>
    <cellStyle name="원_세부추진+계획(1차보고용)_인수지침관련의견" xfId="1890"/>
    <cellStyle name="원_세부추진+계획(1차보고용)_일반보험보고(0801)-3" xfId="1891"/>
    <cellStyle name="원_세부추진+계획(1차보고용)_장기TM관리업무지침안(보완-0105)" xfId="1892"/>
    <cellStyle name="원_세부추진+계획(1차보고용)_장기TM관리지침별첨(최종-0614)" xfId="1893"/>
    <cellStyle name="원_세부추진+계획(1차보고용)_장기TM대리점지원및관리규정(20051216-발송용)" xfId="1894"/>
    <cellStyle name="원_세부추진+계획(1차보고용)_장기TM대리점지원및관리규정(200512-발송)" xfId="1895"/>
    <cellStyle name="원_세부추진+계획(1차보고용)_장기보험목표달성방안(070903-2)" xfId="1896"/>
    <cellStyle name="원_세부추진+계획(1차보고용)_장기특성별실적_조정후(가안)" xfId="1897"/>
    <cellStyle name="원_세부추진+계획(1차보고용)_통신판매가이드라인정리(최종)" xfId="1898"/>
    <cellStyle name="원_세부추진+계획(1차보고용)_프리스타일(수당업)" xfId="1899"/>
    <cellStyle name="원_세부추진+계획(1차보고용)_하이라이프다이렉트수수료안(20060522)" xfId="1900"/>
    <cellStyle name="원_세부추진+계획(1차보고용)_해외여행보험활성화(060620-최종)" xfId="1901"/>
    <cellStyle name="원_세부추진+계획(1차보고용)_현대해상'05년우수대리점제안서(송부용최종1222)" xfId="1902"/>
    <cellStyle name="원_세부추진+계획(1차보고용)_현대해상'05년우수대리점제안서(송부용최종1222)_0703장기보험마감분석" xfId="1903"/>
    <cellStyle name="원_세부추진+계획(1차보고용)_현대해상'05년우수대리점제안서(송부용최종1222)_7-9월설치분집행(1018)" xfId="1904"/>
    <cellStyle name="원_세부추진+계획(1차보고용)_현대해상'05년우수대리점제안서(송부용최종1222)_Feedback-일반활성화FY'07.2분기-품의" xfId="1905"/>
    <cellStyle name="원_세부추진+계획(1차보고용)_현대해상'05년우수대리점제안서(송부용최종1222)_FY'07점포영업전략(070403)" xfId="1906"/>
    <cellStyle name="원_세부추진+계획(1차보고용)_현대해상'05년우수대리점제안서(송부용최종1222)_TM-FY'07.중간피드백-6" xfId="1907"/>
    <cellStyle name="원_세부추진+계획(1차보고용)_현대해상'05년우수대리점제안서(송부용최종1222)_TM대리점활성화방안(0928)" xfId="1908"/>
    <cellStyle name="원_세부추진+계획(1차보고용)_현대해상'05년우수대리점제안서(송부용최종1222)_TM대리점활성화방안(0930)-1" xfId="1909"/>
    <cellStyle name="원_세부추진+계획(1차보고용)_현대해상'05년우수대리점제안서(송부용최종1222)_TM신상품개발검토의견(20060327)" xfId="1910"/>
    <cellStyle name="원_세부추진+계획(1차보고용)_현대해상'05년우수대리점제안서(송부용최종1222)_TM신청서(최종)-마지부(1229)" xfId="1911"/>
    <cellStyle name="원_세부추진+계획(1차보고용)_현대해상'05년우수대리점제안서(송부용최종1222)_보장자산증대방안" xfId="1912"/>
    <cellStyle name="원_세부추진+계획(1차보고용)_현대해상'05년우수대리점제안서(송부용최종1222)_신상품재검토(20040417)" xfId="1913"/>
    <cellStyle name="원_세부추진+계획(1차보고용)_현대해상'05년우수대리점제안서(송부용최종1222)_업체선정평가표(장기tm-20051201)-장원제(최종)" xfId="1914"/>
    <cellStyle name="원_세부추진+계획(1차보고용)_현대해상'05년우수대리점제안서(송부용최종1222)_유지율개선실시사항(050901)" xfId="1915"/>
    <cellStyle name="원_세부추진+계획(1차보고용)_현대해상'05년우수대리점제안서(송부용최종1222)_인수지침관련의견" xfId="1916"/>
    <cellStyle name="원_세부추진+계획(1차보고용)_현대해상'05년우수대리점제안서(송부용최종1222)_일반보험보고(0801)-3" xfId="1917"/>
    <cellStyle name="원_세부추진+계획(1차보고용)_현대해상'05년우수대리점제안서(송부용최종1222)_장기TM관리업무지침안(보완-0105)" xfId="1918"/>
    <cellStyle name="원_세부추진+계획(1차보고용)_현대해상'05년우수대리점제안서(송부용최종1222)_장기TM관리지침별첨(최종-0614)" xfId="1919"/>
    <cellStyle name="원_세부추진+계획(1차보고용)_현대해상'05년우수대리점제안서(송부용최종1222)_장기TM대리점지원및관리규정(20051216-발송용)" xfId="1920"/>
    <cellStyle name="원_세부추진+계획(1차보고용)_현대해상'05년우수대리점제안서(송부용최종1222)_통신판매가이드라인정리(최종)" xfId="1921"/>
    <cellStyle name="원_세부추진+계획(1차보고용)_현대해상'05년우수대리점제안서(송부용최종1222)_프리스타일(수당업)" xfId="1922"/>
    <cellStyle name="원_세부추진+계획(1차보고용)_현대해상'05년우수대리점제안서(송부용최종1222)_하이라이프다이렉트수수료안(20060522)" xfId="1923"/>
    <cellStyle name="원_세부추진+계획(1차보고용)_현대해상'05년우수대리점제안서(송부용최종1222)_해외여행보험활성화(060620-최종)" xfId="1924"/>
    <cellStyle name="원_세부추진+계획(1차보고용)_현대해상'05년우수대리점제안서(송부용최종1222)_해외연수실시안(20071220)-7차-공지용" xfId="1925"/>
    <cellStyle name="원_세부추진+계획(1차보고용)_현대해상'05년우수대리점제안서(송부용최종1222)_해외연수실시안(20080130)-후꾸오까-차수조정" xfId="1926"/>
    <cellStyle name="원_세부추진+계획(1차보고용)_현장간담회 결과보고" xfId="1927"/>
    <cellStyle name="원_소장입문9907" xfId="1928"/>
    <cellStyle name="원_소장입문9907_융자실무(채권관리) 향상과정(12.01)" xfId="1929"/>
    <cellStyle name="원_손익점수(강북)" xfId="1930"/>
    <cellStyle name="원_수리분석요청판매플랜(안)" xfId="1931"/>
    <cellStyle name="원_수정본" xfId="1932"/>
    <cellStyle name="원_시장개척활성화과정(집합)" xfId="1933"/>
    <cellStyle name="원_신상품재검토(20040417)" xfId="1934"/>
    <cellStyle name="원_신인도입,육성,교육(금부가 하래)" xfId="1935"/>
    <cellStyle name="원_업계월납추이" xfId="1936"/>
    <cellStyle name="원_업계월납추이_3063932006021309511403280445_FY'06년 자동차보험 매출계획 기획실송부 요약" xfId="1937"/>
    <cellStyle name="원_업계월납추이_3063932006021314282903120496_FY'06년 자동차보험 매출계획 기획실송부 요약" xfId="1938"/>
    <cellStyle name="원_업계월납추이_306393200701221041450656000468420013_FY07 매출계획 작성양식" xfId="1939"/>
    <cellStyle name="원_업계월납추이_306393200701221329200203007251260027_FY07 매출계획 작성양식" xfId="1940"/>
    <cellStyle name="원_업계월납추이_306393200701250903550250090628260030_FY07 매출계획 작성양식" xfId="1941"/>
    <cellStyle name="원_업계월납추이_7-9월설치분집행(1018)" xfId="1942"/>
    <cellStyle name="원_업계월납추이_Feedback-일반활성화FY'07.2분기-품의" xfId="1943"/>
    <cellStyle name="원_업계월납추이_FY'06년 자동차보험 매출계획 5(안)-1" xfId="1944"/>
    <cellStyle name="원_업계월납추이_FY'06년 자동차보험 매출계획 5(안)-2" xfId="1945"/>
    <cellStyle name="원_업계월납추이_FY'06년 자동차보험 매출계획 기획실송부 요약" xfId="1946"/>
    <cellStyle name="원_업계월납추이_FY07 매출계획 작성양식(최종송부)" xfId="1947"/>
    <cellStyle name="원_업계월납추이_TM-FY'07.중간피드백-6" xfId="1948"/>
    <cellStyle name="원_업계월납추이_TM대리점활성화방안(0928)" xfId="1949"/>
    <cellStyle name="원_업계월납추이_TM대리점활성화방안(0930)-1" xfId="1950"/>
    <cellStyle name="원_업계월납추이_TM신상품개발검토의견(20060327)" xfId="1951"/>
    <cellStyle name="원_업계월납추이_TM신청서(최종)-마지부(1229)" xfId="1952"/>
    <cellStyle name="원_업계월납추이_부문별월별매출계획(070330기획실)" xfId="1953"/>
    <cellStyle name="원_업계월납추이_신상품재검토(20040417)" xfId="1954"/>
    <cellStyle name="원_업계월납추이_업체선정평가표(장기tm-20051201)-장원제(최종)" xfId="1955"/>
    <cellStyle name="원_업계월납추이_인수지침관련의견" xfId="1956"/>
    <cellStyle name="원_업계월납추이_장기TM대리점지원및관리규정(20051216-발송용)" xfId="1957"/>
    <cellStyle name="원_업계월납추이_장기보험목표달성방안(070903-2)" xfId="1958"/>
    <cellStyle name="원_업계월납추이_장기특성별실적_조정후(가안)" xfId="1959"/>
    <cellStyle name="원_업계월납추이_통신판매가이드라인정리(최종)" xfId="1960"/>
    <cellStyle name="원_업계월납추이_하이라이프다이렉트수수료안(20060522)" xfId="1961"/>
    <cellStyle name="원_업계장기신계속현황" xfId="1962"/>
    <cellStyle name="원_업계지표현황" xfId="1963"/>
    <cellStyle name="원_업계지표현황_Feedback-일반활성화FY'07.2분기-품의" xfId="1964"/>
    <cellStyle name="원_업계지표현황_FY'06장기보험매출계획(유지율)" xfId="1965"/>
    <cellStyle name="원_업계지표현황_FY'07점포영업전략(070403)" xfId="1966"/>
    <cellStyle name="원_업계지표현황_보장자산증대방안" xfId="1967"/>
    <cellStyle name="원_업무기술서(2005.4.1자 점포변동관련)" xfId="1968"/>
    <cellStyle name="원_업무보고2004" xfId="1969"/>
    <cellStyle name="원_업추비개선(초안)" xfId="1970"/>
    <cellStyle name="원_연간마감현황" xfId="1971"/>
    <cellStyle name="원_영업가족 영업소별 합격현황(03.05~)" xfId="1972"/>
    <cellStyle name="원_영업가족 영업소별 합격현황(03.05~)_Feedback-일반활성화FY'07.2분기-품의" xfId="1973"/>
    <cellStyle name="원_영업가족 영업소별 합격현황(03.05~)_FY'06장기보험매출계획(유지율)" xfId="1974"/>
    <cellStyle name="원_영업가족 영업소별 합격현황(03.05~)_FY'07점포영업전략(070403)" xfId="1975"/>
    <cellStyle name="원_영업가족 영업소별 합격현황(03.05~)_보장자산증대방안" xfId="1976"/>
    <cellStyle name="원_영업가족+영업소별+합격현황(03.05~)" xfId="1977"/>
    <cellStyle name="원_영업가족+영업소별+합격현황(03.05~)_Feedback-일반활성화FY'07.2분기-품의" xfId="1978"/>
    <cellStyle name="원_영업가족+영업소별+합격현황(03.05~)_FY'06장기보험매출계획(유지율)" xfId="1979"/>
    <cellStyle name="원_영업가족+영업소별+합격현황(03.05~)_FY'07점포영업전략(070403)" xfId="1980"/>
    <cellStyle name="원_영업가족+영업소별+합격현황(03.05~)_보장자산증대방안" xfId="1981"/>
    <cellStyle name="원_영업가족+영업소별+합격현황+03+11+17(03.05~)" xfId="1982"/>
    <cellStyle name="원_영업가족+영업소별+합격현황+03+11+17(03.05~)_3063932006021309511403280445_FY'06년 자동차보험 매출계획 기획실송부 요약" xfId="1983"/>
    <cellStyle name="원_영업가족+영업소별+합격현황+03+11+17(03.05~)_3063932006021314282903120496_FY'06년 자동차보험 매출계획 기획실송부 요약" xfId="1984"/>
    <cellStyle name="원_영업가족+영업소별+합격현황+03+11+17(03.05~)_306393200701221041450656000468420013_FY07 매출계획 작성양식" xfId="1985"/>
    <cellStyle name="원_영업가족+영업소별+합격현황+03+11+17(03.05~)_306393200701221329200203007251260027_FY07 매출계획 작성양식" xfId="1986"/>
    <cellStyle name="원_영업가족+영업소별+합격현황+03+11+17(03.05~)_306393200701250903550250090628260030_FY07 매출계획 작성양식" xfId="1987"/>
    <cellStyle name="원_영업가족+영업소별+합격현황+03+11+17(03.05~)_7-9월설치분집행(1018)" xfId="1988"/>
    <cellStyle name="원_영업가족+영업소별+합격현황+03+11+17(03.05~)_Feedback-일반활성화FY'07.2분기-품의" xfId="1989"/>
    <cellStyle name="원_영업가족+영업소별+합격현황+03+11+17(03.05~)_FY'06년 자동차보험 매출계획 5(안)-1" xfId="1990"/>
    <cellStyle name="원_영업가족+영업소별+합격현황+03+11+17(03.05~)_FY'06년 자동차보험 매출계획 5(안)-2" xfId="1991"/>
    <cellStyle name="원_영업가족+영업소별+합격현황+03+11+17(03.05~)_FY'06년 자동차보험 매출계획 기획실송부 요약" xfId="1992"/>
    <cellStyle name="원_영업가족+영업소별+합격현황+03+11+17(03.05~)_FY07 매출계획 작성양식(최종송부)" xfId="1993"/>
    <cellStyle name="원_영업가족+영업소별+합격현황+03+11+17(03.05~)_TM-FY'07.중간피드백-6" xfId="1994"/>
    <cellStyle name="원_영업가족+영업소별+합격현황+03+11+17(03.05~)_TM대리점활성화방안(0928)" xfId="1995"/>
    <cellStyle name="원_영업가족+영업소별+합격현황+03+11+17(03.05~)_TM대리점활성화방안(0930)-1" xfId="1996"/>
    <cellStyle name="원_영업가족+영업소별+합격현황+03+11+17(03.05~)_TM신상품개발검토의견(20060327)" xfId="1997"/>
    <cellStyle name="원_영업가족+영업소별+합격현황+03+11+17(03.05~)_TM신청서(최종)-마지부(1229)" xfId="1998"/>
    <cellStyle name="원_영업가족+영업소별+합격현황+03+11+17(03.05~)_부문별월별매출계획(070330기획실)" xfId="1999"/>
    <cellStyle name="원_영업가족+영업소별+합격현황+03+11+17(03.05~)_신상품재검토(20040417)" xfId="2000"/>
    <cellStyle name="원_영업가족+영업소별+합격현황+03+11+17(03.05~)_업체선정평가표(장기tm-20051201)-장원제(최종)" xfId="2001"/>
    <cellStyle name="원_영업가족+영업소별+합격현황+03+11+17(03.05~)_인수지침관련의견" xfId="2002"/>
    <cellStyle name="원_영업가족+영업소별+합격현황+03+11+17(03.05~)_장기TM대리점지원및관리규정(20051216-발송용)" xfId="2003"/>
    <cellStyle name="원_영업가족+영업소별+합격현황+03+11+17(03.05~)_장기보험목표달성방안(070903-2)" xfId="2004"/>
    <cellStyle name="원_영업가족+영업소별+합격현황+03+11+17(03.05~)_장기특성별실적_조정후(가안)" xfId="2005"/>
    <cellStyle name="원_영업가족+영업소별+합격현황+03+11+17(03.05~)_통신판매가이드라인정리(최종)" xfId="2006"/>
    <cellStyle name="원_영업가족+영업소별+합격현황+03+11+17(03.05~)_하이라이프다이렉트수수료안(20060522)" xfId="2007"/>
    <cellStyle name="원_영업가족별 자동차실적추이7월(723)" xfId="2008"/>
    <cellStyle name="원_영업소팀장회의030703" xfId="2009"/>
    <cellStyle name="원_영업소팀장회의030722" xfId="2010"/>
    <cellStyle name="원_영업소팀장회의030811" xfId="2011"/>
    <cellStyle name="원_영업소평가 변경 (24분기)" xfId="2012"/>
    <cellStyle name="원_예산시뮬" xfId="2013"/>
    <cellStyle name="원_우수대리점본부보고(북부)" xfId="2014"/>
    <cellStyle name="원_우수대리점본부보고(서강)" xfId="2015"/>
    <cellStyle name="원_우수대리점본부보고(서강)_3058752004021610345903850617_타사유치 진행현황-본부보고용" xfId="2016"/>
    <cellStyle name="원_우수대리점본부보고(서강)_우수대리점본부보고(서강)" xfId="2017"/>
    <cellStyle name="원_우수대리점본부보고(서강)_우수대리점본부보고(서강)_1" xfId="2018"/>
    <cellStyle name="원_우수대리점본부보고(서강)_우수대리점본부보고(은평)" xfId="2019"/>
    <cellStyle name="원_우수대리점본부보고(서강)_우수대리점본부보고(일산)" xfId="2020"/>
    <cellStyle name="원_우수대리점본부보고(서강)_우수대리점유치(0219)" xfId="2021"/>
    <cellStyle name="원_우수대리점유치현황(북부)" xfId="2022"/>
    <cellStyle name="원_울산중앙" xfId="2023"/>
    <cellStyle name="원_월별(인쇄편집용) - FY2005 事業計劃" xfId="2024"/>
    <cellStyle name="원_월보" xfId="2025"/>
    <cellStyle name="원_월보_3063932006021309511403280445_FY'06년 자동차보험 매출계획 기획실송부 요약" xfId="2026"/>
    <cellStyle name="원_월보_3063932006021314282903120496_FY'06년 자동차보험 매출계획 기획실송부 요약" xfId="2027"/>
    <cellStyle name="원_월보_306393200701221041450656000468420013_FY07 매출계획 작성양식" xfId="2028"/>
    <cellStyle name="원_월보_306393200701221329200203007251260027_FY07 매출계획 작성양식" xfId="2029"/>
    <cellStyle name="원_월보_306393200701250903550250090628260030_FY07 매출계획 작성양식" xfId="2030"/>
    <cellStyle name="원_월보_7-9월설치분집행(1018)" xfId="2031"/>
    <cellStyle name="원_월보_FY'06년 자동차보험 매출계획 5(안)-1" xfId="2032"/>
    <cellStyle name="원_월보_FY'06년 자동차보험 매출계획 5(안)-2" xfId="2033"/>
    <cellStyle name="원_월보_FY'06년 자동차보험 매출계획 기획실송부 요약" xfId="2034"/>
    <cellStyle name="원_월보_FY07 매출계획 작성양식(최종송부)" xfId="2035"/>
    <cellStyle name="원_월보_PLACARD" xfId="2036"/>
    <cellStyle name="원_월보_TM대리점활성화방안(0928)" xfId="2037"/>
    <cellStyle name="원_월보_TM대리점활성화방안(0930)-1" xfId="2038"/>
    <cellStyle name="원_월보_TM신상품개발검토의견(20060327)" xfId="2039"/>
    <cellStyle name="원_월보_TM신청서(최종)-마지부(1229)" xfId="2040"/>
    <cellStyle name="원_월보_tm활성화(예산수정)" xfId="2041"/>
    <cellStyle name="원_월보_마지부승인(0512 -5차)" xfId="2042"/>
    <cellStyle name="원_월보_업체선정평가표(장기tm-20051201)-장원제(최종)" xfId="2043"/>
    <cellStyle name="원_월보_유지율개선실시사항(050901)" xfId="2044"/>
    <cellStyle name="원_월보_인수지침관련의견" xfId="2045"/>
    <cellStyle name="원_월보_일반보험보고(0801)-3" xfId="2046"/>
    <cellStyle name="원_월보_장기TM관리업무지침안(보완-0105)" xfId="2047"/>
    <cellStyle name="원_월보_장기TM관리지침별첨(최종-0614)" xfId="2048"/>
    <cellStyle name="원_월보_장기TM대리점지원및관리규정(20051216-발송용)" xfId="2049"/>
    <cellStyle name="원_월보_장기TM활성화방안(11월-결재예산보완본)-최종판" xfId="2050"/>
    <cellStyle name="원_월보_참석자명단(대리점)" xfId="2051"/>
    <cellStyle name="원_월보_해외여행보험활성화(060620-최종)" xfId="2052"/>
    <cellStyle name="원_유지율개선실시사항(050901)" xfId="2053"/>
    <cellStyle name="원_육성인원" xfId="2054"/>
    <cellStyle name="원_육성현황(김미연)" xfId="2055"/>
    <cellStyle name="원_육성현황(김미연)_030714소장회의" xfId="2056"/>
    <cellStyle name="원_육성현황(김미연)_03일사분기실적현황" xfId="2057"/>
    <cellStyle name="원_육성현황(김미연)_10월 예상 GRADE1013  " xfId="2058"/>
    <cellStyle name="원_육성현황(김미연)_11월 GRADE예상1101" xfId="2059"/>
    <cellStyle name="원_육성현황(김미연)_2분기 조직부문예상902" xfId="2060"/>
    <cellStyle name="원_육성현황(김미연)_3분기예상실적1014" xfId="2061"/>
    <cellStyle name="원_육성현황(김미연)_610타사유치현황" xfId="2062"/>
    <cellStyle name="원_육성현황(김미연)_610타사유치현황_RC관리율(분기별)926" xfId="2063"/>
    <cellStyle name="원_육성현황(김미연)_6월10일본부장회의자료" xfId="2064"/>
    <cellStyle name="원_육성현황(김미연)_7월16일본부장회의" xfId="2065"/>
    <cellStyle name="원_육성현황(김미연)_7월실적현황일천만원87" xfId="2066"/>
    <cellStyle name="원_육성현황(김미연)_7월아침에해야할일" xfId="2067"/>
    <cellStyle name="원_육성현황(김미연)_8월부보율(성무현)" xfId="2068"/>
    <cellStyle name="원_육성현황(김미연)_9월GRADE예상98보고" xfId="2069"/>
    <cellStyle name="원_육성현황(김미연)_9월GRADE재작성915" xfId="2070"/>
    <cellStyle name="원_육성현황(김미연)_매출계획7월확정분88" xfId="2071"/>
    <cellStyle name="원_육성현황(김미연)_영업가족별 자동차실적추이7월(723)" xfId="2072"/>
    <cellStyle name="원_육성현황(김미연)_자동차유입실적갱신520" xfId="2073"/>
    <cellStyle name="원_육성현황(김미연)_자동차유입실적갱신520_RC관리율(분기별)926" xfId="2074"/>
    <cellStyle name="원_육성현황(김미연)_팀장회의530" xfId="2075"/>
    <cellStyle name="원_융자실무(채권관리) 향상과정(12.01)" xfId="2076"/>
    <cellStyle name="원_이사님급" xfId="2077"/>
    <cellStyle name="원_이탈고객그룹_060928(양동춘GJN)" xfId="2078"/>
    <cellStyle name="원_인센티브34(본부장)" xfId="2079"/>
    <cellStyle name="원_인수지침관련의견" xfId="2080"/>
    <cellStyle name="원_일반 매출보고 案 (0312)" xfId="2081"/>
    <cellStyle name="원_일반보험-11월마감보고회의부속자료" xfId="2082"/>
    <cellStyle name="원_일반보험보고(0801)-3" xfId="2083"/>
    <cellStyle name="원_일본연수계획(안)041216" xfId="2084"/>
    <cellStyle name="원_임원강의의뢰" xfId="2085"/>
    <cellStyle name="원_임원안내용" xfId="2086"/>
    <cellStyle name="원_임원평가자료" xfId="2087"/>
    <cellStyle name="원_임원회의 양식05년1월" xfId="2088"/>
    <cellStyle name="원_임원회의(04.10.4)수정" xfId="2089"/>
    <cellStyle name="원_임원회의(05.4.4)최종" xfId="2090"/>
    <cellStyle name="원_임원회의(05.5.30)수정3" xfId="2091"/>
    <cellStyle name="원_임원회의(05.8.8)수정" xfId="2092"/>
    <cellStyle name="원_임원회의(05.9.26)" xfId="2093"/>
    <cellStyle name="원_임원회의(05.9.5)" xfId="2094"/>
    <cellStyle name="원_임원회의(06.3.6)3.6" xfId="2095"/>
    <cellStyle name="원_임원회의11월(기업보험총괄)" xfId="2096"/>
    <cellStyle name="원_임원회의참고자료" xfId="2097"/>
    <cellStyle name="원_임원회의참고자료(최종)" xfId="2098"/>
    <cellStyle name="원_임원회의참고자료(최종)_3063932006021309511403280445_FY'06년 자동차보험 매출계획 기획실송부 요약" xfId="2099"/>
    <cellStyle name="원_임원회의참고자료(최종)_3063932006021314282903120496_FY'06년 자동차보험 매출계획 기획실송부 요약" xfId="2100"/>
    <cellStyle name="원_임원회의참고자료(최종)_306393200701221041450656000468420013_FY07 매출계획 작성양식" xfId="2101"/>
    <cellStyle name="원_임원회의참고자료(최종)_306393200701221329200203007251260027_FY07 매출계획 작성양식" xfId="2102"/>
    <cellStyle name="원_임원회의참고자료(최종)_306393200701250903550250090628260030_FY07 매출계획 작성양식" xfId="2103"/>
    <cellStyle name="원_임원회의참고자료(최종)_7-9월설치분집행(1018)" xfId="2104"/>
    <cellStyle name="원_임원회의참고자료(최종)_Feedback-일반활성화FY'07.2분기-품의" xfId="2105"/>
    <cellStyle name="원_임원회의참고자료(최종)_FY'06년 자동차보험 매출계획 5(안)-1" xfId="2106"/>
    <cellStyle name="원_임원회의참고자료(최종)_FY'06년 자동차보험 매출계획 5(안)-2" xfId="2107"/>
    <cellStyle name="원_임원회의참고자료(최종)_FY'06년 자동차보험 매출계획 기획실송부 요약" xfId="2108"/>
    <cellStyle name="원_임원회의참고자료(최종)_FY07 매출계획 작성양식(최종송부)" xfId="2109"/>
    <cellStyle name="원_임원회의참고자료(최종)_TM-FY'07.중간피드백-6" xfId="2110"/>
    <cellStyle name="원_임원회의참고자료(최종)_TM대리점활성화방안(0928)" xfId="2111"/>
    <cellStyle name="원_임원회의참고자료(최종)_TM대리점활성화방안(0930)-1" xfId="2112"/>
    <cellStyle name="원_임원회의참고자료(최종)_TM신상품개발검토의견(20060327)" xfId="2113"/>
    <cellStyle name="원_임원회의참고자료(최종)_TM신청서(최종)-마지부(1229)" xfId="2114"/>
    <cellStyle name="원_임원회의참고자료(최종)_부문별월별매출계획(070330기획실)" xfId="2115"/>
    <cellStyle name="원_임원회의참고자료(최종)_신상품재검토(20040417)" xfId="2116"/>
    <cellStyle name="원_임원회의참고자료(최종)_업체선정평가표(장기tm-20051201)-장원제(최종)" xfId="2117"/>
    <cellStyle name="원_임원회의참고자료(최종)_인수지침관련의견" xfId="2118"/>
    <cellStyle name="원_임원회의참고자료(최종)_장기TM대리점지원및관리규정(20051216-발송용)" xfId="2119"/>
    <cellStyle name="원_임원회의참고자료(최종)_장기보험목표달성방안(070903-2)" xfId="2120"/>
    <cellStyle name="원_임원회의참고자료(최종)_장기특성별실적_조정후(가안)" xfId="2121"/>
    <cellStyle name="원_임원회의참고자료(최종)_통신판매가이드라인정리(최종)" xfId="2122"/>
    <cellStyle name="원_임원회의참고자료(최종)_하이라이프다이렉트수수료안(20060522)" xfId="2123"/>
    <cellStyle name="원_임원회의참고자료_1" xfId="2124"/>
    <cellStyle name="원_임원회의참고자료_3063932006021309511403280445_FY'06년 자동차보험 매출계획 기획실송부 요약" xfId="2125"/>
    <cellStyle name="원_임원회의참고자료_3063932006021314282903120496_FY'06년 자동차보험 매출계획 기획실송부 요약" xfId="2126"/>
    <cellStyle name="원_임원회의참고자료_306393200701221041450656000468420013_FY07 매출계획 작성양식" xfId="2127"/>
    <cellStyle name="원_임원회의참고자료_306393200701221329200203007251260027_FY07 매출계획 작성양식" xfId="2128"/>
    <cellStyle name="원_임원회의참고자료_306393200701250903550250090628260030_FY07 매출계획 작성양식" xfId="2129"/>
    <cellStyle name="원_임원회의참고자료_7-9월설치분집행(1018)" xfId="2130"/>
    <cellStyle name="원_임원회의참고자료_FY'06년 자동차보험 매출계획 5(안)-1" xfId="2131"/>
    <cellStyle name="원_임원회의참고자료_FY'06년 자동차보험 매출계획 5(안)-2" xfId="2132"/>
    <cellStyle name="원_임원회의참고자료_FY'06년 자동차보험 매출계획 기획실송부 요약" xfId="2133"/>
    <cellStyle name="원_임원회의참고자료_FY07 매출계획 작성양식(최종송부)" xfId="2134"/>
    <cellStyle name="원_임원회의참고자료_PLACARD" xfId="2135"/>
    <cellStyle name="원_임원회의참고자료_TM대리점활성화방안(0928)" xfId="2136"/>
    <cellStyle name="원_임원회의참고자료_TM대리점활성화방안(0930)-1" xfId="2137"/>
    <cellStyle name="원_임원회의참고자료_TM신상품개발검토의견(20060327)" xfId="2138"/>
    <cellStyle name="원_임원회의참고자료_TM신청서(최종)-마지부(1229)" xfId="2139"/>
    <cellStyle name="원_임원회의참고자료_tm활성화(예산수정)" xfId="2140"/>
    <cellStyle name="원_임원회의참고자료_마지부승인(0512 -5차)" xfId="2141"/>
    <cellStyle name="원_임원회의참고자료_업체선정평가표(장기tm-20051201)-장원제(최종)" xfId="2142"/>
    <cellStyle name="원_임원회의참고자료_인수지침관련의견" xfId="2143"/>
    <cellStyle name="원_임원회의참고자료_장기TM대리점지원및관리규정(20051216-발송용)" xfId="2144"/>
    <cellStyle name="원_임원회의참고자료_장기TM활성화방안(11월-결재예산보완본)-최종판" xfId="2145"/>
    <cellStyle name="원_임원회의참고자료_참석자명단(대리점)" xfId="2146"/>
    <cellStyle name="원_자동차(발송용)" xfId="2147"/>
    <cellStyle name="원_자동차(발송용)_7-9월설치분집행(1018)" xfId="2148"/>
    <cellStyle name="원_자동차(발송용)_Feedback-일반활성화FY'07.2분기-품의" xfId="2149"/>
    <cellStyle name="원_자동차(발송용)_TM-FY'07.중간피드백-6" xfId="2150"/>
    <cellStyle name="원_자동차(발송용)_TM대리점활성화방안(0928)" xfId="2151"/>
    <cellStyle name="원_자동차(발송용)_TM대리점활성화방안(0930)-1" xfId="2152"/>
    <cellStyle name="원_자동차(발송용)_TM신상품개발검토의견(20060327)" xfId="2153"/>
    <cellStyle name="원_자동차(발송용)_TM신청서(최종)-마지부(1229)" xfId="2154"/>
    <cellStyle name="원_자동차(발송용)_부문별월별매출계획(070330기획실)" xfId="2155"/>
    <cellStyle name="원_자동차(발송용)_신상품재검토(20040417)" xfId="2156"/>
    <cellStyle name="원_자동차(발송용)_업체선정평가표(장기tm-20051201)-장원제(최종)" xfId="2157"/>
    <cellStyle name="원_자동차(발송용)_업추비개선(초안)" xfId="2158"/>
    <cellStyle name="원_자동차(발송용)_인수지침관련의견" xfId="2159"/>
    <cellStyle name="원_자동차(발송용)_장기TM대리점지원및관리규정(20051216-발송용)" xfId="2160"/>
    <cellStyle name="원_자동차(발송용)_장기보험목표달성방안(070903-2)" xfId="2161"/>
    <cellStyle name="원_자동차(발송용)_장기특성별실적_조정후(가안)" xfId="2162"/>
    <cellStyle name="원_자동차(발송용)_통신판매가이드라인정리(최종)" xfId="2163"/>
    <cellStyle name="원_자동차(발송용)_하이라이프다이렉트수수료안(20060522)" xfId="2164"/>
    <cellStyle name="원_자동차(발송용)_현장간담회 결과보고" xfId="2165"/>
    <cellStyle name="원_자동차갱신율" xfId="2166"/>
    <cellStyle name="원_자동차갱신율(0406)" xfId="2167"/>
    <cellStyle name="원_자동차마감실적(9월2차)" xfId="2168"/>
    <cellStyle name="원_자동차부진" xfId="2169"/>
    <cellStyle name="원_장기TM관리업무지침안(보완-0105)" xfId="2170"/>
    <cellStyle name="원_장기TM관리지침별첨(최종-0614)" xfId="2171"/>
    <cellStyle name="원_장기TM대리점지원및관리규정(20051216-발송용)" xfId="2172"/>
    <cellStyle name="원_장기TM대리점지원및관리규정(200512-발송)" xfId="2173"/>
    <cellStyle name="원_장기TM활성화방안(11월-결재예산보완본)-최종판" xfId="2174"/>
    <cellStyle name="원_장기마감실적(8월4차)" xfId="2175"/>
    <cellStyle name="원_장기목표" xfId="2176"/>
    <cellStyle name="원_장기보험 위험손해율( 2006.10월 )및 유지율 현황자료" xfId="2177"/>
    <cellStyle name="원_장기보험 위험손해율( 2006.11월 )및 유지율 현황자료" xfId="2178"/>
    <cellStyle name="원_장기보험 위험손해율( 2006.12월 )및 유지율 현황자료" xfId="2179"/>
    <cellStyle name="원_장기보험 위험손해율( 2006.5월 )및 유지율 현황자료" xfId="2180"/>
    <cellStyle name="원_장기보험 위험손해율( 2006.6월 )및 유지율 현황자료" xfId="2181"/>
    <cellStyle name="원_장기보험 위험손해율( 2006.7월 )및 유지율 현황자료" xfId="2182"/>
    <cellStyle name="원_장기보험 위험손해율( 2006.8월 )및 유지율 현황자료" xfId="2183"/>
    <cellStyle name="원_장기보험 위험손해율( 2006.9월 )및 유지율 현황자료" xfId="2184"/>
    <cellStyle name="원_장기보험 위험손해율( 2007.10월 ) 현황자료" xfId="2185"/>
    <cellStyle name="원_장기보험 위험손해율( 2007.1월 )및 유지율 현황자료" xfId="2186"/>
    <cellStyle name="원_장기보험 위험손해율( 2007.2월 )및 유지율 현황자료" xfId="2187"/>
    <cellStyle name="원_장기보험 위험손해율( 2007.3월 ) 현황자료" xfId="2188"/>
    <cellStyle name="원_장기보험 위험손해율( 2007.4월 ) 현황자료" xfId="2189"/>
    <cellStyle name="원_장기보험 위험손해율( 2007.5월 ) 현황자료" xfId="2190"/>
    <cellStyle name="원_장기보험 위험손해율( 2007.6월 ) 현황자료" xfId="2191"/>
    <cellStyle name="원_장기보험 위험손해율( 2007.7월 ) 현황자료" xfId="2192"/>
    <cellStyle name="원_장기보험 위험손해율( 2007.8월 ) 현황자료" xfId="2193"/>
    <cellStyle name="원_장기보험 위험손해율( 2007.9월 ) 현황자료" xfId="2194"/>
    <cellStyle name="원_장기보험+위험손해율(+2006.4월+)및+유지율+현황자료" xfId="2195"/>
    <cellStyle name="원_장기보험매출계획검토(060904)본부장회의" xfId="2196"/>
    <cellStyle name="원_장기보험목표달성방안(070903-2)" xfId="2197"/>
    <cellStyle name="원_장기보험추가목표부여검토(0609)" xfId="2198"/>
    <cellStyle name="원_장기부활캠페인" xfId="2199"/>
    <cellStyle name="원_장기시상안(3월)수정" xfId="2200"/>
    <cellStyle name="원_장기실효_0107체결현황" xfId="2201"/>
    <cellStyle name="원_장기실효_1205체결현황" xfId="2202"/>
    <cellStyle name="원_장기유지율(0406)" xfId="2203"/>
    <cellStyle name="원_장기특성별실적_조정후(가안)" xfId="2204"/>
    <cellStyle name="원_저축성노조협의(040426)" xfId="2205"/>
    <cellStyle name="원_저축성문제" xfId="2206"/>
    <cellStyle name="원_저축성문제_3063932006021309511403280445_FY'06년 자동차보험 매출계획 기획실송부 요약" xfId="2207"/>
    <cellStyle name="원_저축성문제_3063932006021314282903120496_FY'06년 자동차보험 매출계획 기획실송부 요약" xfId="2208"/>
    <cellStyle name="원_저축성문제_306393200701221041450656000468420013_FY07 매출계획 작성양식" xfId="2209"/>
    <cellStyle name="원_저축성문제_306393200701221329200203007251260027_FY07 매출계획 작성양식" xfId="2210"/>
    <cellStyle name="원_저축성문제_306393200701250903550250090628260030_FY07 매출계획 작성양식" xfId="2211"/>
    <cellStyle name="원_저축성문제_7-9월설치분집행(1018)" xfId="2212"/>
    <cellStyle name="원_저축성문제_Feedback-일반활성화FY'07.2분기-품의" xfId="2213"/>
    <cellStyle name="원_저축성문제_FY'06년 자동차보험 매출계획 5(안)-1" xfId="2214"/>
    <cellStyle name="원_저축성문제_FY'06년 자동차보험 매출계획 5(안)-2" xfId="2215"/>
    <cellStyle name="원_저축성문제_FY'06년 자동차보험 매출계획 기획실송부 요약" xfId="2216"/>
    <cellStyle name="원_저축성문제_FY07 매출계획 작성양식(최종송부)" xfId="2217"/>
    <cellStyle name="원_저축성문제_TM-FY'07.중간피드백-6" xfId="2218"/>
    <cellStyle name="원_저축성문제_TM대리점활성화방안(0928)" xfId="2219"/>
    <cellStyle name="원_저축성문제_TM대리점활성화방안(0930)-1" xfId="2220"/>
    <cellStyle name="원_저축성문제_TM신상품개발검토의견(20060327)" xfId="2221"/>
    <cellStyle name="원_저축성문제_TM신청서(최종)-마지부(1229)" xfId="2222"/>
    <cellStyle name="원_저축성문제_부문별월별매출계획(070330기획실)" xfId="2223"/>
    <cellStyle name="원_저축성문제_신상품재검토(20040417)" xfId="2224"/>
    <cellStyle name="원_저축성문제_업체선정평가표(장기tm-20051201)-장원제(최종)" xfId="2225"/>
    <cellStyle name="원_저축성문제_인수지침관련의견" xfId="2226"/>
    <cellStyle name="원_저축성문제_장기TM대리점지원및관리규정(20051216-발송용)" xfId="2227"/>
    <cellStyle name="원_저축성문제_장기보험목표달성방안(070903-2)" xfId="2228"/>
    <cellStyle name="원_저축성문제_장기특성별실적_조정후(가안)" xfId="2229"/>
    <cellStyle name="원_저축성문제_통신판매가이드라인정리(최종)" xfId="2230"/>
    <cellStyle name="원_저축성문제_하이라이프다이렉트수수료안(20060522)" xfId="2231"/>
    <cellStyle name="원_저축성보험대책회의(031219)" xfId="2232"/>
    <cellStyle name="원_전년대비합격자" xfId="2233"/>
    <cellStyle name="원_전년대비합격자_Feedback-일반활성화FY'07.2분기-품의" xfId="2234"/>
    <cellStyle name="원_전년대비합격자_FY'06장기보험매출계획(유지율)" xfId="2235"/>
    <cellStyle name="원_전년대비합격자_FY'07점포영업전략(070403)" xfId="2236"/>
    <cellStyle name="원_전년대비합격자_보장자산증대방안" xfId="2237"/>
    <cellStyle name="원_전략경영기본과정품의" xfId="2238"/>
    <cellStyle name="원_전략경영향상과정" xfId="2239"/>
    <cellStyle name="원_점포변동에따른 경상비 배정기준" xfId="2240"/>
    <cellStyle name="원_점포변동에따른 업추비 배정기준" xfId="2241"/>
    <cellStyle name="원_점포변동에따른 예산배정 기준" xfId="2242"/>
    <cellStyle name="원_점포지원기준(전산,빔)결재용04.2.17" xfId="2243"/>
    <cellStyle name="원_점포평가반영" xfId="2244"/>
    <cellStyle name="원_점포평가반영_우수대리점본부보고(서강)" xfId="2245"/>
    <cellStyle name="원_점포평가반영_우수대리점유치(0219)" xfId="2246"/>
    <cellStyle name="원_정리" xfId="2247"/>
    <cellStyle name="원_정리_0703장기보험마감분석" xfId="2248"/>
    <cellStyle name="원_정리_7-9월설치분집행(1018)" xfId="2249"/>
    <cellStyle name="원_정리_Feedback-일반활성화FY'07.2분기-품의" xfId="2250"/>
    <cellStyle name="원_정리_FY'07점포영업전략(070403)" xfId="2251"/>
    <cellStyle name="원_정리_TM-FY'07.중간피드백-6" xfId="2252"/>
    <cellStyle name="원_정리_TM대리점활성화방안(0928)" xfId="2253"/>
    <cellStyle name="원_정리_TM대리점활성화방안(0930)-1" xfId="2254"/>
    <cellStyle name="원_정리_TM신상품개발검토의견(20060327)" xfId="2255"/>
    <cellStyle name="원_정리_TM신청서(최종)-마지부(1229)" xfId="2256"/>
    <cellStyle name="원_정리_보장자산증대방안" xfId="2257"/>
    <cellStyle name="원_정리_신상품재검토(20040417)" xfId="2258"/>
    <cellStyle name="원_정리_업체선정평가표(장기tm-20051201)-장원제(최종)" xfId="2259"/>
    <cellStyle name="원_정리_인수지침관련의견" xfId="2260"/>
    <cellStyle name="원_정리_장기TM대리점지원및관리규정(20051216-발송용)" xfId="2261"/>
    <cellStyle name="원_정리_통신판매가이드라인정리(최종)" xfId="2262"/>
    <cellStyle name="원_정리_하이라이프다이렉트수수료안(20060522)" xfId="2263"/>
    <cellStyle name="원_정리_해외연수실시안(20071220)-7차-공지용" xfId="2264"/>
    <cellStyle name="원_정리_해외연수실시안(20080130)-후꾸오까-차수조정" xfId="2265"/>
    <cellStyle name="원_조직육성변동입력(홍진경71완료)" xfId="2266"/>
    <cellStyle name="원_조직육성변동입력(홍진경71완료)_030714소장회의" xfId="2267"/>
    <cellStyle name="원_조직육성변동입력(홍진경71완료)_03일사분기실적현황" xfId="2268"/>
    <cellStyle name="원_조직육성변동입력(홍진경71완료)_7월16일본부장회의" xfId="2269"/>
    <cellStyle name="원_조직육성변동입력(홍진경71완료)_7월아침에해야할일" xfId="2270"/>
    <cellStyle name="원_조직육성변동입력(홍진경71완료)_8월부보율(성무현)" xfId="2271"/>
    <cellStyle name="원_조편성표" xfId="2272"/>
    <cellStyle name="원_중부본부및지점영업전략방안" xfId="2273"/>
    <cellStyle name="원_질의응답0110" xfId="2274"/>
    <cellStyle name="원_질의응답0110_3063932006021309511403280445_FY'06년 자동차보험 매출계획 기획실송부 요약" xfId="2275"/>
    <cellStyle name="원_질의응답0110_3063932006021314282903120496_FY'06년 자동차보험 매출계획 기획실송부 요약" xfId="2276"/>
    <cellStyle name="원_질의응답0110_306393200701221041450656000468420013_FY07 매출계획 작성양식" xfId="2277"/>
    <cellStyle name="원_질의응답0110_306393200701221329200203007251260027_FY07 매출계획 작성양식" xfId="2278"/>
    <cellStyle name="원_질의응답0110_306393200701250903550250090628260030_FY07 매출계획 작성양식" xfId="2279"/>
    <cellStyle name="원_질의응답0110_7-9월설치분집행(1018)" xfId="2280"/>
    <cellStyle name="원_질의응답0110_FY'06년 자동차보험 매출계획 5(안)-1" xfId="2281"/>
    <cellStyle name="원_질의응답0110_FY'06년 자동차보험 매출계획 5(안)-2" xfId="2282"/>
    <cellStyle name="원_질의응답0110_FY'06년 자동차보험 매출계획 기획실송부 요약" xfId="2283"/>
    <cellStyle name="원_질의응답0110_FY07 매출계획 작성양식(최종송부)" xfId="2284"/>
    <cellStyle name="원_질의응답0110_PLACARD" xfId="2285"/>
    <cellStyle name="원_질의응답0110_TM대리점활성화방안(0928)" xfId="2286"/>
    <cellStyle name="원_질의응답0110_TM대리점활성화방안(0930)-1" xfId="2287"/>
    <cellStyle name="원_질의응답0110_TM신상품개발검토의견(20060327)" xfId="2288"/>
    <cellStyle name="원_질의응답0110_TM신청서(최종)-마지부(1229)" xfId="2289"/>
    <cellStyle name="원_질의응답0110_tm활성화(예산수정)" xfId="2290"/>
    <cellStyle name="원_질의응답0110_마지부승인(0512 -5차)" xfId="2291"/>
    <cellStyle name="원_질의응답0110_업체선정평가표(장기tm-20051201)-장원제(최종)" xfId="2292"/>
    <cellStyle name="원_질의응답0110_인수지침관련의견" xfId="2293"/>
    <cellStyle name="원_질의응답0110_장기TM대리점지원및관리규정(20051216-발송용)" xfId="2294"/>
    <cellStyle name="원_질의응답0110_장기TM활성화방안(11월-결재예산보완본)-최종판" xfId="2295"/>
    <cellStyle name="원_질의응답0110_참석자명단(대리점)" xfId="2296"/>
    <cellStyle name="원_질의응답-육성" xfId="2297"/>
    <cellStyle name="원_질의응답-육성_3063932006021309511403280445_FY'06년 자동차보험 매출계획 기획실송부 요약" xfId="2298"/>
    <cellStyle name="원_질의응답-육성_3063932006021314282903120496_FY'06년 자동차보험 매출계획 기획실송부 요약" xfId="2299"/>
    <cellStyle name="원_질의응답-육성_306393200701221041450656000468420013_FY07 매출계획 작성양식" xfId="2300"/>
    <cellStyle name="원_질의응답-육성_306393200701221329200203007251260027_FY07 매출계획 작성양식" xfId="2301"/>
    <cellStyle name="원_질의응답-육성_306393200701250903550250090628260030_FY07 매출계획 작성양식" xfId="2302"/>
    <cellStyle name="원_질의응답-육성_7-9월설치분집행(1018)" xfId="2303"/>
    <cellStyle name="원_질의응답-육성_FY'06년 자동차보험 매출계획 5(안)-1" xfId="2304"/>
    <cellStyle name="원_질의응답-육성_FY'06년 자동차보험 매출계획 5(안)-2" xfId="2305"/>
    <cellStyle name="원_질의응답-육성_FY'06년 자동차보험 매출계획 기획실송부 요약" xfId="2306"/>
    <cellStyle name="원_질의응답-육성_FY07 매출계획 작성양식(최종송부)" xfId="2307"/>
    <cellStyle name="원_질의응답-육성_PLACARD" xfId="2308"/>
    <cellStyle name="원_질의응답-육성_TM대리점활성화방안(0928)" xfId="2309"/>
    <cellStyle name="원_질의응답-육성_TM대리점활성화방안(0930)-1" xfId="2310"/>
    <cellStyle name="원_질의응답-육성_TM신상품개발검토의견(20060327)" xfId="2311"/>
    <cellStyle name="원_질의응답-육성_TM신청서(최종)-마지부(1229)" xfId="2312"/>
    <cellStyle name="원_질의응답-육성_tm활성화(예산수정)" xfId="2313"/>
    <cellStyle name="원_질의응답-육성_마지부승인(0512 -5차)" xfId="2314"/>
    <cellStyle name="원_질의응답-육성_업체선정평가표(장기tm-20051201)-장원제(최종)" xfId="2315"/>
    <cellStyle name="원_질의응답-육성_인수지침관련의견" xfId="2316"/>
    <cellStyle name="원_질의응답-육성_장기TM대리점지원및관리규정(20051216-발송용)" xfId="2317"/>
    <cellStyle name="원_질의응답-육성_장기TM활성화방안(11월-결재예산보완본)-최종판" xfId="2318"/>
    <cellStyle name="원_질의응답-육성_참석자명단(대리점)" xfId="2319"/>
    <cellStyle name="원_집행2003" xfId="2320"/>
    <cellStyle name="원_참석자명단(대리점)" xfId="2321"/>
    <cellStyle name="원_총체적장기분석" xfId="2322"/>
    <cellStyle name="원_타사 주요계약 현황(12월)" xfId="2323"/>
    <cellStyle name="원_타사 주요계약 현황(12월)_7-9월설치분집행(1018)" xfId="2324"/>
    <cellStyle name="원_타사 주요계약 현황(12월)_PLACARD" xfId="2325"/>
    <cellStyle name="원_타사 주요계약 현황(12월)_TM대리점활성화방안(0928)" xfId="2326"/>
    <cellStyle name="원_타사 주요계약 현황(12월)_TM대리점활성화방안(0930)-1" xfId="2327"/>
    <cellStyle name="원_타사 주요계약 현황(12월)_TM신상품개발검토의견(20060327)" xfId="2328"/>
    <cellStyle name="원_타사 주요계약 현황(12월)_TM신청서(최종)-마지부(1229)" xfId="2329"/>
    <cellStyle name="원_타사 주요계약 현황(12월)_tm활성화(예산수정)" xfId="2330"/>
    <cellStyle name="원_타사 주요계약 현황(12월)_마지부승인(0512 -5차)" xfId="2331"/>
    <cellStyle name="원_타사 주요계약 현황(12월)_업체선정평가표(장기tm-20051201)-장원제(최종)" xfId="2332"/>
    <cellStyle name="원_타사 주요계약 현황(12월)_인수지침관련의견" xfId="2333"/>
    <cellStyle name="원_타사 주요계약 현황(12월)_장기TM대리점지원및관리규정(20051216-발송용)" xfId="2334"/>
    <cellStyle name="원_타사 주요계약 현황(12월)_장기TM활성화방안(11월-결재예산보완본)-최종판" xfId="2335"/>
    <cellStyle name="원_타사 주요계약 현황(12월)_참석자명단(대리점)" xfId="2336"/>
    <cellStyle name="원_타사 주요계약 현황(1월)" xfId="2337"/>
    <cellStyle name="원_타사 주요계약 현황(3월)" xfId="2338"/>
    <cellStyle name="원_타사 주요계약 현황(6월)" xfId="2339"/>
    <cellStyle name="원_타사유치실적(04.4~8월)보고" xfId="2340"/>
    <cellStyle name="원_타사유치현황(본부계)" xfId="2341"/>
    <cellStyle name="원_타사유치현황(본부계)수정" xfId="2342"/>
    <cellStyle name="원_통신판매가이드라인정리(최종)" xfId="2343"/>
    <cellStyle name="원_통합보험BOOM-UP실천방안" xfId="2344"/>
    <cellStyle name="원_통합보험BOOM-UP실천방안_0703장기보험마감분석" xfId="2345"/>
    <cellStyle name="원_통합보험BOOM-UP실천방안_7-9월설치분집행(1018)" xfId="2346"/>
    <cellStyle name="원_통합보험BOOM-UP실천방안_Feedback-일반활성화FY'07.2분기-품의" xfId="2347"/>
    <cellStyle name="원_통합보험BOOM-UP실천방안_FY'07점포영업전략(070403)" xfId="2348"/>
    <cellStyle name="원_통합보험BOOM-UP실천방안_TM-FY'07.중간피드백-6" xfId="2349"/>
    <cellStyle name="원_통합보험BOOM-UP실천방안_TM대리점활성화방안(0928)" xfId="2350"/>
    <cellStyle name="원_통합보험BOOM-UP실천방안_TM대리점활성화방안(0930)-1" xfId="2351"/>
    <cellStyle name="원_통합보험BOOM-UP실천방안_TM신상품개발검토의견(20060327)" xfId="2352"/>
    <cellStyle name="원_통합보험BOOM-UP실천방안_TM신청서(최종)-마지부(1229)" xfId="2353"/>
    <cellStyle name="원_통합보험BOOM-UP실천방안_보장자산증대방안" xfId="2354"/>
    <cellStyle name="원_통합보험BOOM-UP실천방안_신상품재검토(20040417)" xfId="2355"/>
    <cellStyle name="원_통합보험BOOM-UP실천방안_업체선정평가표(장기tm-20051201)-장원제(최종)" xfId="2356"/>
    <cellStyle name="원_통합보험BOOM-UP실천방안_유지율개선실시사항(050901)" xfId="2357"/>
    <cellStyle name="원_통합보험BOOM-UP실천방안_인수지침관련의견" xfId="2358"/>
    <cellStyle name="원_통합보험BOOM-UP실천방안_일반보험보고(0801)-3" xfId="2359"/>
    <cellStyle name="원_통합보험BOOM-UP실천방안_장기TM관리업무지침안(보완-0105)" xfId="2360"/>
    <cellStyle name="원_통합보험BOOM-UP실천방안_장기TM관리지침별첨(최종-0614)" xfId="2361"/>
    <cellStyle name="원_통합보험BOOM-UP실천방안_장기TM대리점지원및관리규정(20051216-발송용)" xfId="2362"/>
    <cellStyle name="원_통합보험BOOM-UP실천방안_통신판매가이드라인정리(최종)" xfId="2363"/>
    <cellStyle name="원_통합보험BOOM-UP실천방안_하이라이프다이렉트수수료안(20060522)" xfId="2364"/>
    <cellStyle name="원_통합보험BOOM-UP실천방안_해외여행보험활성화(060620-최종)" xfId="2365"/>
    <cellStyle name="원_통합보험BOOM-UP실천방안_해외연수실시안(20071220)-7차-공지용" xfId="2366"/>
    <cellStyle name="원_통합보험BOOM-UP실천방안_해외연수실시안(20080130)-후꾸오까-차수조정" xfId="2367"/>
    <cellStyle name="원_통합보험비례수당지급기준변경안(060222)" xfId="2368"/>
    <cellStyle name="원_통합형보험마케팅정책회의자료(050418)" xfId="2369"/>
    <cellStyle name="원_통합형보험마케팅정책회의자료(050418)_0703장기보험마감분석" xfId="2370"/>
    <cellStyle name="원_통합형보험마케팅정책회의자료(050418)_7-9월설치분집행(1018)" xfId="2371"/>
    <cellStyle name="원_통합형보험마케팅정책회의자료(050418)_Feedback-일반활성화FY'07.2분기-품의" xfId="2372"/>
    <cellStyle name="원_통합형보험마케팅정책회의자료(050418)_FY'07점포영업전략(070403)" xfId="2373"/>
    <cellStyle name="원_통합형보험마케팅정책회의자료(050418)_TM-FY'07.중간피드백-6" xfId="2374"/>
    <cellStyle name="원_통합형보험마케팅정책회의자료(050418)_TM대리점활성화방안(0928)" xfId="2375"/>
    <cellStyle name="원_통합형보험마케팅정책회의자료(050418)_TM대리점활성화방안(0930)-1" xfId="2376"/>
    <cellStyle name="원_통합형보험마케팅정책회의자료(050418)_TM신상품개발검토의견(20060327)" xfId="2377"/>
    <cellStyle name="원_통합형보험마케팅정책회의자료(050418)_TM신청서(최종)-마지부(1229)" xfId="2378"/>
    <cellStyle name="원_통합형보험마케팅정책회의자료(050418)_보장자산증대방안" xfId="2379"/>
    <cellStyle name="원_통합형보험마케팅정책회의자료(050418)_신상품재검토(20040417)" xfId="2380"/>
    <cellStyle name="원_통합형보험마케팅정책회의자료(050418)_업체선정평가표(장기tm-20051201)-장원제(최종)" xfId="2381"/>
    <cellStyle name="원_통합형보험마케팅정책회의자료(050418)_유지율개선실시사항(050901)" xfId="2382"/>
    <cellStyle name="원_통합형보험마케팅정책회의자료(050418)_인수지침관련의견" xfId="2383"/>
    <cellStyle name="원_통합형보험마케팅정책회의자료(050418)_일반보험보고(0801)-3" xfId="2384"/>
    <cellStyle name="원_통합형보험마케팅정책회의자료(050418)_장기TM관리업무지침안(보완-0105)" xfId="2385"/>
    <cellStyle name="원_통합형보험마케팅정책회의자료(050418)_장기TM관리지침별첨(최종-0614)" xfId="2386"/>
    <cellStyle name="원_통합형보험마케팅정책회의자료(050418)_장기TM대리점지원및관리규정(20051216-발송용)" xfId="2387"/>
    <cellStyle name="원_통합형보험마케팅정책회의자료(050418)_통신판매가이드라인정리(최종)" xfId="2388"/>
    <cellStyle name="원_통합형보험마케팅정책회의자료(050418)_하이라이프다이렉트수수료안(20060522)" xfId="2389"/>
    <cellStyle name="원_통합형보험마케팅정책회의자료(050418)_해외여행보험활성화(060620-최종)" xfId="2390"/>
    <cellStyle name="원_통합형보험마케팅정책회의자료(050418)_해외연수실시안(20071220)-7차-공지용" xfId="2391"/>
    <cellStyle name="원_통합형보험마케팅정책회의자료(050418)_해외연수실시안(20080130)-후꾸오까-차수조정" xfId="2392"/>
    <cellStyle name="원_통합형보험영업지원제도운영안(040625)" xfId="2393"/>
    <cellStyle name="원_통합형보험영업지원제도운영안(040625)_0703장기보험마감분석" xfId="2394"/>
    <cellStyle name="원_통합형보험영업지원제도운영안(040625)_7-9월설치분집행(1018)" xfId="2395"/>
    <cellStyle name="원_통합형보험영업지원제도운영안(040625)_Feedback-일반활성화FY'07.2분기-품의" xfId="2396"/>
    <cellStyle name="원_통합형보험영업지원제도운영안(040625)_FY'07점포영업전략(070403)" xfId="2397"/>
    <cellStyle name="원_통합형보험영업지원제도운영안(040625)_TM-FY'07.중간피드백-6" xfId="2398"/>
    <cellStyle name="원_통합형보험영업지원제도운영안(040625)_TM대리점활성화방안(0928)" xfId="2399"/>
    <cellStyle name="원_통합형보험영업지원제도운영안(040625)_TM대리점활성화방안(0930)-1" xfId="2400"/>
    <cellStyle name="원_통합형보험영업지원제도운영안(040625)_TM신상품개발검토의견(20060327)" xfId="2401"/>
    <cellStyle name="원_통합형보험영업지원제도운영안(040625)_TM신청서(최종)-마지부(1229)" xfId="2402"/>
    <cellStyle name="원_통합형보험영업지원제도운영안(040625)_보장자산증대방안" xfId="2403"/>
    <cellStyle name="원_통합형보험영업지원제도운영안(040625)_신상품재검토(20040417)" xfId="2404"/>
    <cellStyle name="원_통합형보험영업지원제도운영안(040625)_업체선정평가표(장기tm-20051201)-장원제(최종)" xfId="2405"/>
    <cellStyle name="원_통합형보험영업지원제도운영안(040625)_인수지침관련의견" xfId="2406"/>
    <cellStyle name="원_통합형보험영업지원제도운영안(040625)_장기TM대리점지원및관리규정(20051216-발송용)" xfId="2407"/>
    <cellStyle name="원_통합형보험영업지원제도운영안(040625)_통신판매가이드라인정리(최종)" xfId="2408"/>
    <cellStyle name="원_통합형보험영업지원제도운영안(040625)_하이라이프다이렉트수수료안(20060522)" xfId="2409"/>
    <cellStyle name="원_통합형보험영업지원제도운영안(040625)_해외연수실시안(20071220)-7차-공지용" xfId="2410"/>
    <cellStyle name="원_통합형보험영업지원제도운영안(040625)_해외연수실시안(20080130)-후꾸오까-차수조정" xfId="2411"/>
    <cellStyle name="원_퇴직보험 매출계획" xfId="2412"/>
    <cellStyle name="원_퇴직보험(연금)추가목표배분기준(발송용)-마케팅" xfId="2413"/>
    <cellStyle name="원_트레이너 운영안91222)" xfId="2414"/>
    <cellStyle name="원_트레이너 운영지침(안)(1230)보고" xfId="2415"/>
    <cellStyle name="원_트레이너 운영지침(안)(1231)-붙임" xfId="2416"/>
    <cellStyle name="원_팀활성화변경품의(이권도팀장님작업분0712)" xfId="2417"/>
    <cellStyle name="원_팀활성화변경품의(이권도팀장님작업분0712)_영업소팀장회의030811" xfId="2418"/>
    <cellStyle name="원_퍼스티수료부진회의" xfId="2419"/>
    <cellStyle name="원_평가본부발송(5.7)" xfId="2420"/>
    <cellStyle name="원_평가품의서(단위별)" xfId="2421"/>
    <cellStyle name="원_품의서양식" xfId="2422"/>
    <cellStyle name="원_프리스타일(수당업)" xfId="2423"/>
    <cellStyle name="원_하반기checkup마감(04.9.13)수정" xfId="2424"/>
    <cellStyle name="원_하반기checkup마감(04.9.13)최종" xfId="2425"/>
    <cellStyle name="원_하이라이프다이렉트수수료안(20060522)" xfId="2426"/>
    <cellStyle name="원_하절기극복 자동차보험 목표달성방안(6-8월)" xfId="2427"/>
    <cellStyle name="원_한마음과정명단" xfId="2428"/>
    <cellStyle name="원_한마음과정명단_030714소장회의" xfId="2429"/>
    <cellStyle name="원_한마음과정명단_03일사분기실적현황" xfId="2430"/>
    <cellStyle name="원_한마음과정명단_7월16일본부장회의" xfId="2431"/>
    <cellStyle name="원_한마음과정명단_7월아침에해야할일" xfId="2432"/>
    <cellStyle name="원_한마음과정명단_8월부보율(성무현)" xfId="2433"/>
    <cellStyle name="원_합격예상" xfId="2434"/>
    <cellStyle name="원_합격자" xfId="2435"/>
    <cellStyle name="원_합격자_Feedback-일반활성화FY'07.2분기-품의" xfId="2436"/>
    <cellStyle name="원_합격자_FY'06장기보험매출계획(유지율)" xfId="2437"/>
    <cellStyle name="원_합격자_FY'07점포영업전략(070403)" xfId="2438"/>
    <cellStyle name="원_합격자_보장자산증대방안" xfId="2439"/>
    <cellStyle name="원_합계차이" xfId="2440"/>
    <cellStyle name="원_해외여행보험활성화(060620-최종)" xfId="2441"/>
    <cellStyle name="원_해외연수실시안(20071220)-7차-공지용" xfId="2442"/>
    <cellStyle name="원_해외연수실시안(20080130)-후꾸오까-차수조정" xfId="2443"/>
    <cellStyle name="원_현장간담회 결과보고" xfId="2444"/>
    <cellStyle name="원_회의자료(04.10.21)" xfId="2445"/>
    <cellStyle name="원_회의자료(04.11.5)11월실적" xfId="2446"/>
    <cellStyle name="지정되지 않음" xfId="2447"/>
    <cellStyle name="콤마 [0]" xfId="2448"/>
    <cellStyle name="콤마_" xfId="2449"/>
    <cellStyle name="표준" xfId="0" builtinId="0"/>
    <cellStyle name="표준 2" xfId="2450"/>
    <cellStyle name="표준 2 2" xfId="2451"/>
    <cellStyle name="표준 2 5 2 2" xfId="2460"/>
    <cellStyle name="표준 3" xfId="2452"/>
    <cellStyle name="표준 4" xfId="2453"/>
    <cellStyle name="표준 5" xfId="2454"/>
    <cellStyle name="표준 6" xfId="2457"/>
    <cellStyle name="표준 6 2" xfId="2465"/>
    <cellStyle name="표준 6 2 2" xfId="2472"/>
    <cellStyle name="표준 6 2 2 2" xfId="2480"/>
    <cellStyle name="표준 6 2 2 2 2" xfId="2487"/>
    <cellStyle name="표준 6 2 2 2 2 2" xfId="2492"/>
    <cellStyle name="표준 6 2 2 2 2 2 2" xfId="2496"/>
    <cellStyle name="표준 6 3" xfId="2466"/>
    <cellStyle name="표준 6 3 2" xfId="2475"/>
    <cellStyle name="표준 6 3 2 2" xfId="2477"/>
    <cellStyle name="표준 6 3 2 2 2" xfId="2491"/>
    <cellStyle name="표준 6 3 2 2 2 2" xfId="2495"/>
    <cellStyle name="표준 6 4" xfId="2469"/>
    <cellStyle name="표준 6 4 2" xfId="2479"/>
    <cellStyle name="표준 6 4 2 2" xfId="2490"/>
    <cellStyle name="표준 6 4 2 2 2" xfId="2494"/>
    <cellStyle name="표준 6 4 3" xfId="2482"/>
    <cellStyle name="표준 6 4 4" xfId="2484"/>
    <cellStyle name="표준 6 5" xfId="2488"/>
    <cellStyle name="표준 6 6" xfId="2489"/>
    <cellStyle name="표준 6 6 2" xfId="2493"/>
    <cellStyle name="표준_손생보지급율제안서" xfId="2455"/>
  </cellStyles>
  <dxfs count="0"/>
  <tableStyles count="0" defaultTableStyle="TableStyleMedium2" defaultPivotStyle="PivotStyleLight16"/>
  <colors>
    <mruColors>
      <color rgb="FF0066FF"/>
      <color rgb="FF0000FF"/>
      <color rgb="FF0099FF"/>
      <color rgb="FFFFFF66"/>
      <color rgb="FFFFFF99"/>
      <color rgb="FFFF99FF"/>
      <color rgb="FFFF66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haredStrings" Target="sharedStrings.xml"/></Relationships>
</file>

<file path=xl/theme/theme1.xml><?xml version="1.0" encoding="utf-8"?>
<a:theme xmlns:a="http://schemas.openxmlformats.org/drawingml/2006/main" name="Office 테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L22"/>
  <sheetViews>
    <sheetView tabSelected="1" zoomScaleNormal="100" workbookViewId="0">
      <selection activeCell="F11" sqref="F11:G11"/>
    </sheetView>
  </sheetViews>
  <sheetFormatPr defaultRowHeight="16.5"/>
  <cols>
    <col min="1" max="1" width="1" customWidth="1"/>
    <col min="2" max="11" width="12.875" customWidth="1"/>
  </cols>
  <sheetData>
    <row r="1" spans="1:12" ht="51" customHeight="1" thickBot="1">
      <c r="A1" s="78"/>
      <c r="B1" s="78"/>
      <c r="C1" s="78"/>
      <c r="D1" s="78"/>
      <c r="E1" s="78"/>
      <c r="F1" s="78"/>
      <c r="G1" s="78"/>
      <c r="H1" s="78"/>
      <c r="I1" s="78"/>
      <c r="J1" s="78"/>
      <c r="K1" s="78"/>
      <c r="L1" s="78"/>
    </row>
    <row r="2" spans="1:12" ht="36.75" customHeight="1" thickBot="1">
      <c r="A2" s="78"/>
      <c r="B2" s="1079" t="s">
        <v>7</v>
      </c>
      <c r="C2" s="1079"/>
      <c r="D2" s="1079"/>
      <c r="E2" s="1079"/>
      <c r="F2" s="1079"/>
      <c r="G2" s="1079"/>
      <c r="H2" s="1079"/>
      <c r="I2" s="1079"/>
      <c r="J2" s="1079"/>
      <c r="K2" s="1079"/>
      <c r="L2" s="78"/>
    </row>
    <row r="3" spans="1:12" ht="32.25" thickTop="1">
      <c r="A3" s="78"/>
      <c r="B3" s="79"/>
      <c r="C3" s="78"/>
      <c r="D3" s="78"/>
      <c r="E3" s="78"/>
      <c r="F3" s="78"/>
      <c r="G3" s="78"/>
      <c r="H3" s="78"/>
      <c r="I3" s="78"/>
      <c r="J3" s="78"/>
      <c r="K3" s="78"/>
      <c r="L3" s="78"/>
    </row>
    <row r="4" spans="1:12" ht="26.25">
      <c r="A4" s="78"/>
      <c r="B4" s="78"/>
      <c r="C4" s="78"/>
      <c r="D4" s="78"/>
      <c r="E4" s="78"/>
      <c r="F4" s="78"/>
      <c r="G4" s="78"/>
      <c r="H4" s="78"/>
      <c r="I4" s="78"/>
      <c r="J4" s="78"/>
      <c r="K4" s="78"/>
      <c r="L4" s="78"/>
    </row>
    <row r="5" spans="1:12" ht="26.25">
      <c r="A5" s="78"/>
      <c r="B5" s="80"/>
      <c r="C5" s="81"/>
      <c r="D5" s="82"/>
      <c r="E5" s="78"/>
      <c r="F5" s="78"/>
      <c r="G5" s="78"/>
      <c r="H5" s="78"/>
      <c r="I5" s="78"/>
      <c r="J5" s="78"/>
      <c r="K5" s="78"/>
      <c r="L5" s="78"/>
    </row>
    <row r="6" spans="1:12" ht="26.25">
      <c r="A6" s="78"/>
      <c r="B6" s="80"/>
      <c r="C6" s="81"/>
      <c r="D6" s="82"/>
      <c r="E6" s="78"/>
      <c r="F6" s="78"/>
      <c r="G6" s="78"/>
      <c r="H6" s="78"/>
      <c r="I6" s="83"/>
      <c r="J6" s="78"/>
      <c r="K6" s="78"/>
      <c r="L6" s="78"/>
    </row>
    <row r="7" spans="1:12" ht="26.25">
      <c r="A7" s="78"/>
      <c r="B7" s="78"/>
      <c r="C7" s="78"/>
      <c r="D7" s="78"/>
      <c r="E7" s="78"/>
      <c r="F7" s="78"/>
      <c r="G7" s="78"/>
      <c r="H7" s="78"/>
      <c r="I7" s="78"/>
      <c r="J7" s="78"/>
      <c r="K7" s="78"/>
      <c r="L7" s="78"/>
    </row>
    <row r="8" spans="1:12" ht="26.25">
      <c r="A8" s="78"/>
      <c r="B8" s="78"/>
      <c r="C8" s="78"/>
      <c r="D8" s="78"/>
      <c r="E8" s="78"/>
      <c r="F8" s="78"/>
      <c r="G8" s="78"/>
      <c r="H8" s="78"/>
      <c r="I8" s="78"/>
      <c r="J8" s="78"/>
      <c r="K8" s="78"/>
      <c r="L8" s="78"/>
    </row>
    <row r="9" spans="1:12" ht="26.25">
      <c r="A9" s="78"/>
      <c r="B9" s="78"/>
      <c r="C9" s="78"/>
      <c r="D9" s="78"/>
      <c r="E9" s="78"/>
      <c r="F9" s="78"/>
      <c r="G9" s="78"/>
      <c r="H9" s="78"/>
      <c r="I9" s="78"/>
      <c r="J9" s="78"/>
      <c r="K9" s="78"/>
      <c r="L9" s="78"/>
    </row>
    <row r="10" spans="1:12" ht="26.25">
      <c r="A10" s="78"/>
      <c r="B10" s="78"/>
      <c r="C10" s="78"/>
      <c r="D10" s="78"/>
      <c r="E10" s="78"/>
      <c r="F10" s="78"/>
      <c r="G10" s="78"/>
      <c r="H10" s="78"/>
      <c r="I10" s="78"/>
      <c r="J10" s="78"/>
      <c r="K10" s="78"/>
      <c r="L10" s="78"/>
    </row>
    <row r="11" spans="1:12" ht="26.25">
      <c r="A11" s="78"/>
      <c r="B11" s="78"/>
      <c r="C11" s="78"/>
      <c r="D11" s="78"/>
      <c r="E11" s="78"/>
      <c r="F11" s="1080" t="s">
        <v>1718</v>
      </c>
      <c r="G11" s="1080"/>
      <c r="H11" s="78"/>
      <c r="I11" s="78"/>
      <c r="J11" s="78"/>
      <c r="K11" s="78"/>
      <c r="L11" s="78"/>
    </row>
    <row r="12" spans="1:12" ht="26.25">
      <c r="A12" s="78"/>
      <c r="B12" s="78"/>
      <c r="C12" s="78"/>
      <c r="D12" s="78"/>
      <c r="E12" s="78"/>
      <c r="F12" s="78"/>
      <c r="G12" s="78"/>
      <c r="H12" s="78"/>
      <c r="I12" s="78"/>
      <c r="J12" s="78"/>
      <c r="K12" s="78"/>
      <c r="L12" s="78"/>
    </row>
    <row r="13" spans="1:12" ht="26.25">
      <c r="A13" s="78"/>
      <c r="B13" s="78"/>
      <c r="C13" s="78"/>
      <c r="D13" s="78"/>
      <c r="E13" s="78"/>
      <c r="F13" s="78"/>
      <c r="G13" s="78"/>
      <c r="H13" s="78"/>
      <c r="I13" s="78"/>
      <c r="J13" s="78"/>
      <c r="K13" s="78"/>
      <c r="L13" s="78"/>
    </row>
    <row r="14" spans="1:12" ht="26.25">
      <c r="A14" s="78"/>
      <c r="B14" s="78"/>
      <c r="C14" s="78"/>
      <c r="D14" s="78"/>
      <c r="E14" s="78"/>
      <c r="F14" s="78"/>
      <c r="G14" s="78"/>
      <c r="H14" s="78"/>
      <c r="I14" s="78"/>
      <c r="J14" s="78"/>
      <c r="K14" s="78"/>
      <c r="L14" s="78"/>
    </row>
    <row r="15" spans="1:12" ht="26.25">
      <c r="A15" s="78"/>
      <c r="B15" s="78"/>
      <c r="C15" s="78"/>
      <c r="D15" s="78"/>
      <c r="E15" s="78"/>
      <c r="F15" s="78"/>
      <c r="G15" s="78"/>
      <c r="H15" s="78"/>
      <c r="I15" s="78"/>
      <c r="J15" s="78"/>
      <c r="K15" s="78"/>
      <c r="L15" s="78"/>
    </row>
    <row r="16" spans="1:12" ht="26.25">
      <c r="A16" s="78"/>
      <c r="B16" s="78"/>
      <c r="C16" s="78"/>
      <c r="D16" s="78"/>
      <c r="E16" s="78"/>
      <c r="F16" s="78"/>
      <c r="G16" s="78"/>
      <c r="H16" s="78"/>
      <c r="I16" s="78"/>
      <c r="J16" s="78"/>
      <c r="K16" s="78"/>
      <c r="L16" s="78"/>
    </row>
    <row r="17" spans="1:12" ht="32.25" thickBot="1">
      <c r="A17" s="78"/>
      <c r="B17" s="78"/>
      <c r="C17" s="78"/>
      <c r="D17" s="78"/>
      <c r="E17" s="78"/>
      <c r="F17" s="1081" t="s">
        <v>8</v>
      </c>
      <c r="G17" s="1081"/>
      <c r="H17" s="78"/>
      <c r="I17" s="78"/>
      <c r="J17" s="78"/>
      <c r="K17" s="78"/>
      <c r="L17" s="78"/>
    </row>
    <row r="18" spans="1:12" ht="27" thickTop="1">
      <c r="A18" s="78"/>
      <c r="B18" s="78"/>
      <c r="C18" s="78"/>
      <c r="D18" s="78"/>
      <c r="E18" s="78"/>
      <c r="F18" s="78"/>
      <c r="G18" s="78"/>
      <c r="H18" s="78"/>
      <c r="I18" s="78"/>
      <c r="J18" s="78"/>
      <c r="K18" s="78"/>
      <c r="L18" s="78"/>
    </row>
    <row r="19" spans="1:12" ht="26.25">
      <c r="A19" s="78"/>
      <c r="B19" s="78"/>
      <c r="C19" s="78"/>
      <c r="D19" s="78"/>
      <c r="E19" s="78"/>
      <c r="F19" s="78"/>
      <c r="G19" s="78"/>
      <c r="H19" s="78"/>
      <c r="I19" s="78"/>
      <c r="J19" s="78"/>
      <c r="K19" s="78"/>
      <c r="L19" s="78"/>
    </row>
    <row r="20" spans="1:12" ht="26.25">
      <c r="A20" s="78"/>
      <c r="B20" s="78"/>
      <c r="C20" s="78"/>
      <c r="D20" s="78"/>
      <c r="E20" s="78"/>
      <c r="F20" s="78"/>
      <c r="G20" s="78"/>
      <c r="H20" s="78"/>
      <c r="I20" s="78"/>
      <c r="J20" s="78"/>
      <c r="K20" s="78"/>
      <c r="L20" s="78"/>
    </row>
    <row r="21" spans="1:12" ht="26.25">
      <c r="A21" s="78"/>
      <c r="B21" s="78"/>
      <c r="C21" s="78"/>
      <c r="D21" s="78"/>
      <c r="E21" s="78"/>
      <c r="F21" s="78"/>
      <c r="G21" s="78"/>
      <c r="H21" s="78"/>
      <c r="I21" s="78"/>
      <c r="J21" s="78"/>
      <c r="K21" s="78"/>
      <c r="L21" s="78"/>
    </row>
    <row r="22" spans="1:12" ht="26.25">
      <c r="A22" s="78"/>
      <c r="B22" s="78"/>
      <c r="C22" s="78"/>
      <c r="D22" s="78"/>
      <c r="E22" s="78"/>
      <c r="F22" s="78"/>
      <c r="G22" s="78"/>
      <c r="H22" s="78"/>
      <c r="I22" s="78"/>
      <c r="J22" s="78"/>
      <c r="K22" s="78"/>
      <c r="L22" s="78"/>
    </row>
  </sheetData>
  <mergeCells count="3">
    <mergeCell ref="B2:K2"/>
    <mergeCell ref="F11:G11"/>
    <mergeCell ref="F17:G17"/>
  </mergeCells>
  <phoneticPr fontId="35" type="noConversion"/>
  <pageMargins left="0.31496062992125984" right="0.31496062992125984" top="0.31496062992125984" bottom="0.31496062992125984" header="0" footer="0"/>
  <pageSetup paperSize="9" orientation="landscape"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K38"/>
  <sheetViews>
    <sheetView zoomScaleNormal="100" workbookViewId="0">
      <pane xSplit="4" ySplit="6" topLeftCell="E7" activePane="bottomRight" state="frozen"/>
      <selection activeCell="B1" sqref="B1:O1"/>
      <selection pane="topRight" activeCell="B1" sqref="B1:O1"/>
      <selection pane="bottomLeft" activeCell="B1" sqref="B1:O1"/>
      <selection pane="bottomRight" activeCell="B1" sqref="B1:AD1"/>
    </sheetView>
  </sheetViews>
  <sheetFormatPr defaultColWidth="9.125" defaultRowHeight="18" customHeight="1"/>
  <cols>
    <col min="1" max="1" width="0.625" style="55" customWidth="1"/>
    <col min="2" max="2" width="5.625" style="55" customWidth="1"/>
    <col min="3" max="3" width="16.25" style="55" customWidth="1"/>
    <col min="4" max="4" width="10.375" style="55" customWidth="1"/>
    <col min="5" max="5" width="7.625" style="55" bestFit="1" customWidth="1"/>
    <col min="6" max="6" width="5.875" style="55" bestFit="1" customWidth="1"/>
    <col min="7" max="9" width="9" style="55" bestFit="1" customWidth="1"/>
    <col min="10" max="10" width="6.625" style="55" bestFit="1" customWidth="1"/>
    <col min="11" max="12" width="7.5" style="55" bestFit="1" customWidth="1"/>
    <col min="13" max="13" width="7.5" style="55" customWidth="1"/>
    <col min="14" max="14" width="8.5" style="55" bestFit="1" customWidth="1"/>
    <col min="15" max="16" width="7.5" style="55" bestFit="1" customWidth="1"/>
    <col min="17" max="17" width="8.5" style="55" bestFit="1" customWidth="1"/>
    <col min="18" max="18" width="7.5" style="55" bestFit="1" customWidth="1"/>
    <col min="19" max="19" width="6.625" style="55" bestFit="1" customWidth="1"/>
    <col min="20" max="20" width="8.5" style="55" bestFit="1" customWidth="1"/>
    <col min="21" max="21" width="7.5" style="55" bestFit="1" customWidth="1"/>
    <col min="22" max="22" width="6.625" style="55" bestFit="1" customWidth="1"/>
    <col min="23" max="23" width="8.5" style="55" bestFit="1" customWidth="1"/>
    <col min="24" max="24" width="7.5" style="55" bestFit="1" customWidth="1"/>
    <col min="25" max="25" width="6.625" style="55" bestFit="1" customWidth="1"/>
    <col min="26" max="26" width="8.5" style="55" bestFit="1" customWidth="1"/>
    <col min="27" max="27" width="7.5" style="55" bestFit="1" customWidth="1"/>
    <col min="28" max="28" width="6.625" style="55" bestFit="1" customWidth="1"/>
    <col min="29" max="29" width="8.5" style="55" bestFit="1" customWidth="1"/>
    <col min="30" max="30" width="7.5" style="55" bestFit="1" customWidth="1"/>
    <col min="31" max="16384" width="9.125" style="55"/>
  </cols>
  <sheetData>
    <row r="1" spans="1:37" s="63" customFormat="1" ht="30" customHeight="1" thickBot="1">
      <c r="B1" s="1083" t="s">
        <v>1713</v>
      </c>
      <c r="C1" s="1083"/>
      <c r="D1" s="1083"/>
      <c r="E1" s="1083"/>
      <c r="F1" s="1083"/>
      <c r="G1" s="1083"/>
      <c r="H1" s="1083"/>
      <c r="I1" s="1083"/>
      <c r="J1" s="1083"/>
      <c r="K1" s="1083"/>
      <c r="L1" s="1083"/>
      <c r="M1" s="1083"/>
      <c r="N1" s="1083"/>
      <c r="O1" s="1083"/>
      <c r="P1" s="1083"/>
      <c r="Q1" s="1083"/>
      <c r="R1" s="1083"/>
      <c r="S1" s="1083"/>
      <c r="T1" s="1083"/>
      <c r="U1" s="1083"/>
      <c r="V1" s="1083"/>
      <c r="W1" s="1083"/>
      <c r="X1" s="1083"/>
      <c r="Y1" s="1083"/>
      <c r="Z1" s="1083"/>
      <c r="AA1" s="1083"/>
      <c r="AB1" s="1083"/>
      <c r="AC1" s="1083"/>
      <c r="AD1" s="1083"/>
    </row>
    <row r="2" spans="1:37" s="235" customFormat="1" ht="6" customHeight="1" thickTop="1">
      <c r="A2" s="65"/>
      <c r="B2" s="64"/>
      <c r="C2" s="64"/>
      <c r="D2" s="64"/>
      <c r="E2" s="64"/>
      <c r="F2" s="64"/>
      <c r="G2" s="64"/>
      <c r="H2" s="64"/>
      <c r="I2" s="64"/>
      <c r="J2" s="65"/>
      <c r="K2" s="65"/>
      <c r="L2" s="65"/>
      <c r="M2" s="66"/>
      <c r="N2" s="65"/>
      <c r="O2" s="65"/>
      <c r="P2" s="65"/>
      <c r="Q2" s="65"/>
      <c r="R2" s="65"/>
      <c r="S2" s="65"/>
      <c r="T2" s="65"/>
      <c r="U2" s="65"/>
      <c r="V2" s="65"/>
      <c r="W2" s="65"/>
      <c r="X2" s="65"/>
      <c r="Y2" s="65"/>
      <c r="Z2" s="65"/>
      <c r="AA2" s="65"/>
      <c r="AB2" s="65"/>
      <c r="AC2" s="65"/>
      <c r="AD2" s="65"/>
      <c r="AE2" s="65"/>
      <c r="AF2" s="65"/>
      <c r="AG2" s="65"/>
      <c r="AH2" s="65"/>
      <c r="AI2" s="65"/>
      <c r="AJ2" s="65"/>
      <c r="AK2" s="65"/>
    </row>
    <row r="3" spans="1:37" s="262" customFormat="1" ht="34.5" customHeight="1">
      <c r="B3" s="921" t="s">
        <v>689</v>
      </c>
      <c r="C3" s="261"/>
      <c r="D3" s="261"/>
      <c r="E3" s="261"/>
      <c r="F3" s="261"/>
      <c r="G3" s="261"/>
      <c r="M3" s="263"/>
    </row>
    <row r="4" spans="1:37" s="235" customFormat="1" ht="6" customHeight="1" thickBot="1">
      <c r="A4" s="65"/>
      <c r="B4" s="64"/>
      <c r="C4" s="64"/>
      <c r="D4" s="64"/>
      <c r="E4" s="64"/>
      <c r="F4" s="64"/>
      <c r="G4" s="64"/>
      <c r="H4" s="64"/>
      <c r="I4" s="64"/>
      <c r="J4" s="65"/>
      <c r="K4" s="65"/>
      <c r="L4" s="65"/>
      <c r="M4" s="66"/>
      <c r="N4" s="65"/>
      <c r="O4" s="65"/>
      <c r="P4" s="65"/>
      <c r="Q4" s="65"/>
      <c r="R4" s="65"/>
      <c r="S4" s="65"/>
      <c r="T4" s="65"/>
      <c r="U4" s="65"/>
      <c r="V4" s="65"/>
      <c r="W4" s="65"/>
      <c r="X4" s="65"/>
      <c r="Y4" s="65"/>
      <c r="Z4" s="65"/>
      <c r="AA4" s="65"/>
      <c r="AB4" s="65"/>
      <c r="AC4" s="65"/>
      <c r="AD4" s="65"/>
      <c r="AE4" s="65"/>
      <c r="AF4" s="65"/>
      <c r="AG4" s="65"/>
      <c r="AH4" s="65"/>
      <c r="AI4" s="65"/>
      <c r="AJ4" s="65"/>
      <c r="AK4" s="65"/>
    </row>
    <row r="5" spans="1:37" s="450" customFormat="1" ht="24">
      <c r="B5" s="1202" t="s">
        <v>690</v>
      </c>
      <c r="C5" s="1203"/>
      <c r="D5" s="1204"/>
      <c r="E5" s="1205" t="s">
        <v>691</v>
      </c>
      <c r="F5" s="1207" t="s">
        <v>692</v>
      </c>
      <c r="G5" s="913" t="s">
        <v>659</v>
      </c>
      <c r="H5" s="908" t="s">
        <v>693</v>
      </c>
      <c r="I5" s="1209" t="s">
        <v>694</v>
      </c>
      <c r="J5" s="1212" t="s">
        <v>679</v>
      </c>
      <c r="K5" s="1446"/>
      <c r="L5" s="1447"/>
      <c r="M5" s="1448" t="s">
        <v>695</v>
      </c>
      <c r="N5" s="1312"/>
      <c r="O5" s="1449"/>
      <c r="P5" s="1450" t="s">
        <v>696</v>
      </c>
      <c r="Q5" s="1451"/>
      <c r="R5" s="233">
        <v>0.93</v>
      </c>
      <c r="S5" s="1452" t="s">
        <v>697</v>
      </c>
      <c r="T5" s="1453"/>
      <c r="U5" s="233">
        <v>0.86</v>
      </c>
      <c r="V5" s="1452" t="s">
        <v>698</v>
      </c>
      <c r="W5" s="1453"/>
      <c r="X5" s="233">
        <v>0.83</v>
      </c>
      <c r="Y5" s="1450" t="s">
        <v>699</v>
      </c>
      <c r="Z5" s="1451"/>
      <c r="AA5" s="233">
        <v>0.75</v>
      </c>
      <c r="AB5" s="1324" t="s">
        <v>700</v>
      </c>
      <c r="AC5" s="1218"/>
      <c r="AD5" s="233">
        <v>0.7</v>
      </c>
    </row>
    <row r="6" spans="1:37" s="450" customFormat="1" ht="24.75" thickBot="1">
      <c r="B6" s="909" t="s">
        <v>701</v>
      </c>
      <c r="C6" s="917" t="s">
        <v>702</v>
      </c>
      <c r="D6" s="428" t="s">
        <v>703</v>
      </c>
      <c r="E6" s="1206"/>
      <c r="F6" s="1208"/>
      <c r="G6" s="451">
        <v>2.6</v>
      </c>
      <c r="H6" s="451">
        <v>0.65</v>
      </c>
      <c r="I6" s="1210"/>
      <c r="J6" s="452" t="s">
        <v>704</v>
      </c>
      <c r="K6" s="452" t="s">
        <v>705</v>
      </c>
      <c r="L6" s="453" t="s">
        <v>706</v>
      </c>
      <c r="M6" s="922" t="s">
        <v>707</v>
      </c>
      <c r="N6" s="923" t="s">
        <v>708</v>
      </c>
      <c r="O6" s="924" t="s">
        <v>709</v>
      </c>
      <c r="P6" s="922" t="s">
        <v>707</v>
      </c>
      <c r="Q6" s="923" t="s">
        <v>708</v>
      </c>
      <c r="R6" s="924" t="s">
        <v>709</v>
      </c>
      <c r="S6" s="922" t="s">
        <v>707</v>
      </c>
      <c r="T6" s="923" t="s">
        <v>708</v>
      </c>
      <c r="U6" s="924" t="s">
        <v>709</v>
      </c>
      <c r="V6" s="922" t="s">
        <v>707</v>
      </c>
      <c r="W6" s="923" t="s">
        <v>708</v>
      </c>
      <c r="X6" s="924" t="s">
        <v>709</v>
      </c>
      <c r="Y6" s="922" t="s">
        <v>707</v>
      </c>
      <c r="Z6" s="923" t="s">
        <v>708</v>
      </c>
      <c r="AA6" s="924" t="s">
        <v>709</v>
      </c>
      <c r="AB6" s="925" t="s">
        <v>707</v>
      </c>
      <c r="AC6" s="923" t="s">
        <v>708</v>
      </c>
      <c r="AD6" s="924" t="s">
        <v>709</v>
      </c>
      <c r="AE6" s="280"/>
      <c r="AF6" s="280"/>
      <c r="AG6" s="280"/>
      <c r="AH6" s="280"/>
      <c r="AI6" s="280"/>
    </row>
    <row r="7" spans="1:37" ht="18" customHeight="1">
      <c r="B7" s="1220" t="s">
        <v>710</v>
      </c>
      <c r="C7" s="1236" t="s">
        <v>711</v>
      </c>
      <c r="D7" s="1237"/>
      <c r="E7" s="1238">
        <v>1000</v>
      </c>
      <c r="F7" s="1228">
        <f>E7*D8</f>
        <v>2150</v>
      </c>
      <c r="G7" s="1228">
        <f>F7*$G$6</f>
        <v>5590</v>
      </c>
      <c r="H7" s="1228">
        <f>F7*$H$6</f>
        <v>1397.5</v>
      </c>
      <c r="I7" s="1228">
        <f>F7*110%</f>
        <v>2365</v>
      </c>
      <c r="J7" s="1228">
        <f>F7*8%*12</f>
        <v>2064</v>
      </c>
      <c r="K7" s="1228">
        <f>F7*12%*12</f>
        <v>3096</v>
      </c>
      <c r="L7" s="1240">
        <f>F7*6%*12</f>
        <v>1548</v>
      </c>
      <c r="M7" s="472">
        <f>G7+H7+I7+(J7/12)</f>
        <v>9524.5</v>
      </c>
      <c r="N7" s="473">
        <f>G7+H7+I7+J7</f>
        <v>11416.5</v>
      </c>
      <c r="O7" s="441">
        <f>G7+H7+I7+J7+K7+L7</f>
        <v>16060.5</v>
      </c>
      <c r="P7" s="472">
        <f>$M7*$R$5</f>
        <v>8857.7849999999999</v>
      </c>
      <c r="Q7" s="473">
        <f>$N7*$R$5</f>
        <v>10617.345000000001</v>
      </c>
      <c r="R7" s="441">
        <f>$O7*$R$5</f>
        <v>14936.265000000001</v>
      </c>
      <c r="S7" s="472">
        <f>$M7*$U$5</f>
        <v>8191.07</v>
      </c>
      <c r="T7" s="473">
        <f t="shared" ref="T7:U7" si="0">N7*$U$5</f>
        <v>9818.19</v>
      </c>
      <c r="U7" s="441">
        <f t="shared" si="0"/>
        <v>13812.03</v>
      </c>
      <c r="V7" s="472">
        <f>$M7*$X$5</f>
        <v>7905.335</v>
      </c>
      <c r="W7" s="473">
        <f>$N7*$X$5</f>
        <v>9475.6949999999997</v>
      </c>
      <c r="X7" s="441">
        <f>$O7*$X$5</f>
        <v>13330.215</v>
      </c>
      <c r="Y7" s="472">
        <f>$M7*$AA$5</f>
        <v>7143.375</v>
      </c>
      <c r="Z7" s="473">
        <f>$N7*$AA$5</f>
        <v>8562.375</v>
      </c>
      <c r="AA7" s="441">
        <f>$O7*$AA$5</f>
        <v>12045.375</v>
      </c>
      <c r="AB7" s="474">
        <f>$M7*$AD$5</f>
        <v>6667.15</v>
      </c>
      <c r="AC7" s="473">
        <f>$N7*$AD$5</f>
        <v>7991.5499999999993</v>
      </c>
      <c r="AD7" s="441">
        <f>$O7*$AD$5</f>
        <v>11242.349999999999</v>
      </c>
      <c r="AE7" s="280"/>
      <c r="AF7" s="280"/>
      <c r="AG7" s="280"/>
      <c r="AH7" s="280"/>
      <c r="AI7" s="280"/>
      <c r="AJ7" s="280"/>
    </row>
    <row r="8" spans="1:37" ht="18" customHeight="1">
      <c r="B8" s="1221"/>
      <c r="C8" s="320" t="s">
        <v>712</v>
      </c>
      <c r="D8" s="105">
        <v>2.15</v>
      </c>
      <c r="E8" s="1239"/>
      <c r="F8" s="1229"/>
      <c r="G8" s="1229"/>
      <c r="H8" s="1229"/>
      <c r="I8" s="1229"/>
      <c r="J8" s="1229"/>
      <c r="K8" s="1229"/>
      <c r="L8" s="1241"/>
      <c r="M8" s="180">
        <f>M7/E7</f>
        <v>9.5244999999999997</v>
      </c>
      <c r="N8" s="183">
        <f>N7/E7</f>
        <v>11.416499999999999</v>
      </c>
      <c r="O8" s="182">
        <f>O7/E7</f>
        <v>16.060500000000001</v>
      </c>
      <c r="P8" s="180">
        <f>P7/E7</f>
        <v>8.8577849999999998</v>
      </c>
      <c r="Q8" s="183">
        <f>Q7/E7</f>
        <v>10.617345000000002</v>
      </c>
      <c r="R8" s="182">
        <f>R7/E7</f>
        <v>14.936265000000001</v>
      </c>
      <c r="S8" s="180">
        <f>S7/$E7</f>
        <v>8.1910699999999999</v>
      </c>
      <c r="T8" s="183">
        <f t="shared" ref="T8:U8" si="1">T7/$E7</f>
        <v>9.8181900000000013</v>
      </c>
      <c r="U8" s="182">
        <f t="shared" si="1"/>
        <v>13.81203</v>
      </c>
      <c r="V8" s="180">
        <f>V7/E7</f>
        <v>7.905335</v>
      </c>
      <c r="W8" s="183">
        <f>W7/E7</f>
        <v>9.475695</v>
      </c>
      <c r="X8" s="182">
        <f>X7/E7</f>
        <v>13.330215000000001</v>
      </c>
      <c r="Y8" s="180">
        <f>Y7/E7</f>
        <v>7.1433749999999998</v>
      </c>
      <c r="Z8" s="183">
        <f>Z7/E7</f>
        <v>8.5623749999999994</v>
      </c>
      <c r="AA8" s="182">
        <f>AA7/E7</f>
        <v>12.045375</v>
      </c>
      <c r="AB8" s="181">
        <f>AB7/E7</f>
        <v>6.6671499999999995</v>
      </c>
      <c r="AC8" s="183">
        <f>AC7/E7</f>
        <v>7.9915499999999993</v>
      </c>
      <c r="AD8" s="182">
        <f>AD7/E7</f>
        <v>11.242349999999998</v>
      </c>
      <c r="AE8" s="280"/>
      <c r="AF8" s="280"/>
      <c r="AG8" s="280"/>
      <c r="AH8" s="280"/>
      <c r="AI8" s="280"/>
      <c r="AJ8" s="280"/>
    </row>
    <row r="9" spans="1:37" ht="18" customHeight="1">
      <c r="B9" s="1221"/>
      <c r="C9" s="1242" t="s">
        <v>713</v>
      </c>
      <c r="D9" s="1243"/>
      <c r="E9" s="1244">
        <v>1000</v>
      </c>
      <c r="F9" s="1246">
        <f>E9*D10</f>
        <v>2200</v>
      </c>
      <c r="G9" s="1246">
        <f>F9*$G$6</f>
        <v>5720</v>
      </c>
      <c r="H9" s="1246">
        <f>F9*$H$6</f>
        <v>1430</v>
      </c>
      <c r="I9" s="1246">
        <f>F9*110%</f>
        <v>2420</v>
      </c>
      <c r="J9" s="1246">
        <f>F9*8%*12</f>
        <v>2112</v>
      </c>
      <c r="K9" s="1246">
        <f>F9*12%*12</f>
        <v>3168</v>
      </c>
      <c r="L9" s="1248">
        <f>F9*6%*12</f>
        <v>1584</v>
      </c>
      <c r="M9" s="595">
        <f>G9+H9+I9+(J9/12)</f>
        <v>9746</v>
      </c>
      <c r="N9" s="837">
        <f>G9+H9+I9+J9</f>
        <v>11682</v>
      </c>
      <c r="O9" s="838">
        <f>G9+H9+I9+J9+K9+L9</f>
        <v>16434</v>
      </c>
      <c r="P9" s="595">
        <f>$M9*$R$5</f>
        <v>9063.7800000000007</v>
      </c>
      <c r="Q9" s="837">
        <f>$N9*$R$5</f>
        <v>10864.26</v>
      </c>
      <c r="R9" s="838">
        <f>$O9*$R$5</f>
        <v>15283.62</v>
      </c>
      <c r="S9" s="595">
        <f>$M9*$U$5</f>
        <v>8381.56</v>
      </c>
      <c r="T9" s="837">
        <f t="shared" ref="T9:U9" si="2">N9*$U$5</f>
        <v>10046.52</v>
      </c>
      <c r="U9" s="838">
        <f t="shared" si="2"/>
        <v>14133.24</v>
      </c>
      <c r="V9" s="595">
        <f>$M9*$X$5</f>
        <v>8089.1799999999994</v>
      </c>
      <c r="W9" s="837">
        <f>$N9*$X$5</f>
        <v>9696.06</v>
      </c>
      <c r="X9" s="838">
        <f>$O9*$X$5</f>
        <v>13640.22</v>
      </c>
      <c r="Y9" s="595">
        <f>$M9*$AA$5</f>
        <v>7309.5</v>
      </c>
      <c r="Z9" s="837">
        <f>$N9*$AA$5</f>
        <v>8761.5</v>
      </c>
      <c r="AA9" s="838">
        <f>$O9*$AA$5</f>
        <v>12325.5</v>
      </c>
      <c r="AB9" s="839">
        <f>$M9*$AD$5</f>
        <v>6822.2</v>
      </c>
      <c r="AC9" s="837">
        <f>$N9*$AD$5</f>
        <v>8177.4</v>
      </c>
      <c r="AD9" s="838">
        <f>$O9*$AD$5</f>
        <v>11503.8</v>
      </c>
      <c r="AE9" s="280"/>
      <c r="AF9" s="280"/>
      <c r="AG9" s="280"/>
      <c r="AH9" s="280"/>
      <c r="AI9" s="280"/>
      <c r="AJ9" s="280"/>
    </row>
    <row r="10" spans="1:37" ht="18" customHeight="1">
      <c r="B10" s="1221"/>
      <c r="C10" s="320" t="s">
        <v>880</v>
      </c>
      <c r="D10" s="105">
        <v>2.2000000000000002</v>
      </c>
      <c r="E10" s="1239"/>
      <c r="F10" s="1229"/>
      <c r="G10" s="1229"/>
      <c r="H10" s="1229"/>
      <c r="I10" s="1229"/>
      <c r="J10" s="1229"/>
      <c r="K10" s="1229"/>
      <c r="L10" s="1241"/>
      <c r="M10" s="180">
        <f t="shared" ref="M10:R10" si="3">M9/$E9</f>
        <v>9.7460000000000004</v>
      </c>
      <c r="N10" s="183">
        <f t="shared" si="3"/>
        <v>11.682</v>
      </c>
      <c r="O10" s="182">
        <f t="shared" si="3"/>
        <v>16.434000000000001</v>
      </c>
      <c r="P10" s="180">
        <f t="shared" si="3"/>
        <v>9.0637800000000013</v>
      </c>
      <c r="Q10" s="183">
        <f t="shared" si="3"/>
        <v>10.86426</v>
      </c>
      <c r="R10" s="182">
        <f t="shared" si="3"/>
        <v>15.283620000000001</v>
      </c>
      <c r="S10" s="180">
        <f>S9/$E9</f>
        <v>8.3815600000000003</v>
      </c>
      <c r="T10" s="183">
        <f t="shared" ref="T10:AD10" si="4">T9/$E9</f>
        <v>10.046520000000001</v>
      </c>
      <c r="U10" s="182">
        <f t="shared" si="4"/>
        <v>14.133239999999999</v>
      </c>
      <c r="V10" s="180">
        <f t="shared" si="4"/>
        <v>8.0891799999999989</v>
      </c>
      <c r="W10" s="183">
        <f t="shared" si="4"/>
        <v>9.6960599999999992</v>
      </c>
      <c r="X10" s="182">
        <f t="shared" si="4"/>
        <v>13.640219999999999</v>
      </c>
      <c r="Y10" s="180">
        <f t="shared" si="4"/>
        <v>7.3094999999999999</v>
      </c>
      <c r="Z10" s="183">
        <f t="shared" si="4"/>
        <v>8.7614999999999998</v>
      </c>
      <c r="AA10" s="182">
        <f t="shared" si="4"/>
        <v>12.3255</v>
      </c>
      <c r="AB10" s="181">
        <f t="shared" si="4"/>
        <v>6.8221999999999996</v>
      </c>
      <c r="AC10" s="183">
        <f t="shared" si="4"/>
        <v>8.1774000000000004</v>
      </c>
      <c r="AD10" s="182">
        <f t="shared" si="4"/>
        <v>11.5038</v>
      </c>
      <c r="AE10" s="280"/>
      <c r="AF10" s="280"/>
      <c r="AG10" s="280"/>
      <c r="AH10" s="280"/>
      <c r="AI10" s="280"/>
      <c r="AJ10" s="280"/>
    </row>
    <row r="11" spans="1:37" ht="18" customHeight="1">
      <c r="B11" s="1221"/>
      <c r="C11" s="1444" t="s">
        <v>714</v>
      </c>
      <c r="D11" s="1445"/>
      <c r="E11" s="1244">
        <v>1000</v>
      </c>
      <c r="F11" s="1246">
        <f>E11*D12</f>
        <v>160</v>
      </c>
      <c r="G11" s="1246">
        <f>F11*25%*12</f>
        <v>480</v>
      </c>
      <c r="H11" s="1246">
        <f>F11*5.5%*12</f>
        <v>105.60000000000001</v>
      </c>
      <c r="I11" s="1443"/>
      <c r="J11" s="1246">
        <f>F11*8.6%*12</f>
        <v>165.11999999999998</v>
      </c>
      <c r="K11" s="1443"/>
      <c r="L11" s="1443"/>
      <c r="M11" s="446">
        <f>(G11+H11+J11)/12</f>
        <v>62.56</v>
      </c>
      <c r="N11" s="910">
        <f>G11+H11+I11+J11+K11</f>
        <v>750.72</v>
      </c>
      <c r="O11" s="911">
        <f>N11</f>
        <v>750.72</v>
      </c>
      <c r="P11" s="446">
        <f>$M11*$R$5</f>
        <v>58.180800000000005</v>
      </c>
      <c r="Q11" s="910">
        <f>$N11*$R$5</f>
        <v>698.16960000000006</v>
      </c>
      <c r="R11" s="911">
        <f>$O11*$R$5</f>
        <v>698.16960000000006</v>
      </c>
      <c r="S11" s="446">
        <f>$M11*$U$5</f>
        <v>53.801600000000001</v>
      </c>
      <c r="T11" s="910">
        <f t="shared" ref="T11:U11" si="5">N11*$U$5</f>
        <v>645.61919999999998</v>
      </c>
      <c r="U11" s="911">
        <f t="shared" si="5"/>
        <v>645.61919999999998</v>
      </c>
      <c r="V11" s="446">
        <f>$M11*$X$5</f>
        <v>51.924799999999998</v>
      </c>
      <c r="W11" s="910">
        <f>$N11*$X$5</f>
        <v>623.09759999999994</v>
      </c>
      <c r="X11" s="911">
        <f>$O11*$X$5</f>
        <v>623.09759999999994</v>
      </c>
      <c r="Y11" s="446">
        <f>$M11*$AA$5</f>
        <v>46.92</v>
      </c>
      <c r="Z11" s="910">
        <f>$N11*$AA$5</f>
        <v>563.04</v>
      </c>
      <c r="AA11" s="911">
        <f>$O11*$AA$5</f>
        <v>563.04</v>
      </c>
      <c r="AB11" s="447">
        <f>$M11*$AD$5</f>
        <v>43.792000000000002</v>
      </c>
      <c r="AC11" s="910">
        <f>$N11*$AD$5</f>
        <v>525.50400000000002</v>
      </c>
      <c r="AD11" s="911">
        <f>$O11*$AD$5</f>
        <v>525.50400000000002</v>
      </c>
      <c r="AE11" s="280"/>
      <c r="AF11" s="280"/>
      <c r="AG11" s="280"/>
      <c r="AH11" s="280"/>
      <c r="AI11" s="280"/>
      <c r="AJ11" s="280"/>
    </row>
    <row r="12" spans="1:37" ht="18" customHeight="1" thickBot="1">
      <c r="B12" s="1235"/>
      <c r="C12" s="268" t="s">
        <v>440</v>
      </c>
      <c r="D12" s="796">
        <v>0.16</v>
      </c>
      <c r="E12" s="1245"/>
      <c r="F12" s="1247"/>
      <c r="G12" s="1247"/>
      <c r="H12" s="1247"/>
      <c r="I12" s="1438"/>
      <c r="J12" s="1247"/>
      <c r="K12" s="1438"/>
      <c r="L12" s="1438"/>
      <c r="M12" s="170">
        <f>M11/E11</f>
        <v>6.2560000000000004E-2</v>
      </c>
      <c r="N12" s="171">
        <f>N11/E11</f>
        <v>0.75072000000000005</v>
      </c>
      <c r="O12" s="172">
        <f>O11/E11</f>
        <v>0.75072000000000005</v>
      </c>
      <c r="P12" s="170">
        <f>P11/E11</f>
        <v>5.8180800000000005E-2</v>
      </c>
      <c r="Q12" s="171">
        <f>Q11/E11</f>
        <v>0.69816960000000006</v>
      </c>
      <c r="R12" s="172">
        <f>R11/E11</f>
        <v>0.69816960000000006</v>
      </c>
      <c r="S12" s="170">
        <f>S11/$E11</f>
        <v>5.3801599999999998E-2</v>
      </c>
      <c r="T12" s="171">
        <f t="shared" ref="T12:U12" si="6">T11/$E11</f>
        <v>0.64561919999999995</v>
      </c>
      <c r="U12" s="172">
        <f t="shared" si="6"/>
        <v>0.64561919999999995</v>
      </c>
      <c r="V12" s="170">
        <f>V11/E11</f>
        <v>5.19248E-2</v>
      </c>
      <c r="W12" s="171">
        <f>W11/E11</f>
        <v>0.62309759999999992</v>
      </c>
      <c r="X12" s="172">
        <f>X11/E11</f>
        <v>0.62309759999999992</v>
      </c>
      <c r="Y12" s="170">
        <f>Y11/E11</f>
        <v>4.6920000000000003E-2</v>
      </c>
      <c r="Z12" s="171">
        <f>Z11/E11</f>
        <v>0.56303999999999998</v>
      </c>
      <c r="AA12" s="172">
        <f>AA11/E11</f>
        <v>0.56303999999999998</v>
      </c>
      <c r="AB12" s="186">
        <f>AB11/E11</f>
        <v>4.3792000000000005E-2</v>
      </c>
      <c r="AC12" s="171">
        <f>AC11/E11</f>
        <v>0.52550399999999997</v>
      </c>
      <c r="AD12" s="172">
        <f>AD11/E11</f>
        <v>0.52550399999999997</v>
      </c>
      <c r="AE12" s="280"/>
      <c r="AF12" s="280"/>
      <c r="AG12" s="280"/>
      <c r="AH12" s="280"/>
      <c r="AI12" s="280"/>
      <c r="AJ12" s="280"/>
    </row>
    <row r="13" spans="1:37" ht="18" customHeight="1">
      <c r="B13" s="1221" t="s">
        <v>441</v>
      </c>
      <c r="C13" s="1242" t="s">
        <v>715</v>
      </c>
      <c r="D13" s="1243"/>
      <c r="E13" s="1244">
        <v>1000</v>
      </c>
      <c r="F13" s="1246">
        <f>E13*D14</f>
        <v>2250</v>
      </c>
      <c r="G13" s="1246">
        <f>F13*$G$6</f>
        <v>5850</v>
      </c>
      <c r="H13" s="1246">
        <f>F13*$H$6</f>
        <v>1462.5</v>
      </c>
      <c r="I13" s="1246">
        <f t="shared" ref="I13" si="7">F13*110%</f>
        <v>2475</v>
      </c>
      <c r="J13" s="1246">
        <f t="shared" ref="J13" si="8">F13*8%*12</f>
        <v>2160</v>
      </c>
      <c r="K13" s="1246">
        <f t="shared" ref="K13" si="9">F13*12%*12</f>
        <v>3240</v>
      </c>
      <c r="L13" s="1248">
        <f t="shared" ref="L13" si="10">F13*6%*12</f>
        <v>1620</v>
      </c>
      <c r="M13" s="446">
        <f>G13+H13+I13+(J13/12)</f>
        <v>9967.5</v>
      </c>
      <c r="N13" s="910">
        <f>G13+H13+I13+J13</f>
        <v>11947.5</v>
      </c>
      <c r="O13" s="911">
        <f>G13+H13+I13+J13+K13+L13</f>
        <v>16807.5</v>
      </c>
      <c r="P13" s="446">
        <f>$M13*$R$5</f>
        <v>9269.7749999999996</v>
      </c>
      <c r="Q13" s="910">
        <f>$N13*$R$5</f>
        <v>11111.175000000001</v>
      </c>
      <c r="R13" s="911">
        <f>$O13*$R$5</f>
        <v>15630.975</v>
      </c>
      <c r="S13" s="446">
        <f>$M13*$U$5</f>
        <v>8572.0499999999993</v>
      </c>
      <c r="T13" s="910">
        <f t="shared" ref="T13:U13" si="11">N13*$U$5</f>
        <v>10274.85</v>
      </c>
      <c r="U13" s="911">
        <f t="shared" si="11"/>
        <v>14454.449999999999</v>
      </c>
      <c r="V13" s="446">
        <f>$M13*$X$5</f>
        <v>8273.0249999999996</v>
      </c>
      <c r="W13" s="910">
        <f>$N13*$X$5</f>
        <v>9916.4249999999993</v>
      </c>
      <c r="X13" s="911">
        <f>$O13*$X$5</f>
        <v>13950.224999999999</v>
      </c>
      <c r="Y13" s="446">
        <f>$M13*$AA$5</f>
        <v>7475.625</v>
      </c>
      <c r="Z13" s="910">
        <f>$N13*$AA$5</f>
        <v>8960.625</v>
      </c>
      <c r="AA13" s="911">
        <f>$O13*$AA$5</f>
        <v>12605.625</v>
      </c>
      <c r="AB13" s="447">
        <f>$M13*$AD$5</f>
        <v>6977.25</v>
      </c>
      <c r="AC13" s="910">
        <f>$N13*$AD$5</f>
        <v>8363.25</v>
      </c>
      <c r="AD13" s="911">
        <f>$O13*$AD$5</f>
        <v>11765.25</v>
      </c>
      <c r="AE13" s="280"/>
      <c r="AF13" s="280"/>
      <c r="AG13" s="280"/>
      <c r="AH13" s="280"/>
      <c r="AI13" s="280"/>
    </row>
    <row r="14" spans="1:37" ht="18" customHeight="1">
      <c r="B14" s="1221"/>
      <c r="C14" s="320" t="s">
        <v>716</v>
      </c>
      <c r="D14" s="105">
        <v>2.25</v>
      </c>
      <c r="E14" s="1239"/>
      <c r="F14" s="1229"/>
      <c r="G14" s="1229"/>
      <c r="H14" s="1229"/>
      <c r="I14" s="1229"/>
      <c r="J14" s="1229"/>
      <c r="K14" s="1229"/>
      <c r="L14" s="1241"/>
      <c r="M14" s="180">
        <f>M13/E13</f>
        <v>9.9674999999999994</v>
      </c>
      <c r="N14" s="183">
        <f>N13/E13</f>
        <v>11.9475</v>
      </c>
      <c r="O14" s="182">
        <f>O13/E13</f>
        <v>16.807500000000001</v>
      </c>
      <c r="P14" s="180">
        <f>P13/E13</f>
        <v>9.2697749999999992</v>
      </c>
      <c r="Q14" s="183">
        <f>Q13/E13</f>
        <v>11.111175000000001</v>
      </c>
      <c r="R14" s="182">
        <f>R13/E13</f>
        <v>15.630975000000001</v>
      </c>
      <c r="S14" s="180">
        <f>S13/$E13</f>
        <v>8.5720499999999991</v>
      </c>
      <c r="T14" s="183">
        <f t="shared" ref="T14:U14" si="12">T13/$E13</f>
        <v>10.274850000000001</v>
      </c>
      <c r="U14" s="182">
        <f t="shared" si="12"/>
        <v>14.45445</v>
      </c>
      <c r="V14" s="180">
        <f>V13/E13</f>
        <v>8.2730250000000005</v>
      </c>
      <c r="W14" s="183">
        <f>W13/E13</f>
        <v>9.9164249999999985</v>
      </c>
      <c r="X14" s="182">
        <f>X13/E13</f>
        <v>13.950224999999998</v>
      </c>
      <c r="Y14" s="180">
        <f>Y13/E13</f>
        <v>7.475625</v>
      </c>
      <c r="Z14" s="183">
        <f>Z13/E13</f>
        <v>8.9606250000000003</v>
      </c>
      <c r="AA14" s="182">
        <f>AA13/E13</f>
        <v>12.605625</v>
      </c>
      <c r="AB14" s="181">
        <f>AB13/E13</f>
        <v>6.9772499999999997</v>
      </c>
      <c r="AC14" s="183">
        <f>AC13/E13</f>
        <v>8.3632500000000007</v>
      </c>
      <c r="AD14" s="182">
        <f>AD13/E13</f>
        <v>11.76525</v>
      </c>
      <c r="AE14" s="280"/>
      <c r="AF14" s="280"/>
      <c r="AG14" s="280"/>
      <c r="AH14" s="280"/>
      <c r="AI14" s="280"/>
    </row>
    <row r="15" spans="1:37" ht="18" customHeight="1">
      <c r="B15" s="1221"/>
      <c r="C15" s="1441" t="s">
        <v>717</v>
      </c>
      <c r="D15" s="1442"/>
      <c r="E15" s="1332">
        <v>1000</v>
      </c>
      <c r="F15" s="1234">
        <f>E15*D16</f>
        <v>1950</v>
      </c>
      <c r="G15" s="1234">
        <f>F15*$G$6</f>
        <v>5070</v>
      </c>
      <c r="H15" s="1234">
        <f>F15*$H$6</f>
        <v>1267.5</v>
      </c>
      <c r="I15" s="1234">
        <f t="shared" ref="I15" si="13">F15*110%</f>
        <v>2145</v>
      </c>
      <c r="J15" s="1234">
        <f t="shared" ref="J15" si="14">F15*8%*12</f>
        <v>1872</v>
      </c>
      <c r="K15" s="1234">
        <f t="shared" ref="K15" si="15">F15*12%*12</f>
        <v>2808</v>
      </c>
      <c r="L15" s="1326">
        <f t="shared" ref="L15" si="16">F15*6%*12</f>
        <v>1404</v>
      </c>
      <c r="M15" s="440">
        <f>G15+H15+I15+(J15/12)</f>
        <v>8638.5</v>
      </c>
      <c r="N15" s="596">
        <f>G15+H15+I15+J15</f>
        <v>10354.5</v>
      </c>
      <c r="O15" s="443">
        <f>G15+H15+I15+J15+K15+L15</f>
        <v>14566.5</v>
      </c>
      <c r="P15" s="440">
        <f>$M15*$R$5</f>
        <v>8033.8050000000003</v>
      </c>
      <c r="Q15" s="596">
        <f>$N15*$R$5</f>
        <v>9629.6850000000013</v>
      </c>
      <c r="R15" s="443">
        <f>$O15*$R$5</f>
        <v>13546.845000000001</v>
      </c>
      <c r="S15" s="440">
        <f>$M15*$U$5</f>
        <v>7429.11</v>
      </c>
      <c r="T15" s="596">
        <f t="shared" ref="T15:U15" si="17">N15*$U$5</f>
        <v>8904.869999999999</v>
      </c>
      <c r="U15" s="443">
        <f t="shared" si="17"/>
        <v>12527.19</v>
      </c>
      <c r="V15" s="440">
        <f>$M15*$X$5</f>
        <v>7169.9549999999999</v>
      </c>
      <c r="W15" s="596">
        <f>$N15*$X$5</f>
        <v>8594.2349999999988</v>
      </c>
      <c r="X15" s="443">
        <f>$O15*$X$5</f>
        <v>12090.195</v>
      </c>
      <c r="Y15" s="440">
        <f>$M15*$AA$5</f>
        <v>6478.875</v>
      </c>
      <c r="Z15" s="596">
        <f>$N15*$AA$5</f>
        <v>7765.875</v>
      </c>
      <c r="AA15" s="443">
        <f>$O15*$AA$5</f>
        <v>10924.875</v>
      </c>
      <c r="AB15" s="442">
        <f>$M15*$AD$5</f>
        <v>6046.95</v>
      </c>
      <c r="AC15" s="596">
        <f>$N15*$AD$5</f>
        <v>7248.15</v>
      </c>
      <c r="AD15" s="443">
        <f>$O15*$AD$5</f>
        <v>10196.549999999999</v>
      </c>
      <c r="AE15" s="280"/>
      <c r="AF15" s="280"/>
      <c r="AG15" s="280"/>
      <c r="AH15" s="280"/>
      <c r="AI15" s="280"/>
    </row>
    <row r="16" spans="1:37" ht="18" customHeight="1">
      <c r="B16" s="1221"/>
      <c r="C16" s="320" t="s">
        <v>716</v>
      </c>
      <c r="D16" s="105">
        <v>1.95</v>
      </c>
      <c r="E16" s="1239"/>
      <c r="F16" s="1229"/>
      <c r="G16" s="1229"/>
      <c r="H16" s="1229"/>
      <c r="I16" s="1229"/>
      <c r="J16" s="1229"/>
      <c r="K16" s="1229"/>
      <c r="L16" s="1241"/>
      <c r="M16" s="180">
        <f>M15/E15</f>
        <v>8.6385000000000005</v>
      </c>
      <c r="N16" s="183">
        <f>N15/E15</f>
        <v>10.3545</v>
      </c>
      <c r="O16" s="182">
        <f>O15/E15</f>
        <v>14.5665</v>
      </c>
      <c r="P16" s="180">
        <f>P15/E15</f>
        <v>8.033805000000001</v>
      </c>
      <c r="Q16" s="183">
        <f>Q15/E15</f>
        <v>9.629685000000002</v>
      </c>
      <c r="R16" s="182">
        <f>R15/E15</f>
        <v>13.546845000000001</v>
      </c>
      <c r="S16" s="180">
        <f>S15/$E15</f>
        <v>7.4291099999999997</v>
      </c>
      <c r="T16" s="183">
        <f t="shared" ref="T16:U16" si="18">T15/$E15</f>
        <v>8.904869999999999</v>
      </c>
      <c r="U16" s="182">
        <f t="shared" si="18"/>
        <v>12.527190000000001</v>
      </c>
      <c r="V16" s="180">
        <f>V15/E15</f>
        <v>7.1699549999999999</v>
      </c>
      <c r="W16" s="183">
        <f>W15/E15</f>
        <v>8.5942349999999994</v>
      </c>
      <c r="X16" s="182">
        <f>X15/E15</f>
        <v>12.090195</v>
      </c>
      <c r="Y16" s="180">
        <f>Y15/E15</f>
        <v>6.4788750000000004</v>
      </c>
      <c r="Z16" s="183">
        <f>Z15/E15</f>
        <v>7.7658750000000003</v>
      </c>
      <c r="AA16" s="182">
        <f>AA15/E15</f>
        <v>10.924875</v>
      </c>
      <c r="AB16" s="181">
        <f>AB15/E15</f>
        <v>6.0469499999999998</v>
      </c>
      <c r="AC16" s="183">
        <f>AC15/E15</f>
        <v>7.2481499999999999</v>
      </c>
      <c r="AD16" s="182">
        <f>AD15/E15</f>
        <v>10.196549999999998</v>
      </c>
      <c r="AE16" s="280"/>
      <c r="AF16" s="280"/>
      <c r="AG16" s="280"/>
      <c r="AH16" s="280"/>
      <c r="AI16" s="280"/>
    </row>
    <row r="17" spans="2:35" ht="18" customHeight="1">
      <c r="B17" s="1221"/>
      <c r="C17" s="1441" t="s">
        <v>718</v>
      </c>
      <c r="D17" s="1442"/>
      <c r="E17" s="1332">
        <v>1000</v>
      </c>
      <c r="F17" s="1234">
        <f>E17*D18</f>
        <v>1900</v>
      </c>
      <c r="G17" s="1234">
        <f>F17*$G$6</f>
        <v>4940</v>
      </c>
      <c r="H17" s="1234">
        <f>F17*$H$6</f>
        <v>1235</v>
      </c>
      <c r="I17" s="1234">
        <f t="shared" ref="I17" si="19">F17*110%</f>
        <v>2090</v>
      </c>
      <c r="J17" s="1234">
        <f t="shared" ref="J17" si="20">F17*8%*12</f>
        <v>1824</v>
      </c>
      <c r="K17" s="1234">
        <f t="shared" ref="K17" si="21">F17*12%*12</f>
        <v>2736</v>
      </c>
      <c r="L17" s="1326">
        <f t="shared" ref="L17" si="22">F17*6%*12</f>
        <v>1368</v>
      </c>
      <c r="M17" s="440">
        <f>G17+H17+I17+(J17/12)</f>
        <v>8417</v>
      </c>
      <c r="N17" s="596">
        <f>G17+H17+I17+J17</f>
        <v>10089</v>
      </c>
      <c r="O17" s="443">
        <f>G17+H17+I17+J17+K17+L17</f>
        <v>14193</v>
      </c>
      <c r="P17" s="440">
        <f>$M17*$R$5</f>
        <v>7827.81</v>
      </c>
      <c r="Q17" s="596">
        <f>$N17*$R$5</f>
        <v>9382.77</v>
      </c>
      <c r="R17" s="443">
        <f>$O17*$R$5</f>
        <v>13199.490000000002</v>
      </c>
      <c r="S17" s="440">
        <f>$M17*$U$5</f>
        <v>7238.62</v>
      </c>
      <c r="T17" s="596">
        <f t="shared" ref="T17:U17" si="23">N17*$U$5</f>
        <v>8676.5399999999991</v>
      </c>
      <c r="U17" s="443">
        <f t="shared" si="23"/>
        <v>12205.98</v>
      </c>
      <c r="V17" s="440">
        <f>$M17*$X$5</f>
        <v>6986.11</v>
      </c>
      <c r="W17" s="596">
        <f>$N17*$X$5</f>
        <v>8373.869999999999</v>
      </c>
      <c r="X17" s="443">
        <f>$O17*$X$5</f>
        <v>11780.189999999999</v>
      </c>
      <c r="Y17" s="440">
        <f>$M17*$AA$5</f>
        <v>6312.75</v>
      </c>
      <c r="Z17" s="596">
        <f>$N17*$AA$5</f>
        <v>7566.75</v>
      </c>
      <c r="AA17" s="443">
        <f>$O17*$AA$5</f>
        <v>10644.75</v>
      </c>
      <c r="AB17" s="442">
        <f>$M17*$AD$5</f>
        <v>5891.9</v>
      </c>
      <c r="AC17" s="596">
        <f>$N17*$AD$5</f>
        <v>7062.2999999999993</v>
      </c>
      <c r="AD17" s="443">
        <f>$O17*$AD$5</f>
        <v>9935.0999999999985</v>
      </c>
      <c r="AE17" s="280"/>
      <c r="AF17" s="280"/>
      <c r="AG17" s="280"/>
      <c r="AH17" s="280"/>
      <c r="AI17" s="280"/>
    </row>
    <row r="18" spans="2:35" ht="18" customHeight="1">
      <c r="B18" s="1221"/>
      <c r="C18" s="320" t="s">
        <v>719</v>
      </c>
      <c r="D18" s="105">
        <v>1.9</v>
      </c>
      <c r="E18" s="1239"/>
      <c r="F18" s="1229"/>
      <c r="G18" s="1229"/>
      <c r="H18" s="1229"/>
      <c r="I18" s="1229"/>
      <c r="J18" s="1229"/>
      <c r="K18" s="1229"/>
      <c r="L18" s="1241"/>
      <c r="M18" s="180">
        <f>M17/E17</f>
        <v>8.4169999999999998</v>
      </c>
      <c r="N18" s="183">
        <f>N17/E17</f>
        <v>10.089</v>
      </c>
      <c r="O18" s="182">
        <f>O17/E17</f>
        <v>14.193</v>
      </c>
      <c r="P18" s="180">
        <f>P17/E17</f>
        <v>7.8278100000000004</v>
      </c>
      <c r="Q18" s="183">
        <f>Q17/E17</f>
        <v>9.3827700000000007</v>
      </c>
      <c r="R18" s="182">
        <f>R17/E17</f>
        <v>13.199490000000001</v>
      </c>
      <c r="S18" s="180">
        <f>S17/$E17</f>
        <v>7.2386200000000001</v>
      </c>
      <c r="T18" s="183">
        <f t="shared" ref="T18:U18" si="24">T17/$E17</f>
        <v>8.6765399999999993</v>
      </c>
      <c r="U18" s="182">
        <f t="shared" si="24"/>
        <v>12.20598</v>
      </c>
      <c r="V18" s="180">
        <f>V17/E17</f>
        <v>6.98611</v>
      </c>
      <c r="W18" s="183">
        <f>W17/E17</f>
        <v>8.3738699999999984</v>
      </c>
      <c r="X18" s="182">
        <f>X17/E17</f>
        <v>11.780189999999999</v>
      </c>
      <c r="Y18" s="180">
        <f>Y17/E17</f>
        <v>6.3127500000000003</v>
      </c>
      <c r="Z18" s="183">
        <f>Z17/E17</f>
        <v>7.5667499999999999</v>
      </c>
      <c r="AA18" s="182">
        <f>AA17/E17</f>
        <v>10.64475</v>
      </c>
      <c r="AB18" s="181">
        <f>AB17/E17</f>
        <v>5.8918999999999997</v>
      </c>
      <c r="AC18" s="183">
        <f>AC17/E17</f>
        <v>7.0622999999999996</v>
      </c>
      <c r="AD18" s="182">
        <f>AD17/E17</f>
        <v>9.9350999999999985</v>
      </c>
      <c r="AE18" s="280"/>
      <c r="AF18" s="280"/>
      <c r="AG18" s="280"/>
      <c r="AH18" s="280"/>
      <c r="AI18" s="280"/>
    </row>
    <row r="19" spans="2:35" ht="18" customHeight="1">
      <c r="B19" s="1221"/>
      <c r="C19" s="1441" t="s">
        <v>720</v>
      </c>
      <c r="D19" s="1442"/>
      <c r="E19" s="1332">
        <v>1000</v>
      </c>
      <c r="F19" s="1234">
        <f>E19*D20</f>
        <v>1500</v>
      </c>
      <c r="G19" s="1234">
        <f>F19*$G$6</f>
        <v>3900</v>
      </c>
      <c r="H19" s="1234">
        <f>F19*$H$6</f>
        <v>975</v>
      </c>
      <c r="I19" s="1234">
        <f t="shared" ref="I19" si="25">F19*110%</f>
        <v>1650.0000000000002</v>
      </c>
      <c r="J19" s="1234">
        <f t="shared" ref="J19" si="26">F19*8%*12</f>
        <v>1440</v>
      </c>
      <c r="K19" s="1234">
        <f t="shared" ref="K19" si="27">F19*12%*12</f>
        <v>2160</v>
      </c>
      <c r="L19" s="1326">
        <f t="shared" ref="L19" si="28">F19*6%*12</f>
        <v>1080</v>
      </c>
      <c r="M19" s="440">
        <f>G19+H19+I19+(J19/12)</f>
        <v>6645</v>
      </c>
      <c r="N19" s="596">
        <f>G19+H19+I19+J19</f>
        <v>7965</v>
      </c>
      <c r="O19" s="443">
        <f>G19+H19+I19+J19+K19+L19</f>
        <v>11205</v>
      </c>
      <c r="P19" s="440">
        <f>$M19*$R$5</f>
        <v>6179.85</v>
      </c>
      <c r="Q19" s="596">
        <f>$N19*$R$5</f>
        <v>7407.4500000000007</v>
      </c>
      <c r="R19" s="443">
        <f>$O19*$R$5</f>
        <v>10420.650000000001</v>
      </c>
      <c r="S19" s="440">
        <f>$M19*$U$5</f>
        <v>5714.7</v>
      </c>
      <c r="T19" s="596">
        <f t="shared" ref="T19:U19" si="29">N19*$U$5</f>
        <v>6849.9</v>
      </c>
      <c r="U19" s="443">
        <f t="shared" si="29"/>
        <v>9636.2999999999993</v>
      </c>
      <c r="V19" s="440">
        <f>$M19*$X$5</f>
        <v>5515.3499999999995</v>
      </c>
      <c r="W19" s="596">
        <f>$N19*$X$5</f>
        <v>6610.95</v>
      </c>
      <c r="X19" s="443">
        <f>$O19*$X$5</f>
        <v>9300.15</v>
      </c>
      <c r="Y19" s="440">
        <f>$M19*$AA$5</f>
        <v>4983.75</v>
      </c>
      <c r="Z19" s="596">
        <f>$N19*$AA$5</f>
        <v>5973.75</v>
      </c>
      <c r="AA19" s="443">
        <f>$O19*$AA$5</f>
        <v>8403.75</v>
      </c>
      <c r="AB19" s="442">
        <f>$M19*$AD$5</f>
        <v>4651.5</v>
      </c>
      <c r="AC19" s="596">
        <f>$N19*$AD$5</f>
        <v>5575.5</v>
      </c>
      <c r="AD19" s="443">
        <f>$O19*$AD$5</f>
        <v>7843.4999999999991</v>
      </c>
      <c r="AE19" s="280"/>
      <c r="AF19" s="280"/>
      <c r="AG19" s="280"/>
      <c r="AH19" s="280"/>
      <c r="AI19" s="280"/>
    </row>
    <row r="20" spans="2:35" ht="18" customHeight="1">
      <c r="B20" s="1221"/>
      <c r="C20" s="320" t="s">
        <v>721</v>
      </c>
      <c r="D20" s="105">
        <v>1.5</v>
      </c>
      <c r="E20" s="1239"/>
      <c r="F20" s="1229"/>
      <c r="G20" s="1229"/>
      <c r="H20" s="1229"/>
      <c r="I20" s="1229"/>
      <c r="J20" s="1229"/>
      <c r="K20" s="1229"/>
      <c r="L20" s="1241"/>
      <c r="M20" s="180">
        <f>M19/E19</f>
        <v>6.6449999999999996</v>
      </c>
      <c r="N20" s="183">
        <f>N19/E19</f>
        <v>7.9649999999999999</v>
      </c>
      <c r="O20" s="182">
        <f>O19/E19</f>
        <v>11.205</v>
      </c>
      <c r="P20" s="180">
        <f>P19/E19</f>
        <v>6.1798500000000001</v>
      </c>
      <c r="Q20" s="183">
        <f>Q19/E19</f>
        <v>7.4074500000000008</v>
      </c>
      <c r="R20" s="182">
        <f>R19/E19</f>
        <v>10.420650000000002</v>
      </c>
      <c r="S20" s="180">
        <f>S19/$E19</f>
        <v>5.7146999999999997</v>
      </c>
      <c r="T20" s="183">
        <f t="shared" ref="T20:U20" si="30">T19/$E19</f>
        <v>6.8498999999999999</v>
      </c>
      <c r="U20" s="182">
        <f t="shared" si="30"/>
        <v>9.6362999999999985</v>
      </c>
      <c r="V20" s="180">
        <f>V19/E19</f>
        <v>5.5153499999999998</v>
      </c>
      <c r="W20" s="183">
        <f>W19/E19</f>
        <v>6.6109499999999999</v>
      </c>
      <c r="X20" s="182">
        <f>X19/E19</f>
        <v>9.3001500000000004</v>
      </c>
      <c r="Y20" s="180">
        <f>Y19/E19</f>
        <v>4.9837499999999997</v>
      </c>
      <c r="Z20" s="183">
        <f>Z19/E19</f>
        <v>5.9737499999999999</v>
      </c>
      <c r="AA20" s="182">
        <f>AA19/E19</f>
        <v>8.4037500000000005</v>
      </c>
      <c r="AB20" s="181">
        <f>AB19/E19</f>
        <v>4.6515000000000004</v>
      </c>
      <c r="AC20" s="183">
        <f>AC19/E19</f>
        <v>5.5754999999999999</v>
      </c>
      <c r="AD20" s="182">
        <f>AD19/E19</f>
        <v>7.8434999999999988</v>
      </c>
      <c r="AE20" s="280"/>
      <c r="AF20" s="280"/>
      <c r="AG20" s="280"/>
      <c r="AH20" s="280"/>
      <c r="AI20" s="280"/>
    </row>
    <row r="21" spans="2:35" ht="18" customHeight="1">
      <c r="B21" s="1221"/>
      <c r="C21" s="1441" t="s">
        <v>722</v>
      </c>
      <c r="D21" s="1442"/>
      <c r="E21" s="1332">
        <v>1000</v>
      </c>
      <c r="F21" s="1234">
        <f>E21*D22</f>
        <v>1600</v>
      </c>
      <c r="G21" s="1234">
        <f>F21*$G$6</f>
        <v>4160</v>
      </c>
      <c r="H21" s="1234">
        <f>F21*$H$6</f>
        <v>1040</v>
      </c>
      <c r="I21" s="1234">
        <f t="shared" ref="I21" si="31">F21*110%</f>
        <v>1760.0000000000002</v>
      </c>
      <c r="J21" s="1234">
        <f t="shared" ref="J21" si="32">F21*8%*12</f>
        <v>1536</v>
      </c>
      <c r="K21" s="1234">
        <f t="shared" ref="K21" si="33">F21*12%*12</f>
        <v>2304</v>
      </c>
      <c r="L21" s="1326">
        <f t="shared" ref="L21" si="34">F21*6%*12</f>
        <v>1152</v>
      </c>
      <c r="M21" s="440">
        <f>G21+H21+I21+(J21/12)</f>
        <v>7088</v>
      </c>
      <c r="N21" s="596">
        <f>G21+H21+I21+J21</f>
        <v>8496</v>
      </c>
      <c r="O21" s="443">
        <f>G21+H21+I21+J21+K21+L21</f>
        <v>11952</v>
      </c>
      <c r="P21" s="440">
        <f>$M21*$R$5</f>
        <v>6591.84</v>
      </c>
      <c r="Q21" s="596">
        <f>$N21*$R$5</f>
        <v>7901.2800000000007</v>
      </c>
      <c r="R21" s="443">
        <f>$O21*$R$5</f>
        <v>11115.36</v>
      </c>
      <c r="S21" s="440">
        <f>$M21*$U$5</f>
        <v>6095.68</v>
      </c>
      <c r="T21" s="596">
        <f t="shared" ref="T21:U21" si="35">N21*$U$5</f>
        <v>7306.5599999999995</v>
      </c>
      <c r="U21" s="443">
        <f t="shared" si="35"/>
        <v>10278.719999999999</v>
      </c>
      <c r="V21" s="440">
        <f>$M21*$X$5</f>
        <v>5883.04</v>
      </c>
      <c r="W21" s="596">
        <f>$N21*$X$5</f>
        <v>7051.6799999999994</v>
      </c>
      <c r="X21" s="443">
        <f>$O21*$X$5</f>
        <v>9920.16</v>
      </c>
      <c r="Y21" s="440">
        <f>$M21*$AA$5</f>
        <v>5316</v>
      </c>
      <c r="Z21" s="596">
        <f>$N21*$AA$5</f>
        <v>6372</v>
      </c>
      <c r="AA21" s="443">
        <f>$O21*$AA$5</f>
        <v>8964</v>
      </c>
      <c r="AB21" s="442">
        <f>$M21*$AD$5</f>
        <v>4961.5999999999995</v>
      </c>
      <c r="AC21" s="596">
        <f>$N21*$AD$5</f>
        <v>5947.2</v>
      </c>
      <c r="AD21" s="443">
        <f>$O21*$AD$5</f>
        <v>8366.4</v>
      </c>
      <c r="AE21" s="280"/>
      <c r="AF21" s="280"/>
      <c r="AG21" s="280"/>
      <c r="AH21" s="280"/>
      <c r="AI21" s="280"/>
    </row>
    <row r="22" spans="2:35" ht="18" customHeight="1">
      <c r="B22" s="1221"/>
      <c r="C22" s="499" t="s">
        <v>723</v>
      </c>
      <c r="D22" s="552">
        <v>1.6</v>
      </c>
      <c r="E22" s="1239"/>
      <c r="F22" s="1229"/>
      <c r="G22" s="1229"/>
      <c r="H22" s="1229"/>
      <c r="I22" s="1229"/>
      <c r="J22" s="1229"/>
      <c r="K22" s="1229"/>
      <c r="L22" s="1241"/>
      <c r="M22" s="180">
        <f>M21/E21</f>
        <v>7.0880000000000001</v>
      </c>
      <c r="N22" s="183">
        <f>N21/E21</f>
        <v>8.4960000000000004</v>
      </c>
      <c r="O22" s="182">
        <f>O21/E21</f>
        <v>11.952</v>
      </c>
      <c r="P22" s="180">
        <f>P21/E21</f>
        <v>6.5918400000000004</v>
      </c>
      <c r="Q22" s="183">
        <f>Q21/E21</f>
        <v>7.9012800000000007</v>
      </c>
      <c r="R22" s="182">
        <f>R21/E21</f>
        <v>11.115360000000001</v>
      </c>
      <c r="S22" s="180">
        <f>S21/$E21</f>
        <v>6.0956800000000007</v>
      </c>
      <c r="T22" s="183">
        <f t="shared" ref="T22:U22" si="36">T21/$E21</f>
        <v>7.3065599999999993</v>
      </c>
      <c r="U22" s="182">
        <f t="shared" si="36"/>
        <v>10.27872</v>
      </c>
      <c r="V22" s="180">
        <f>V21/E21</f>
        <v>5.8830400000000003</v>
      </c>
      <c r="W22" s="183">
        <f>W21/E21</f>
        <v>7.0516799999999993</v>
      </c>
      <c r="X22" s="182">
        <f>X21/E21</f>
        <v>9.9201599999999992</v>
      </c>
      <c r="Y22" s="180">
        <f>Y21/E21</f>
        <v>5.3159999999999998</v>
      </c>
      <c r="Z22" s="183">
        <f>Z21/E21</f>
        <v>6.3719999999999999</v>
      </c>
      <c r="AA22" s="182">
        <f>AA21/E21</f>
        <v>8.9640000000000004</v>
      </c>
      <c r="AB22" s="181">
        <f>AB21/E21</f>
        <v>4.9615999999999998</v>
      </c>
      <c r="AC22" s="183">
        <f>AC21/E21</f>
        <v>5.9471999999999996</v>
      </c>
      <c r="AD22" s="182">
        <f>AD21/E21</f>
        <v>8.3664000000000005</v>
      </c>
      <c r="AE22" s="280"/>
      <c r="AF22" s="280"/>
      <c r="AG22" s="280"/>
      <c r="AH22" s="280"/>
      <c r="AI22" s="280"/>
    </row>
    <row r="23" spans="2:35" ht="18" customHeight="1">
      <c r="B23" s="1221"/>
      <c r="C23" s="1433" t="s">
        <v>724</v>
      </c>
      <c r="D23" s="1434"/>
      <c r="E23" s="1332">
        <v>1000</v>
      </c>
      <c r="F23" s="1234">
        <f>E23*D24</f>
        <v>400</v>
      </c>
      <c r="G23" s="1234">
        <f>F23*25%*12</f>
        <v>1200</v>
      </c>
      <c r="H23" s="1234">
        <f>F23*5.5%*12</f>
        <v>264</v>
      </c>
      <c r="I23" s="1437"/>
      <c r="J23" s="1234">
        <f>F23*8.6%*12</f>
        <v>412.79999999999995</v>
      </c>
      <c r="K23" s="1437"/>
      <c r="L23" s="1439"/>
      <c r="M23" s="447">
        <f>(G23+H23+J23)/12</f>
        <v>156.4</v>
      </c>
      <c r="N23" s="910">
        <f>G23+H23+I23+J23+K23</f>
        <v>1876.8</v>
      </c>
      <c r="O23" s="911">
        <f>N23</f>
        <v>1876.8</v>
      </c>
      <c r="P23" s="440">
        <f>$M23*$R$5</f>
        <v>145.45200000000003</v>
      </c>
      <c r="Q23" s="596">
        <f>$N23*$R$5</f>
        <v>1745.424</v>
      </c>
      <c r="R23" s="443">
        <f>$O23*$R$5</f>
        <v>1745.424</v>
      </c>
      <c r="S23" s="440">
        <f>$M23*$U$5</f>
        <v>134.50399999999999</v>
      </c>
      <c r="T23" s="596">
        <f t="shared" ref="T23:U23" si="37">N23*$U$5</f>
        <v>1614.048</v>
      </c>
      <c r="U23" s="443">
        <f t="shared" si="37"/>
        <v>1614.048</v>
      </c>
      <c r="V23" s="440">
        <f>$M23*$X$5</f>
        <v>129.81200000000001</v>
      </c>
      <c r="W23" s="596">
        <f>$N23*$X$5</f>
        <v>1557.7439999999999</v>
      </c>
      <c r="X23" s="443">
        <f>$O23*$X$5</f>
        <v>1557.7439999999999</v>
      </c>
      <c r="Y23" s="440">
        <f>$M23*$AA$5</f>
        <v>117.30000000000001</v>
      </c>
      <c r="Z23" s="596">
        <f>$N23*$AA$5</f>
        <v>1407.6</v>
      </c>
      <c r="AA23" s="443">
        <f>$O23*$AA$5</f>
        <v>1407.6</v>
      </c>
      <c r="AB23" s="442">
        <f>$M23*$AD$5</f>
        <v>109.48</v>
      </c>
      <c r="AC23" s="596">
        <f>$N23*$AD$5</f>
        <v>1313.76</v>
      </c>
      <c r="AD23" s="443">
        <f>$O23*$AD$5</f>
        <v>1313.76</v>
      </c>
      <c r="AE23" s="280"/>
      <c r="AF23" s="280"/>
      <c r="AG23" s="280"/>
      <c r="AH23" s="280"/>
      <c r="AI23" s="280"/>
    </row>
    <row r="24" spans="2:35" ht="18" customHeight="1" thickBot="1">
      <c r="B24" s="1235"/>
      <c r="C24" s="268" t="s">
        <v>725</v>
      </c>
      <c r="D24" s="796">
        <v>0.4</v>
      </c>
      <c r="E24" s="1245"/>
      <c r="F24" s="1247"/>
      <c r="G24" s="1247"/>
      <c r="H24" s="1247"/>
      <c r="I24" s="1438"/>
      <c r="J24" s="1247"/>
      <c r="K24" s="1438"/>
      <c r="L24" s="1440"/>
      <c r="M24" s="186">
        <f>M23/E23</f>
        <v>0.15640000000000001</v>
      </c>
      <c r="N24" s="171">
        <f>N23/E23</f>
        <v>1.8768</v>
      </c>
      <c r="O24" s="172">
        <f>O23/E23</f>
        <v>1.8768</v>
      </c>
      <c r="P24" s="170">
        <f>P23/E23</f>
        <v>0.14545200000000003</v>
      </c>
      <c r="Q24" s="171">
        <f>Q23/E23</f>
        <v>1.7454240000000001</v>
      </c>
      <c r="R24" s="172">
        <f>R23/E23</f>
        <v>1.7454240000000001</v>
      </c>
      <c r="S24" s="170">
        <f>S23/$E23</f>
        <v>0.13450399999999998</v>
      </c>
      <c r="T24" s="171">
        <f t="shared" ref="T24:U24" si="38">T23/$E23</f>
        <v>1.6140479999999999</v>
      </c>
      <c r="U24" s="172">
        <f t="shared" si="38"/>
        <v>1.6140479999999999</v>
      </c>
      <c r="V24" s="170">
        <f>V23/E23</f>
        <v>0.12981200000000001</v>
      </c>
      <c r="W24" s="171">
        <f>W23/E23</f>
        <v>1.557744</v>
      </c>
      <c r="X24" s="172">
        <f>X23/E23</f>
        <v>1.557744</v>
      </c>
      <c r="Y24" s="170">
        <f>Y23/E23</f>
        <v>0.11730000000000002</v>
      </c>
      <c r="Z24" s="171">
        <f>Z23/E23</f>
        <v>1.4076</v>
      </c>
      <c r="AA24" s="172">
        <f>AA23/E23</f>
        <v>1.4076</v>
      </c>
      <c r="AB24" s="186">
        <f>AB23/E23</f>
        <v>0.10948000000000001</v>
      </c>
      <c r="AC24" s="171">
        <f>AC23/E23</f>
        <v>1.31376</v>
      </c>
      <c r="AD24" s="172">
        <f>AD23/E23</f>
        <v>1.31376</v>
      </c>
      <c r="AE24" s="280"/>
      <c r="AF24" s="280"/>
      <c r="AG24" s="280"/>
      <c r="AH24" s="280"/>
      <c r="AI24" s="280"/>
    </row>
    <row r="25" spans="2:35" s="497" customFormat="1" ht="18" customHeight="1">
      <c r="B25" s="1220" t="s">
        <v>726</v>
      </c>
      <c r="C25" s="1432" t="s">
        <v>727</v>
      </c>
      <c r="D25" s="1335"/>
      <c r="E25" s="1238">
        <v>1000</v>
      </c>
      <c r="F25" s="1228">
        <f>E25*D26</f>
        <v>1250</v>
      </c>
      <c r="G25" s="1228">
        <f>F25*$G$6</f>
        <v>3250</v>
      </c>
      <c r="H25" s="1228"/>
      <c r="I25" s="1228">
        <f>F25*125%</f>
        <v>1562.5</v>
      </c>
      <c r="J25" s="1228">
        <f>F25*3%*12</f>
        <v>450</v>
      </c>
      <c r="K25" s="1228">
        <f>F25*4%*12</f>
        <v>600</v>
      </c>
      <c r="L25" s="1240">
        <f>F25*4%*12</f>
        <v>600</v>
      </c>
      <c r="M25" s="472">
        <f>G25+I25+(J25/12)</f>
        <v>4850</v>
      </c>
      <c r="N25" s="473">
        <f>G25+I25+J25</f>
        <v>5262.5</v>
      </c>
      <c r="O25" s="441">
        <f>G25+I25+J25+K25+L25</f>
        <v>6462.5</v>
      </c>
      <c r="P25" s="472">
        <f>$M25*$R$5</f>
        <v>4510.5</v>
      </c>
      <c r="Q25" s="473">
        <f>$N25*$R$5</f>
        <v>4894.125</v>
      </c>
      <c r="R25" s="441">
        <f>$O25*$R$5</f>
        <v>6010.125</v>
      </c>
      <c r="S25" s="472">
        <f>$M25*$U$5</f>
        <v>4171</v>
      </c>
      <c r="T25" s="473">
        <f t="shared" ref="T25:U25" si="39">N25*$U$5</f>
        <v>4525.75</v>
      </c>
      <c r="U25" s="441">
        <f t="shared" si="39"/>
        <v>5557.75</v>
      </c>
      <c r="V25" s="472">
        <f>$M25*$X$5</f>
        <v>4025.5</v>
      </c>
      <c r="W25" s="473">
        <f>$N25*$X$5</f>
        <v>4367.875</v>
      </c>
      <c r="X25" s="441">
        <f>$O25*$X$5</f>
        <v>5363.875</v>
      </c>
      <c r="Y25" s="472">
        <f>$M25*$AA$5</f>
        <v>3637.5</v>
      </c>
      <c r="Z25" s="473">
        <f>$N25*$AA$5</f>
        <v>3946.875</v>
      </c>
      <c r="AA25" s="441">
        <f>$O25*$AA$5</f>
        <v>4846.875</v>
      </c>
      <c r="AB25" s="474">
        <f>$M25*$AD$5</f>
        <v>3395</v>
      </c>
      <c r="AC25" s="473">
        <f>$N25*$AD$5</f>
        <v>3683.7499999999995</v>
      </c>
      <c r="AD25" s="441">
        <f>$O25*$AD$5</f>
        <v>4523.75</v>
      </c>
      <c r="AE25" s="280"/>
      <c r="AF25" s="280"/>
      <c r="AG25" s="280"/>
      <c r="AH25" s="280"/>
      <c r="AI25" s="280"/>
    </row>
    <row r="26" spans="2:35" s="497" customFormat="1" ht="18" customHeight="1" thickBot="1">
      <c r="B26" s="1235"/>
      <c r="C26" s="321" t="s">
        <v>881</v>
      </c>
      <c r="D26" s="195">
        <v>1.25</v>
      </c>
      <c r="E26" s="1245"/>
      <c r="F26" s="1247"/>
      <c r="G26" s="1247"/>
      <c r="H26" s="1247"/>
      <c r="I26" s="1247"/>
      <c r="J26" s="1247"/>
      <c r="K26" s="1247"/>
      <c r="L26" s="1249"/>
      <c r="M26" s="170">
        <f>M25/E25</f>
        <v>4.8499999999999996</v>
      </c>
      <c r="N26" s="171">
        <f>N25/E25</f>
        <v>5.2625000000000002</v>
      </c>
      <c r="O26" s="172">
        <f>O25/E25</f>
        <v>6.4625000000000004</v>
      </c>
      <c r="P26" s="170">
        <f>P25/E25</f>
        <v>4.5105000000000004</v>
      </c>
      <c r="Q26" s="171">
        <f>Q25/E25</f>
        <v>4.8941249999999998</v>
      </c>
      <c r="R26" s="172">
        <f>R25/E25</f>
        <v>6.0101250000000004</v>
      </c>
      <c r="S26" s="170">
        <f>S25/$E25</f>
        <v>4.1710000000000003</v>
      </c>
      <c r="T26" s="171">
        <f t="shared" ref="T26:U26" si="40">T25/$E25</f>
        <v>4.5257500000000004</v>
      </c>
      <c r="U26" s="172">
        <f t="shared" si="40"/>
        <v>5.5577500000000004</v>
      </c>
      <c r="V26" s="170">
        <f>V25/E25</f>
        <v>4.0255000000000001</v>
      </c>
      <c r="W26" s="171">
        <f>W25/E25</f>
        <v>4.3678749999999997</v>
      </c>
      <c r="X26" s="172">
        <f>X25/E25</f>
        <v>5.3638750000000002</v>
      </c>
      <c r="Y26" s="170">
        <f>Y25/E25</f>
        <v>3.6375000000000002</v>
      </c>
      <c r="Z26" s="171">
        <f>Z25/E25</f>
        <v>3.9468749999999999</v>
      </c>
      <c r="AA26" s="172">
        <f>AA25/E25</f>
        <v>4.8468749999999998</v>
      </c>
      <c r="AB26" s="186">
        <f>AB25/E25</f>
        <v>3.395</v>
      </c>
      <c r="AC26" s="171">
        <f>AC25/E25</f>
        <v>3.6837499999999994</v>
      </c>
      <c r="AD26" s="172">
        <f>AD25/E25</f>
        <v>4.5237499999999997</v>
      </c>
      <c r="AE26" s="280"/>
      <c r="AF26" s="280"/>
      <c r="AG26" s="280"/>
      <c r="AH26" s="280"/>
      <c r="AI26" s="280"/>
    </row>
    <row r="27" spans="2:35" s="497" customFormat="1" ht="18" customHeight="1">
      <c r="B27" s="1220" t="s">
        <v>728</v>
      </c>
      <c r="C27" s="1432" t="s">
        <v>729</v>
      </c>
      <c r="D27" s="1335"/>
      <c r="E27" s="1238">
        <v>1000</v>
      </c>
      <c r="F27" s="1228">
        <f>E27*D28</f>
        <v>1150</v>
      </c>
      <c r="G27" s="1228">
        <f>F27*$G$6</f>
        <v>2990</v>
      </c>
      <c r="H27" s="1228"/>
      <c r="I27" s="1228">
        <f>F27*65%</f>
        <v>747.5</v>
      </c>
      <c r="J27" s="1228">
        <f>F27*4%*12</f>
        <v>552</v>
      </c>
      <c r="K27" s="1228">
        <f>F27*4%*12</f>
        <v>552</v>
      </c>
      <c r="L27" s="1240">
        <f>F27*4%*12</f>
        <v>552</v>
      </c>
      <c r="M27" s="446">
        <f>G27+I27+(J27/12)</f>
        <v>3783.5</v>
      </c>
      <c r="N27" s="910">
        <f>G27+I27+J27</f>
        <v>4289.5</v>
      </c>
      <c r="O27" s="911">
        <f>G27+I27+J27+K27+L27</f>
        <v>5393.5</v>
      </c>
      <c r="P27" s="446">
        <f>$M27*$R$5</f>
        <v>3518.6550000000002</v>
      </c>
      <c r="Q27" s="910">
        <f>$N27*$R$5</f>
        <v>3989.2350000000001</v>
      </c>
      <c r="R27" s="911">
        <f>$O27*$R$5</f>
        <v>5015.9549999999999</v>
      </c>
      <c r="S27" s="446">
        <f>$M27*$U$5</f>
        <v>3253.81</v>
      </c>
      <c r="T27" s="910">
        <f t="shared" ref="T27:U27" si="41">N27*$U$5</f>
        <v>3688.97</v>
      </c>
      <c r="U27" s="911">
        <f t="shared" si="41"/>
        <v>4638.41</v>
      </c>
      <c r="V27" s="446">
        <f>$M27*$X$5</f>
        <v>3140.3049999999998</v>
      </c>
      <c r="W27" s="910">
        <f>$N27*$X$5</f>
        <v>3560.2849999999999</v>
      </c>
      <c r="X27" s="911">
        <f>$O27*$X$5</f>
        <v>4476.6049999999996</v>
      </c>
      <c r="Y27" s="446">
        <f>$M27*$AA$5</f>
        <v>2837.625</v>
      </c>
      <c r="Z27" s="910">
        <f>$N27*$AA$5</f>
        <v>3217.125</v>
      </c>
      <c r="AA27" s="911">
        <f>$O27*$AA$5</f>
        <v>4045.125</v>
      </c>
      <c r="AB27" s="447">
        <f>$M27*$AD$5</f>
        <v>2648.45</v>
      </c>
      <c r="AC27" s="910">
        <f>$N27*$AD$5</f>
        <v>3002.6499999999996</v>
      </c>
      <c r="AD27" s="911">
        <f>$O27*$AD$5</f>
        <v>3775.45</v>
      </c>
      <c r="AE27" s="280"/>
      <c r="AF27" s="280"/>
      <c r="AG27" s="280"/>
      <c r="AH27" s="280"/>
      <c r="AI27" s="280"/>
    </row>
    <row r="28" spans="2:35" s="497" customFormat="1" ht="18" customHeight="1" thickBot="1">
      <c r="B28" s="1235"/>
      <c r="C28" s="321" t="s">
        <v>730</v>
      </c>
      <c r="D28" s="195">
        <v>1.1499999999999999</v>
      </c>
      <c r="E28" s="1245"/>
      <c r="F28" s="1247"/>
      <c r="G28" s="1247"/>
      <c r="H28" s="1247"/>
      <c r="I28" s="1247"/>
      <c r="J28" s="1247"/>
      <c r="K28" s="1247"/>
      <c r="L28" s="1249"/>
      <c r="M28" s="170">
        <f>M27/E27</f>
        <v>3.7835000000000001</v>
      </c>
      <c r="N28" s="171">
        <f>N27/E27</f>
        <v>4.2895000000000003</v>
      </c>
      <c r="O28" s="172">
        <f>O27/E27</f>
        <v>5.3935000000000004</v>
      </c>
      <c r="P28" s="170">
        <f>P27/E27</f>
        <v>3.5186550000000003</v>
      </c>
      <c r="Q28" s="171">
        <f>Q27/E27</f>
        <v>3.9892350000000003</v>
      </c>
      <c r="R28" s="172">
        <f>R27/E27</f>
        <v>5.0159549999999999</v>
      </c>
      <c r="S28" s="170">
        <f>S27/$E27</f>
        <v>3.2538100000000001</v>
      </c>
      <c r="T28" s="171">
        <f t="shared" ref="T28:U28" si="42">T27/$E27</f>
        <v>3.6889699999999999</v>
      </c>
      <c r="U28" s="172">
        <f t="shared" si="42"/>
        <v>4.6384099999999995</v>
      </c>
      <c r="V28" s="170">
        <f>V27/E27</f>
        <v>3.1403049999999997</v>
      </c>
      <c r="W28" s="171">
        <f>W27/E27</f>
        <v>3.5602849999999999</v>
      </c>
      <c r="X28" s="172">
        <f>X27/E27</f>
        <v>4.4766049999999993</v>
      </c>
      <c r="Y28" s="170">
        <f>Y27/E27</f>
        <v>2.8376250000000001</v>
      </c>
      <c r="Z28" s="171">
        <f>Z27/E27</f>
        <v>3.2171249999999998</v>
      </c>
      <c r="AA28" s="172">
        <f>AA27/E27</f>
        <v>4.0451249999999996</v>
      </c>
      <c r="AB28" s="186">
        <f>AB27/E27</f>
        <v>2.64845</v>
      </c>
      <c r="AC28" s="171">
        <f>AC27/E27</f>
        <v>3.0026499999999996</v>
      </c>
      <c r="AD28" s="172">
        <f>AD27/E27</f>
        <v>3.7754499999999998</v>
      </c>
      <c r="AE28" s="280"/>
      <c r="AF28" s="280"/>
      <c r="AG28" s="280"/>
      <c r="AH28" s="280"/>
      <c r="AI28" s="280"/>
    </row>
    <row r="29" spans="2:35" s="454" customFormat="1" ht="18" customHeight="1">
      <c r="B29" s="1251" t="s">
        <v>731</v>
      </c>
      <c r="C29" s="1435" t="s">
        <v>714</v>
      </c>
      <c r="D29" s="1436"/>
      <c r="E29" s="1238">
        <v>100000</v>
      </c>
      <c r="F29" s="1228"/>
      <c r="G29" s="1228"/>
      <c r="H29" s="1228"/>
      <c r="I29" s="1228"/>
      <c r="J29" s="1228">
        <f>E29*D30</f>
        <v>7000.0000000000009</v>
      </c>
      <c r="K29" s="1228"/>
      <c r="L29" s="1240"/>
      <c r="M29" s="472">
        <f>J29</f>
        <v>7000.0000000000009</v>
      </c>
      <c r="N29" s="473">
        <f>J29</f>
        <v>7000.0000000000009</v>
      </c>
      <c r="O29" s="441">
        <f>J29</f>
        <v>7000.0000000000009</v>
      </c>
      <c r="P29" s="472">
        <f>$M29*$R$5</f>
        <v>6510.0000000000009</v>
      </c>
      <c r="Q29" s="473">
        <f>$N29*$R$5</f>
        <v>6510.0000000000009</v>
      </c>
      <c r="R29" s="441">
        <f>$O29*$R$5</f>
        <v>6510.0000000000009</v>
      </c>
      <c r="S29" s="472">
        <f>$M29*$U$5</f>
        <v>6020.0000000000009</v>
      </c>
      <c r="T29" s="473">
        <f t="shared" ref="T29:U29" si="43">N29*$U$5</f>
        <v>6020.0000000000009</v>
      </c>
      <c r="U29" s="441">
        <f t="shared" si="43"/>
        <v>6020.0000000000009</v>
      </c>
      <c r="V29" s="472">
        <f>$M29*$X$5</f>
        <v>5810.0000000000009</v>
      </c>
      <c r="W29" s="473">
        <f>$N29*$X$5</f>
        <v>5810.0000000000009</v>
      </c>
      <c r="X29" s="441">
        <f>$O29*$X$5</f>
        <v>5810.0000000000009</v>
      </c>
      <c r="Y29" s="472">
        <f>$M29*$AA$5</f>
        <v>5250.0000000000009</v>
      </c>
      <c r="Z29" s="473">
        <f>$N29*$AA$5</f>
        <v>5250.0000000000009</v>
      </c>
      <c r="AA29" s="441">
        <f>$O29*$AA$5</f>
        <v>5250.0000000000009</v>
      </c>
      <c r="AB29" s="474">
        <f>$M29*$AD$5</f>
        <v>4900</v>
      </c>
      <c r="AC29" s="473">
        <f>$N29*$AD$5</f>
        <v>4900</v>
      </c>
      <c r="AD29" s="441">
        <f>$O29*$AD$5</f>
        <v>4900</v>
      </c>
      <c r="AE29" s="280"/>
      <c r="AF29" s="280"/>
      <c r="AG29" s="280"/>
      <c r="AH29" s="280"/>
      <c r="AI29" s="280"/>
    </row>
    <row r="30" spans="2:35" s="454" customFormat="1" ht="18" customHeight="1">
      <c r="B30" s="1252"/>
      <c r="C30" s="598" t="s">
        <v>301</v>
      </c>
      <c r="D30" s="599">
        <v>7.0000000000000007E-2</v>
      </c>
      <c r="E30" s="1239"/>
      <c r="F30" s="1229"/>
      <c r="G30" s="1229"/>
      <c r="H30" s="1229"/>
      <c r="I30" s="1229"/>
      <c r="J30" s="1229"/>
      <c r="K30" s="1229"/>
      <c r="L30" s="1241"/>
      <c r="M30" s="180">
        <f>M29/E29</f>
        <v>7.0000000000000007E-2</v>
      </c>
      <c r="N30" s="183">
        <f>N29/E29</f>
        <v>7.0000000000000007E-2</v>
      </c>
      <c r="O30" s="182">
        <f>O29/E29</f>
        <v>7.0000000000000007E-2</v>
      </c>
      <c r="P30" s="180">
        <f>P29/E29</f>
        <v>6.5100000000000005E-2</v>
      </c>
      <c r="Q30" s="183">
        <f>Q29/E29</f>
        <v>6.5100000000000005E-2</v>
      </c>
      <c r="R30" s="182">
        <f>R29/E29</f>
        <v>6.5100000000000005E-2</v>
      </c>
      <c r="S30" s="180">
        <f>S29/$E29</f>
        <v>6.020000000000001E-2</v>
      </c>
      <c r="T30" s="183">
        <f t="shared" ref="T30:U30" si="44">T29/$E29</f>
        <v>6.020000000000001E-2</v>
      </c>
      <c r="U30" s="182">
        <f t="shared" si="44"/>
        <v>6.020000000000001E-2</v>
      </c>
      <c r="V30" s="180">
        <f>V29/E29</f>
        <v>5.8100000000000006E-2</v>
      </c>
      <c r="W30" s="183">
        <f>W29/E29</f>
        <v>5.8100000000000006E-2</v>
      </c>
      <c r="X30" s="182">
        <f>X29/E29</f>
        <v>5.8100000000000006E-2</v>
      </c>
      <c r="Y30" s="180">
        <f>Y29/E29</f>
        <v>5.2500000000000012E-2</v>
      </c>
      <c r="Z30" s="183">
        <f>Z29/E29</f>
        <v>5.2500000000000012E-2</v>
      </c>
      <c r="AA30" s="182">
        <f>AA29/E29</f>
        <v>5.2500000000000012E-2</v>
      </c>
      <c r="AB30" s="181">
        <f>AB29/E29</f>
        <v>4.9000000000000002E-2</v>
      </c>
      <c r="AC30" s="183">
        <f>AC29/E29</f>
        <v>4.9000000000000002E-2</v>
      </c>
      <c r="AD30" s="182">
        <f>AD29/E29</f>
        <v>4.9000000000000002E-2</v>
      </c>
      <c r="AE30" s="280"/>
      <c r="AF30" s="280"/>
      <c r="AG30" s="280"/>
      <c r="AH30" s="280"/>
      <c r="AI30" s="280"/>
    </row>
    <row r="31" spans="2:35" ht="18" customHeight="1">
      <c r="B31" s="1252"/>
      <c r="C31" s="1433" t="s">
        <v>732</v>
      </c>
      <c r="D31" s="1434"/>
      <c r="E31" s="1332">
        <v>100000</v>
      </c>
      <c r="F31" s="1234"/>
      <c r="G31" s="1234"/>
      <c r="H31" s="1234"/>
      <c r="I31" s="1234"/>
      <c r="J31" s="1234">
        <f>E31*D32</f>
        <v>3000</v>
      </c>
      <c r="K31" s="1234"/>
      <c r="L31" s="1326"/>
      <c r="M31" s="446">
        <f>J31</f>
        <v>3000</v>
      </c>
      <c r="N31" s="910">
        <f>J31</f>
        <v>3000</v>
      </c>
      <c r="O31" s="911">
        <f>J31</f>
        <v>3000</v>
      </c>
      <c r="P31" s="446">
        <f>$M31*$R$5</f>
        <v>2790</v>
      </c>
      <c r="Q31" s="910">
        <f>$N31*$R$5</f>
        <v>2790</v>
      </c>
      <c r="R31" s="911">
        <f>$O31*$R$5</f>
        <v>2790</v>
      </c>
      <c r="S31" s="446">
        <f>$M31*$U$5</f>
        <v>2580</v>
      </c>
      <c r="T31" s="910">
        <f t="shared" ref="T31:U31" si="45">N31*$U$5</f>
        <v>2580</v>
      </c>
      <c r="U31" s="911">
        <f t="shared" si="45"/>
        <v>2580</v>
      </c>
      <c r="V31" s="446">
        <f>$M31*$X$5</f>
        <v>2490</v>
      </c>
      <c r="W31" s="910">
        <f>$N31*$X$5</f>
        <v>2490</v>
      </c>
      <c r="X31" s="911">
        <f>$O31*$X$5</f>
        <v>2490</v>
      </c>
      <c r="Y31" s="446">
        <f>$M31*$AA$5</f>
        <v>2250</v>
      </c>
      <c r="Z31" s="910">
        <f>$N31*$AA$5</f>
        <v>2250</v>
      </c>
      <c r="AA31" s="911">
        <f>$O31*$AA$5</f>
        <v>2250</v>
      </c>
      <c r="AB31" s="447">
        <f>$M31*$AD$5</f>
        <v>2100</v>
      </c>
      <c r="AC31" s="910">
        <f>$N31*$AD$5</f>
        <v>2100</v>
      </c>
      <c r="AD31" s="911">
        <f>$O31*$AD$5</f>
        <v>2100</v>
      </c>
      <c r="AE31" s="280"/>
      <c r="AF31" s="280"/>
      <c r="AG31" s="280"/>
      <c r="AH31" s="280"/>
      <c r="AI31" s="280"/>
    </row>
    <row r="32" spans="2:35" ht="18" customHeight="1" thickBot="1">
      <c r="B32" s="1253"/>
      <c r="C32" s="600" t="s">
        <v>301</v>
      </c>
      <c r="D32" s="601">
        <v>0.03</v>
      </c>
      <c r="E32" s="1245"/>
      <c r="F32" s="1247"/>
      <c r="G32" s="1247"/>
      <c r="H32" s="1247"/>
      <c r="I32" s="1247"/>
      <c r="J32" s="1247"/>
      <c r="K32" s="1247"/>
      <c r="L32" s="1249"/>
      <c r="M32" s="170">
        <f>M31/E31</f>
        <v>0.03</v>
      </c>
      <c r="N32" s="171">
        <f>N31/E31</f>
        <v>0.03</v>
      </c>
      <c r="O32" s="172">
        <f>O31/E31</f>
        <v>0.03</v>
      </c>
      <c r="P32" s="170">
        <f>P31/E31</f>
        <v>2.7900000000000001E-2</v>
      </c>
      <c r="Q32" s="171">
        <f>Q31/E31</f>
        <v>2.7900000000000001E-2</v>
      </c>
      <c r="R32" s="172">
        <f>R31/E31</f>
        <v>2.7900000000000001E-2</v>
      </c>
      <c r="S32" s="170">
        <f>S31/$E31</f>
        <v>2.58E-2</v>
      </c>
      <c r="T32" s="171">
        <f t="shared" ref="T32:U32" si="46">T31/$E31</f>
        <v>2.58E-2</v>
      </c>
      <c r="U32" s="172">
        <f t="shared" si="46"/>
        <v>2.58E-2</v>
      </c>
      <c r="V32" s="170">
        <f>V31/E31</f>
        <v>2.4899999999999999E-2</v>
      </c>
      <c r="W32" s="171">
        <f>W31/E31</f>
        <v>2.4899999999999999E-2</v>
      </c>
      <c r="X32" s="172">
        <f>X31/E31</f>
        <v>2.4899999999999999E-2</v>
      </c>
      <c r="Y32" s="170">
        <f>Y31/E31</f>
        <v>2.2499999999999999E-2</v>
      </c>
      <c r="Z32" s="171">
        <f>Z31/E31</f>
        <v>2.2499999999999999E-2</v>
      </c>
      <c r="AA32" s="172">
        <f>AA31/E31</f>
        <v>2.2499999999999999E-2</v>
      </c>
      <c r="AB32" s="186">
        <f>AB31/E31</f>
        <v>2.1000000000000001E-2</v>
      </c>
      <c r="AC32" s="171">
        <f>AC31/E31</f>
        <v>2.1000000000000001E-2</v>
      </c>
      <c r="AD32" s="172">
        <f>AD31/E31</f>
        <v>2.1000000000000001E-2</v>
      </c>
      <c r="AE32" s="280"/>
      <c r="AF32" s="280"/>
      <c r="AG32" s="280"/>
      <c r="AH32" s="280"/>
      <c r="AI32" s="280"/>
    </row>
    <row r="33" spans="2:32" ht="18" customHeight="1">
      <c r="B33" s="49" t="s">
        <v>733</v>
      </c>
      <c r="C33" s="45"/>
      <c r="D33" s="45"/>
      <c r="E33" s="45"/>
      <c r="F33" s="476"/>
      <c r="G33" s="498"/>
      <c r="H33" s="45"/>
      <c r="I33" s="45"/>
      <c r="J33" s="45"/>
      <c r="K33" s="45"/>
      <c r="L33" s="45"/>
      <c r="M33" s="47"/>
      <c r="N33" s="47"/>
      <c r="O33" s="47"/>
      <c r="P33" s="47"/>
      <c r="Q33" s="47"/>
      <c r="R33" s="47"/>
      <c r="S33" s="47"/>
      <c r="T33" s="47"/>
      <c r="U33" s="47"/>
      <c r="V33" s="47"/>
      <c r="W33" s="47"/>
      <c r="X33" s="47"/>
      <c r="Y33" s="47"/>
      <c r="Z33" s="47"/>
      <c r="AB33" s="280"/>
      <c r="AC33" s="280"/>
      <c r="AD33" s="280"/>
      <c r="AE33" s="280"/>
      <c r="AF33" s="280"/>
    </row>
    <row r="34" spans="2:32" ht="18" customHeight="1">
      <c r="B34" s="47" t="s">
        <v>734</v>
      </c>
      <c r="C34" s="49"/>
      <c r="D34" s="45"/>
      <c r="E34" s="45"/>
      <c r="F34" s="476"/>
      <c r="G34" s="498"/>
      <c r="H34" s="45"/>
      <c r="I34" s="45"/>
      <c r="J34" s="45"/>
      <c r="K34" s="45"/>
      <c r="L34" s="45"/>
      <c r="M34" s="47"/>
      <c r="N34" s="797"/>
      <c r="O34" s="47"/>
      <c r="P34" s="47"/>
      <c r="Q34" s="47"/>
      <c r="R34" s="47"/>
      <c r="S34" s="47"/>
      <c r="T34" s="47"/>
      <c r="U34" s="47"/>
      <c r="V34" s="47"/>
      <c r="W34" s="47"/>
      <c r="X34" s="47"/>
      <c r="Z34" s="47"/>
      <c r="AB34" s="280"/>
      <c r="AC34" s="280"/>
      <c r="AD34" s="280"/>
      <c r="AE34" s="280"/>
      <c r="AF34" s="280"/>
    </row>
    <row r="35" spans="2:32" ht="18" customHeight="1">
      <c r="B35" s="61" t="s">
        <v>735</v>
      </c>
      <c r="C35" s="61"/>
      <c r="D35" s="62"/>
      <c r="E35" s="62"/>
      <c r="F35" s="61"/>
      <c r="G35" s="62"/>
      <c r="H35" s="62"/>
      <c r="I35" s="62"/>
      <c r="J35" s="62"/>
      <c r="K35" s="62"/>
      <c r="L35" s="62"/>
      <c r="M35" s="61"/>
      <c r="N35" s="798"/>
      <c r="O35" s="61"/>
      <c r="P35" s="61"/>
      <c r="Q35" s="61"/>
      <c r="R35" s="61"/>
      <c r="S35" s="61"/>
      <c r="T35" s="61"/>
      <c r="U35" s="61"/>
      <c r="V35" s="61"/>
      <c r="W35" s="61"/>
      <c r="X35" s="61"/>
      <c r="Y35" s="61"/>
      <c r="Z35" s="61"/>
    </row>
    <row r="36" spans="2:32" ht="18" customHeight="1">
      <c r="B36" s="47" t="s">
        <v>736</v>
      </c>
      <c r="C36" s="45"/>
      <c r="D36" s="45"/>
      <c r="E36" s="45"/>
      <c r="F36" s="47"/>
      <c r="G36" s="47"/>
      <c r="H36" s="47"/>
      <c r="I36" s="47"/>
      <c r="J36" s="47"/>
      <c r="K36" s="47"/>
      <c r="L36" s="45"/>
      <c r="M36" s="47"/>
      <c r="N36" s="47"/>
      <c r="O36" s="47"/>
      <c r="P36" s="47"/>
      <c r="Q36" s="47"/>
      <c r="R36" s="47"/>
      <c r="S36" s="47"/>
      <c r="T36" s="47"/>
      <c r="U36" s="47"/>
      <c r="V36" s="47"/>
      <c r="W36" s="47"/>
      <c r="X36" s="47"/>
      <c r="Y36" s="47"/>
      <c r="Z36" s="47"/>
    </row>
    <row r="37" spans="2:32" ht="18" customHeight="1">
      <c r="B37" s="47"/>
      <c r="C37" s="45"/>
      <c r="D37" s="45"/>
      <c r="E37" s="45"/>
      <c r="F37" s="47"/>
      <c r="G37" s="45"/>
      <c r="H37" s="45"/>
      <c r="I37" s="45"/>
      <c r="J37" s="45"/>
      <c r="K37" s="45"/>
      <c r="L37" s="45"/>
      <c r="M37" s="47"/>
      <c r="N37" s="47"/>
      <c r="O37" s="47"/>
      <c r="P37" s="47"/>
      <c r="Q37" s="47"/>
      <c r="R37" s="47"/>
      <c r="S37" s="47"/>
      <c r="T37" s="47"/>
      <c r="U37" s="47"/>
      <c r="V37" s="47"/>
      <c r="W37" s="47"/>
      <c r="X37" s="47"/>
      <c r="Y37" s="47"/>
      <c r="Z37" s="47"/>
    </row>
    <row r="38" spans="2:32" ht="18" customHeight="1">
      <c r="B38" s="61" t="s">
        <v>737</v>
      </c>
      <c r="C38" s="45"/>
      <c r="D38" s="45"/>
      <c r="E38" s="45"/>
      <c r="F38" s="47"/>
      <c r="G38" s="45"/>
      <c r="H38" s="45"/>
      <c r="I38" s="45"/>
      <c r="J38" s="45"/>
      <c r="K38" s="45"/>
      <c r="L38" s="45"/>
      <c r="M38" s="47"/>
      <c r="N38" s="47"/>
      <c r="O38" s="47"/>
      <c r="P38" s="47"/>
      <c r="Q38" s="47"/>
      <c r="R38" s="47"/>
      <c r="S38" s="47"/>
      <c r="T38" s="47"/>
      <c r="U38" s="47"/>
      <c r="V38" s="47"/>
      <c r="W38" s="47"/>
      <c r="X38" s="47"/>
      <c r="Y38" s="47"/>
      <c r="Z38" s="47"/>
    </row>
  </sheetData>
  <mergeCells count="134">
    <mergeCell ref="B1:AD1"/>
    <mergeCell ref="B5:D5"/>
    <mergeCell ref="E5:E6"/>
    <mergeCell ref="F5:F6"/>
    <mergeCell ref="I5:I6"/>
    <mergeCell ref="J5:L5"/>
    <mergeCell ref="M5:O5"/>
    <mergeCell ref="P5:Q5"/>
    <mergeCell ref="S5:T5"/>
    <mergeCell ref="V5:W5"/>
    <mergeCell ref="Y5:Z5"/>
    <mergeCell ref="AB5:AC5"/>
    <mergeCell ref="B7:B12"/>
    <mergeCell ref="C7:D7"/>
    <mergeCell ref="E7:E8"/>
    <mergeCell ref="F7:F8"/>
    <mergeCell ref="G7:G8"/>
    <mergeCell ref="H7:H8"/>
    <mergeCell ref="I7:I8"/>
    <mergeCell ref="J7:J8"/>
    <mergeCell ref="K7:K8"/>
    <mergeCell ref="C11:D11"/>
    <mergeCell ref="E11:E12"/>
    <mergeCell ref="F11:F12"/>
    <mergeCell ref="G11:G12"/>
    <mergeCell ref="H11:H12"/>
    <mergeCell ref="I11:I12"/>
    <mergeCell ref="J11:J12"/>
    <mergeCell ref="K11:K12"/>
    <mergeCell ref="L7:L8"/>
    <mergeCell ref="C9:D9"/>
    <mergeCell ref="E9:E10"/>
    <mergeCell ref="F9:F10"/>
    <mergeCell ref="G9:G10"/>
    <mergeCell ref="H9:H10"/>
    <mergeCell ref="I9:I10"/>
    <mergeCell ref="J9:J10"/>
    <mergeCell ref="K9:K10"/>
    <mergeCell ref="L9:L10"/>
    <mergeCell ref="L11:L12"/>
    <mergeCell ref="I13:I14"/>
    <mergeCell ref="J13:J14"/>
    <mergeCell ref="K13:K14"/>
    <mergeCell ref="L13:L14"/>
    <mergeCell ref="C15:D15"/>
    <mergeCell ref="E15:E16"/>
    <mergeCell ref="F15:F16"/>
    <mergeCell ref="G15:G16"/>
    <mergeCell ref="H15:H16"/>
    <mergeCell ref="I15:I16"/>
    <mergeCell ref="C13:D13"/>
    <mergeCell ref="E13:E14"/>
    <mergeCell ref="F13:F14"/>
    <mergeCell ref="G13:G14"/>
    <mergeCell ref="H13:H14"/>
    <mergeCell ref="J15:J16"/>
    <mergeCell ref="K15:K16"/>
    <mergeCell ref="L15:L16"/>
    <mergeCell ref="C17:D17"/>
    <mergeCell ref="E17:E18"/>
    <mergeCell ref="F17:F18"/>
    <mergeCell ref="G17:G18"/>
    <mergeCell ref="H17:H18"/>
    <mergeCell ref="I17:I18"/>
    <mergeCell ref="J17:J18"/>
    <mergeCell ref="K17:K18"/>
    <mergeCell ref="L17:L18"/>
    <mergeCell ref="C19:D19"/>
    <mergeCell ref="E19:E20"/>
    <mergeCell ref="F19:F20"/>
    <mergeCell ref="G19:G20"/>
    <mergeCell ref="H19:H20"/>
    <mergeCell ref="I19:I20"/>
    <mergeCell ref="J19:J20"/>
    <mergeCell ref="K19:K20"/>
    <mergeCell ref="L19:L20"/>
    <mergeCell ref="H23:H24"/>
    <mergeCell ref="I23:I24"/>
    <mergeCell ref="J23:J24"/>
    <mergeCell ref="K23:K24"/>
    <mergeCell ref="L23:L24"/>
    <mergeCell ref="B25:B26"/>
    <mergeCell ref="C25:D25"/>
    <mergeCell ref="E25:E26"/>
    <mergeCell ref="F25:F26"/>
    <mergeCell ref="G25:G26"/>
    <mergeCell ref="B13:B24"/>
    <mergeCell ref="C23:D23"/>
    <mergeCell ref="E23:E24"/>
    <mergeCell ref="F23:F24"/>
    <mergeCell ref="G23:G24"/>
    <mergeCell ref="C21:D21"/>
    <mergeCell ref="E21:E22"/>
    <mergeCell ref="F21:F22"/>
    <mergeCell ref="G21:G22"/>
    <mergeCell ref="H21:H22"/>
    <mergeCell ref="I21:I22"/>
    <mergeCell ref="J21:J22"/>
    <mergeCell ref="K21:K22"/>
    <mergeCell ref="L21:L22"/>
    <mergeCell ref="L25:L26"/>
    <mergeCell ref="B27:B28"/>
    <mergeCell ref="C27:D27"/>
    <mergeCell ref="E27:E28"/>
    <mergeCell ref="F27:F28"/>
    <mergeCell ref="G27:G28"/>
    <mergeCell ref="C31:D31"/>
    <mergeCell ref="E31:E32"/>
    <mergeCell ref="F31:F32"/>
    <mergeCell ref="G31:G32"/>
    <mergeCell ref="H31:H32"/>
    <mergeCell ref="H27:H28"/>
    <mergeCell ref="I27:I28"/>
    <mergeCell ref="J27:J28"/>
    <mergeCell ref="B29:B32"/>
    <mergeCell ref="C29:D29"/>
    <mergeCell ref="E29:E30"/>
    <mergeCell ref="F29:F30"/>
    <mergeCell ref="G29:G30"/>
    <mergeCell ref="H25:H26"/>
    <mergeCell ref="I25:I26"/>
    <mergeCell ref="J25:J26"/>
    <mergeCell ref="K25:K26"/>
    <mergeCell ref="K27:K28"/>
    <mergeCell ref="L27:L28"/>
    <mergeCell ref="I31:I32"/>
    <mergeCell ref="J31:J32"/>
    <mergeCell ref="K31:K32"/>
    <mergeCell ref="L31:L32"/>
    <mergeCell ref="H29:H30"/>
    <mergeCell ref="I29:I30"/>
    <mergeCell ref="J29:J30"/>
    <mergeCell ref="K29:K30"/>
    <mergeCell ref="L29:L30"/>
  </mergeCells>
  <phoneticPr fontId="100" type="noConversion"/>
  <printOptions horizontalCentered="1"/>
  <pageMargins left="0.31496062992125984" right="0.31496062992125984" top="0.31496062992125984" bottom="0.31496062992125984" header="0" footer="0"/>
  <pageSetup paperSize="9" scale="55" orientation="landscape" r:id="rId1"/>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66FF"/>
    <pageSetUpPr fitToPage="1"/>
  </sheetPr>
  <dimension ref="A1:IW55"/>
  <sheetViews>
    <sheetView zoomScaleNormal="100" workbookViewId="0">
      <pane ySplit="1" topLeftCell="A2" activePane="bottomLeft" state="frozen"/>
      <selection activeCell="B1" sqref="B1:O1"/>
      <selection pane="bottomLeft" activeCell="B1" sqref="B1:S1"/>
    </sheetView>
  </sheetViews>
  <sheetFormatPr defaultColWidth="7.25" defaultRowHeight="16.5"/>
  <cols>
    <col min="1" max="1" width="1" style="142" customWidth="1"/>
    <col min="2" max="2" width="8.75" style="142" customWidth="1"/>
    <col min="3" max="3" width="10.5" style="142" customWidth="1"/>
    <col min="4" max="4" width="9.375" style="142" customWidth="1"/>
    <col min="5" max="5" width="9.375" style="143" customWidth="1"/>
    <col min="6" max="10" width="9.375" style="142" customWidth="1"/>
    <col min="11" max="11" width="10" style="142" customWidth="1"/>
    <col min="12" max="12" width="8.875" style="142" customWidth="1"/>
    <col min="13" max="14" width="9.5" style="142" customWidth="1"/>
    <col min="15" max="15" width="9.75" style="142" customWidth="1"/>
    <col min="16" max="16" width="11.375" style="142" customWidth="1"/>
    <col min="17" max="18" width="9.75" style="142" customWidth="1"/>
    <col min="19" max="19" width="9.375" style="142" customWidth="1"/>
    <col min="20" max="23" width="7.25" style="142"/>
    <col min="24" max="25" width="8.125" style="142" bestFit="1" customWidth="1"/>
    <col min="26" max="26" width="8.5" style="142" bestFit="1" customWidth="1"/>
    <col min="27" max="27" width="8.625" style="142" bestFit="1" customWidth="1"/>
    <col min="28" max="28" width="9.5" style="142" bestFit="1" customWidth="1"/>
    <col min="29" max="29" width="8.625" style="142" bestFit="1" customWidth="1"/>
    <col min="30" max="30" width="7.25" style="142"/>
    <col min="31" max="31" width="9.5" style="142" bestFit="1" customWidth="1"/>
    <col min="32" max="36" width="8.625" style="142" bestFit="1" customWidth="1"/>
    <col min="37" max="37" width="7.5" style="142" bestFit="1" customWidth="1"/>
    <col min="38" max="38" width="8.625" style="142" bestFit="1" customWidth="1"/>
    <col min="39" max="39" width="7.5" style="142" bestFit="1" customWidth="1"/>
    <col min="40" max="40" width="8.625" style="142" bestFit="1" customWidth="1"/>
    <col min="41" max="257" width="7.25" style="142"/>
    <col min="258" max="258" width="0.625" style="142" customWidth="1"/>
    <col min="259" max="260" width="10.5" style="142" customWidth="1"/>
    <col min="261" max="267" width="9.375" style="142" customWidth="1"/>
    <col min="268" max="275" width="8.875" style="142" customWidth="1"/>
    <col min="276" max="279" width="7.25" style="142"/>
    <col min="280" max="282" width="8.125" style="142" bestFit="1" customWidth="1"/>
    <col min="283" max="283" width="8.625" style="142" bestFit="1" customWidth="1"/>
    <col min="284" max="284" width="9.5" style="142" bestFit="1" customWidth="1"/>
    <col min="285" max="285" width="8.625" style="142" bestFit="1" customWidth="1"/>
    <col min="286" max="286" width="7.25" style="142"/>
    <col min="287" max="287" width="9.5" style="142" bestFit="1" customWidth="1"/>
    <col min="288" max="292" width="8.625" style="142" bestFit="1" customWidth="1"/>
    <col min="293" max="293" width="7.5" style="142" bestFit="1" customWidth="1"/>
    <col min="294" max="294" width="8.625" style="142" bestFit="1" customWidth="1"/>
    <col min="295" max="295" width="7.5" style="142" bestFit="1" customWidth="1"/>
    <col min="296" max="296" width="8.625" style="142" bestFit="1" customWidth="1"/>
    <col min="297" max="513" width="7.25" style="142"/>
    <col min="514" max="514" width="0.625" style="142" customWidth="1"/>
    <col min="515" max="516" width="10.5" style="142" customWidth="1"/>
    <col min="517" max="523" width="9.375" style="142" customWidth="1"/>
    <col min="524" max="531" width="8.875" style="142" customWidth="1"/>
    <col min="532" max="535" width="7.25" style="142"/>
    <col min="536" max="538" width="8.125" style="142" bestFit="1" customWidth="1"/>
    <col min="539" max="539" width="8.625" style="142" bestFit="1" customWidth="1"/>
    <col min="540" max="540" width="9.5" style="142" bestFit="1" customWidth="1"/>
    <col min="541" max="541" width="8.625" style="142" bestFit="1" customWidth="1"/>
    <col min="542" max="542" width="7.25" style="142"/>
    <col min="543" max="543" width="9.5" style="142" bestFit="1" customWidth="1"/>
    <col min="544" max="548" width="8.625" style="142" bestFit="1" customWidth="1"/>
    <col min="549" max="549" width="7.5" style="142" bestFit="1" customWidth="1"/>
    <col min="550" max="550" width="8.625" style="142" bestFit="1" customWidth="1"/>
    <col min="551" max="551" width="7.5" style="142" bestFit="1" customWidth="1"/>
    <col min="552" max="552" width="8.625" style="142" bestFit="1" customWidth="1"/>
    <col min="553" max="769" width="7.25" style="142"/>
    <col min="770" max="770" width="0.625" style="142" customWidth="1"/>
    <col min="771" max="772" width="10.5" style="142" customWidth="1"/>
    <col min="773" max="779" width="9.375" style="142" customWidth="1"/>
    <col min="780" max="787" width="8.875" style="142" customWidth="1"/>
    <col min="788" max="791" width="7.25" style="142"/>
    <col min="792" max="794" width="8.125" style="142" bestFit="1" customWidth="1"/>
    <col min="795" max="795" width="8.625" style="142" bestFit="1" customWidth="1"/>
    <col min="796" max="796" width="9.5" style="142" bestFit="1" customWidth="1"/>
    <col min="797" max="797" width="8.625" style="142" bestFit="1" customWidth="1"/>
    <col min="798" max="798" width="7.25" style="142"/>
    <col min="799" max="799" width="9.5" style="142" bestFit="1" customWidth="1"/>
    <col min="800" max="804" width="8.625" style="142" bestFit="1" customWidth="1"/>
    <col min="805" max="805" width="7.5" style="142" bestFit="1" customWidth="1"/>
    <col min="806" max="806" width="8.625" style="142" bestFit="1" customWidth="1"/>
    <col min="807" max="807" width="7.5" style="142" bestFit="1" customWidth="1"/>
    <col min="808" max="808" width="8.625" style="142" bestFit="1" customWidth="1"/>
    <col min="809" max="1025" width="7.25" style="142"/>
    <col min="1026" max="1026" width="0.625" style="142" customWidth="1"/>
    <col min="1027" max="1028" width="10.5" style="142" customWidth="1"/>
    <col min="1029" max="1035" width="9.375" style="142" customWidth="1"/>
    <col min="1036" max="1043" width="8.875" style="142" customWidth="1"/>
    <col min="1044" max="1047" width="7.25" style="142"/>
    <col min="1048" max="1050" width="8.125" style="142" bestFit="1" customWidth="1"/>
    <col min="1051" max="1051" width="8.625" style="142" bestFit="1" customWidth="1"/>
    <col min="1052" max="1052" width="9.5" style="142" bestFit="1" customWidth="1"/>
    <col min="1053" max="1053" width="8.625" style="142" bestFit="1" customWidth="1"/>
    <col min="1054" max="1054" width="7.25" style="142"/>
    <col min="1055" max="1055" width="9.5" style="142" bestFit="1" customWidth="1"/>
    <col min="1056" max="1060" width="8.625" style="142" bestFit="1" customWidth="1"/>
    <col min="1061" max="1061" width="7.5" style="142" bestFit="1" customWidth="1"/>
    <col min="1062" max="1062" width="8.625" style="142" bestFit="1" customWidth="1"/>
    <col min="1063" max="1063" width="7.5" style="142" bestFit="1" customWidth="1"/>
    <col min="1064" max="1064" width="8.625" style="142" bestFit="1" customWidth="1"/>
    <col min="1065" max="1281" width="7.25" style="142"/>
    <col min="1282" max="1282" width="0.625" style="142" customWidth="1"/>
    <col min="1283" max="1284" width="10.5" style="142" customWidth="1"/>
    <col min="1285" max="1291" width="9.375" style="142" customWidth="1"/>
    <col min="1292" max="1299" width="8.875" style="142" customWidth="1"/>
    <col min="1300" max="1303" width="7.25" style="142"/>
    <col min="1304" max="1306" width="8.125" style="142" bestFit="1" customWidth="1"/>
    <col min="1307" max="1307" width="8.625" style="142" bestFit="1" customWidth="1"/>
    <col min="1308" max="1308" width="9.5" style="142" bestFit="1" customWidth="1"/>
    <col min="1309" max="1309" width="8.625" style="142" bestFit="1" customWidth="1"/>
    <col min="1310" max="1310" width="7.25" style="142"/>
    <col min="1311" max="1311" width="9.5" style="142" bestFit="1" customWidth="1"/>
    <col min="1312" max="1316" width="8.625" style="142" bestFit="1" customWidth="1"/>
    <col min="1317" max="1317" width="7.5" style="142" bestFit="1" customWidth="1"/>
    <col min="1318" max="1318" width="8.625" style="142" bestFit="1" customWidth="1"/>
    <col min="1319" max="1319" width="7.5" style="142" bestFit="1" customWidth="1"/>
    <col min="1320" max="1320" width="8.625" style="142" bestFit="1" customWidth="1"/>
    <col min="1321" max="1537" width="7.25" style="142"/>
    <col min="1538" max="1538" width="0.625" style="142" customWidth="1"/>
    <col min="1539" max="1540" width="10.5" style="142" customWidth="1"/>
    <col min="1541" max="1547" width="9.375" style="142" customWidth="1"/>
    <col min="1548" max="1555" width="8.875" style="142" customWidth="1"/>
    <col min="1556" max="1559" width="7.25" style="142"/>
    <col min="1560" max="1562" width="8.125" style="142" bestFit="1" customWidth="1"/>
    <col min="1563" max="1563" width="8.625" style="142" bestFit="1" customWidth="1"/>
    <col min="1564" max="1564" width="9.5" style="142" bestFit="1" customWidth="1"/>
    <col min="1565" max="1565" width="8.625" style="142" bestFit="1" customWidth="1"/>
    <col min="1566" max="1566" width="7.25" style="142"/>
    <col min="1567" max="1567" width="9.5" style="142" bestFit="1" customWidth="1"/>
    <col min="1568" max="1572" width="8.625" style="142" bestFit="1" customWidth="1"/>
    <col min="1573" max="1573" width="7.5" style="142" bestFit="1" customWidth="1"/>
    <col min="1574" max="1574" width="8.625" style="142" bestFit="1" customWidth="1"/>
    <col min="1575" max="1575" width="7.5" style="142" bestFit="1" customWidth="1"/>
    <col min="1576" max="1576" width="8.625" style="142" bestFit="1" customWidth="1"/>
    <col min="1577" max="1793" width="7.25" style="142"/>
    <col min="1794" max="1794" width="0.625" style="142" customWidth="1"/>
    <col min="1795" max="1796" width="10.5" style="142" customWidth="1"/>
    <col min="1797" max="1803" width="9.375" style="142" customWidth="1"/>
    <col min="1804" max="1811" width="8.875" style="142" customWidth="1"/>
    <col min="1812" max="1815" width="7.25" style="142"/>
    <col min="1816" max="1818" width="8.125" style="142" bestFit="1" customWidth="1"/>
    <col min="1819" max="1819" width="8.625" style="142" bestFit="1" customWidth="1"/>
    <col min="1820" max="1820" width="9.5" style="142" bestFit="1" customWidth="1"/>
    <col min="1821" max="1821" width="8.625" style="142" bestFit="1" customWidth="1"/>
    <col min="1822" max="1822" width="7.25" style="142"/>
    <col min="1823" max="1823" width="9.5" style="142" bestFit="1" customWidth="1"/>
    <col min="1824" max="1828" width="8.625" style="142" bestFit="1" customWidth="1"/>
    <col min="1829" max="1829" width="7.5" style="142" bestFit="1" customWidth="1"/>
    <col min="1830" max="1830" width="8.625" style="142" bestFit="1" customWidth="1"/>
    <col min="1831" max="1831" width="7.5" style="142" bestFit="1" customWidth="1"/>
    <col min="1832" max="1832" width="8.625" style="142" bestFit="1" customWidth="1"/>
    <col min="1833" max="2049" width="7.25" style="142"/>
    <col min="2050" max="2050" width="0.625" style="142" customWidth="1"/>
    <col min="2051" max="2052" width="10.5" style="142" customWidth="1"/>
    <col min="2053" max="2059" width="9.375" style="142" customWidth="1"/>
    <col min="2060" max="2067" width="8.875" style="142" customWidth="1"/>
    <col min="2068" max="2071" width="7.25" style="142"/>
    <col min="2072" max="2074" width="8.125" style="142" bestFit="1" customWidth="1"/>
    <col min="2075" max="2075" width="8.625" style="142" bestFit="1" customWidth="1"/>
    <col min="2076" max="2076" width="9.5" style="142" bestFit="1" customWidth="1"/>
    <col min="2077" max="2077" width="8.625" style="142" bestFit="1" customWidth="1"/>
    <col min="2078" max="2078" width="7.25" style="142"/>
    <col min="2079" max="2079" width="9.5" style="142" bestFit="1" customWidth="1"/>
    <col min="2080" max="2084" width="8.625" style="142" bestFit="1" customWidth="1"/>
    <col min="2085" max="2085" width="7.5" style="142" bestFit="1" customWidth="1"/>
    <col min="2086" max="2086" width="8.625" style="142" bestFit="1" customWidth="1"/>
    <col min="2087" max="2087" width="7.5" style="142" bestFit="1" customWidth="1"/>
    <col min="2088" max="2088" width="8.625" style="142" bestFit="1" customWidth="1"/>
    <col min="2089" max="2305" width="7.25" style="142"/>
    <col min="2306" max="2306" width="0.625" style="142" customWidth="1"/>
    <col min="2307" max="2308" width="10.5" style="142" customWidth="1"/>
    <col min="2309" max="2315" width="9.375" style="142" customWidth="1"/>
    <col min="2316" max="2323" width="8.875" style="142" customWidth="1"/>
    <col min="2324" max="2327" width="7.25" style="142"/>
    <col min="2328" max="2330" width="8.125" style="142" bestFit="1" customWidth="1"/>
    <col min="2331" max="2331" width="8.625" style="142" bestFit="1" customWidth="1"/>
    <col min="2332" max="2332" width="9.5" style="142" bestFit="1" customWidth="1"/>
    <col min="2333" max="2333" width="8.625" style="142" bestFit="1" customWidth="1"/>
    <col min="2334" max="2334" width="7.25" style="142"/>
    <col min="2335" max="2335" width="9.5" style="142" bestFit="1" customWidth="1"/>
    <col min="2336" max="2340" width="8.625" style="142" bestFit="1" customWidth="1"/>
    <col min="2341" max="2341" width="7.5" style="142" bestFit="1" customWidth="1"/>
    <col min="2342" max="2342" width="8.625" style="142" bestFit="1" customWidth="1"/>
    <col min="2343" max="2343" width="7.5" style="142" bestFit="1" customWidth="1"/>
    <col min="2344" max="2344" width="8.625" style="142" bestFit="1" customWidth="1"/>
    <col min="2345" max="2561" width="7.25" style="142"/>
    <col min="2562" max="2562" width="0.625" style="142" customWidth="1"/>
    <col min="2563" max="2564" width="10.5" style="142" customWidth="1"/>
    <col min="2565" max="2571" width="9.375" style="142" customWidth="1"/>
    <col min="2572" max="2579" width="8.875" style="142" customWidth="1"/>
    <col min="2580" max="2583" width="7.25" style="142"/>
    <col min="2584" max="2586" width="8.125" style="142" bestFit="1" customWidth="1"/>
    <col min="2587" max="2587" width="8.625" style="142" bestFit="1" customWidth="1"/>
    <col min="2588" max="2588" width="9.5" style="142" bestFit="1" customWidth="1"/>
    <col min="2589" max="2589" width="8.625" style="142" bestFit="1" customWidth="1"/>
    <col min="2590" max="2590" width="7.25" style="142"/>
    <col min="2591" max="2591" width="9.5" style="142" bestFit="1" customWidth="1"/>
    <col min="2592" max="2596" width="8.625" style="142" bestFit="1" customWidth="1"/>
    <col min="2597" max="2597" width="7.5" style="142" bestFit="1" customWidth="1"/>
    <col min="2598" max="2598" width="8.625" style="142" bestFit="1" customWidth="1"/>
    <col min="2599" max="2599" width="7.5" style="142" bestFit="1" customWidth="1"/>
    <col min="2600" max="2600" width="8.625" style="142" bestFit="1" customWidth="1"/>
    <col min="2601" max="2817" width="7.25" style="142"/>
    <col min="2818" max="2818" width="0.625" style="142" customWidth="1"/>
    <col min="2819" max="2820" width="10.5" style="142" customWidth="1"/>
    <col min="2821" max="2827" width="9.375" style="142" customWidth="1"/>
    <col min="2828" max="2835" width="8.875" style="142" customWidth="1"/>
    <col min="2836" max="2839" width="7.25" style="142"/>
    <col min="2840" max="2842" width="8.125" style="142" bestFit="1" customWidth="1"/>
    <col min="2843" max="2843" width="8.625" style="142" bestFit="1" customWidth="1"/>
    <col min="2844" max="2844" width="9.5" style="142" bestFit="1" customWidth="1"/>
    <col min="2845" max="2845" width="8.625" style="142" bestFit="1" customWidth="1"/>
    <col min="2846" max="2846" width="7.25" style="142"/>
    <col min="2847" max="2847" width="9.5" style="142" bestFit="1" customWidth="1"/>
    <col min="2848" max="2852" width="8.625" style="142" bestFit="1" customWidth="1"/>
    <col min="2853" max="2853" width="7.5" style="142" bestFit="1" customWidth="1"/>
    <col min="2854" max="2854" width="8.625" style="142" bestFit="1" customWidth="1"/>
    <col min="2855" max="2855" width="7.5" style="142" bestFit="1" customWidth="1"/>
    <col min="2856" max="2856" width="8.625" style="142" bestFit="1" customWidth="1"/>
    <col min="2857" max="3073" width="7.25" style="142"/>
    <col min="3074" max="3074" width="0.625" style="142" customWidth="1"/>
    <col min="3075" max="3076" width="10.5" style="142" customWidth="1"/>
    <col min="3077" max="3083" width="9.375" style="142" customWidth="1"/>
    <col min="3084" max="3091" width="8.875" style="142" customWidth="1"/>
    <col min="3092" max="3095" width="7.25" style="142"/>
    <col min="3096" max="3098" width="8.125" style="142" bestFit="1" customWidth="1"/>
    <col min="3099" max="3099" width="8.625" style="142" bestFit="1" customWidth="1"/>
    <col min="3100" max="3100" width="9.5" style="142" bestFit="1" customWidth="1"/>
    <col min="3101" max="3101" width="8.625" style="142" bestFit="1" customWidth="1"/>
    <col min="3102" max="3102" width="7.25" style="142"/>
    <col min="3103" max="3103" width="9.5" style="142" bestFit="1" customWidth="1"/>
    <col min="3104" max="3108" width="8.625" style="142" bestFit="1" customWidth="1"/>
    <col min="3109" max="3109" width="7.5" style="142" bestFit="1" customWidth="1"/>
    <col min="3110" max="3110" width="8.625" style="142" bestFit="1" customWidth="1"/>
    <col min="3111" max="3111" width="7.5" style="142" bestFit="1" customWidth="1"/>
    <col min="3112" max="3112" width="8.625" style="142" bestFit="1" customWidth="1"/>
    <col min="3113" max="3329" width="7.25" style="142"/>
    <col min="3330" max="3330" width="0.625" style="142" customWidth="1"/>
    <col min="3331" max="3332" width="10.5" style="142" customWidth="1"/>
    <col min="3333" max="3339" width="9.375" style="142" customWidth="1"/>
    <col min="3340" max="3347" width="8.875" style="142" customWidth="1"/>
    <col min="3348" max="3351" width="7.25" style="142"/>
    <col min="3352" max="3354" width="8.125" style="142" bestFit="1" customWidth="1"/>
    <col min="3355" max="3355" width="8.625" style="142" bestFit="1" customWidth="1"/>
    <col min="3356" max="3356" width="9.5" style="142" bestFit="1" customWidth="1"/>
    <col min="3357" max="3357" width="8.625" style="142" bestFit="1" customWidth="1"/>
    <col min="3358" max="3358" width="7.25" style="142"/>
    <col min="3359" max="3359" width="9.5" style="142" bestFit="1" customWidth="1"/>
    <col min="3360" max="3364" width="8.625" style="142" bestFit="1" customWidth="1"/>
    <col min="3365" max="3365" width="7.5" style="142" bestFit="1" customWidth="1"/>
    <col min="3366" max="3366" width="8.625" style="142" bestFit="1" customWidth="1"/>
    <col min="3367" max="3367" width="7.5" style="142" bestFit="1" customWidth="1"/>
    <col min="3368" max="3368" width="8.625" style="142" bestFit="1" customWidth="1"/>
    <col min="3369" max="3585" width="7.25" style="142"/>
    <col min="3586" max="3586" width="0.625" style="142" customWidth="1"/>
    <col min="3587" max="3588" width="10.5" style="142" customWidth="1"/>
    <col min="3589" max="3595" width="9.375" style="142" customWidth="1"/>
    <col min="3596" max="3603" width="8.875" style="142" customWidth="1"/>
    <col min="3604" max="3607" width="7.25" style="142"/>
    <col min="3608" max="3610" width="8.125" style="142" bestFit="1" customWidth="1"/>
    <col min="3611" max="3611" width="8.625" style="142" bestFit="1" customWidth="1"/>
    <col min="3612" max="3612" width="9.5" style="142" bestFit="1" customWidth="1"/>
    <col min="3613" max="3613" width="8.625" style="142" bestFit="1" customWidth="1"/>
    <col min="3614" max="3614" width="7.25" style="142"/>
    <col min="3615" max="3615" width="9.5" style="142" bestFit="1" customWidth="1"/>
    <col min="3616" max="3620" width="8.625" style="142" bestFit="1" customWidth="1"/>
    <col min="3621" max="3621" width="7.5" style="142" bestFit="1" customWidth="1"/>
    <col min="3622" max="3622" width="8.625" style="142" bestFit="1" customWidth="1"/>
    <col min="3623" max="3623" width="7.5" style="142" bestFit="1" customWidth="1"/>
    <col min="3624" max="3624" width="8.625" style="142" bestFit="1" customWidth="1"/>
    <col min="3625" max="3841" width="7.25" style="142"/>
    <col min="3842" max="3842" width="0.625" style="142" customWidth="1"/>
    <col min="3843" max="3844" width="10.5" style="142" customWidth="1"/>
    <col min="3845" max="3851" width="9.375" style="142" customWidth="1"/>
    <col min="3852" max="3859" width="8.875" style="142" customWidth="1"/>
    <col min="3860" max="3863" width="7.25" style="142"/>
    <col min="3864" max="3866" width="8.125" style="142" bestFit="1" customWidth="1"/>
    <col min="3867" max="3867" width="8.625" style="142" bestFit="1" customWidth="1"/>
    <col min="3868" max="3868" width="9.5" style="142" bestFit="1" customWidth="1"/>
    <col min="3869" max="3869" width="8.625" style="142" bestFit="1" customWidth="1"/>
    <col min="3870" max="3870" width="7.25" style="142"/>
    <col min="3871" max="3871" width="9.5" style="142" bestFit="1" customWidth="1"/>
    <col min="3872" max="3876" width="8.625" style="142" bestFit="1" customWidth="1"/>
    <col min="3877" max="3877" width="7.5" style="142" bestFit="1" customWidth="1"/>
    <col min="3878" max="3878" width="8.625" style="142" bestFit="1" customWidth="1"/>
    <col min="3879" max="3879" width="7.5" style="142" bestFit="1" customWidth="1"/>
    <col min="3880" max="3880" width="8.625" style="142" bestFit="1" customWidth="1"/>
    <col min="3881" max="4097" width="7.25" style="142"/>
    <col min="4098" max="4098" width="0.625" style="142" customWidth="1"/>
    <col min="4099" max="4100" width="10.5" style="142" customWidth="1"/>
    <col min="4101" max="4107" width="9.375" style="142" customWidth="1"/>
    <col min="4108" max="4115" width="8.875" style="142" customWidth="1"/>
    <col min="4116" max="4119" width="7.25" style="142"/>
    <col min="4120" max="4122" width="8.125" style="142" bestFit="1" customWidth="1"/>
    <col min="4123" max="4123" width="8.625" style="142" bestFit="1" customWidth="1"/>
    <col min="4124" max="4124" width="9.5" style="142" bestFit="1" customWidth="1"/>
    <col min="4125" max="4125" width="8.625" style="142" bestFit="1" customWidth="1"/>
    <col min="4126" max="4126" width="7.25" style="142"/>
    <col min="4127" max="4127" width="9.5" style="142" bestFit="1" customWidth="1"/>
    <col min="4128" max="4132" width="8.625" style="142" bestFit="1" customWidth="1"/>
    <col min="4133" max="4133" width="7.5" style="142" bestFit="1" customWidth="1"/>
    <col min="4134" max="4134" width="8.625" style="142" bestFit="1" customWidth="1"/>
    <col min="4135" max="4135" width="7.5" style="142" bestFit="1" customWidth="1"/>
    <col min="4136" max="4136" width="8.625" style="142" bestFit="1" customWidth="1"/>
    <col min="4137" max="4353" width="7.25" style="142"/>
    <col min="4354" max="4354" width="0.625" style="142" customWidth="1"/>
    <col min="4355" max="4356" width="10.5" style="142" customWidth="1"/>
    <col min="4357" max="4363" width="9.375" style="142" customWidth="1"/>
    <col min="4364" max="4371" width="8.875" style="142" customWidth="1"/>
    <col min="4372" max="4375" width="7.25" style="142"/>
    <col min="4376" max="4378" width="8.125" style="142" bestFit="1" customWidth="1"/>
    <col min="4379" max="4379" width="8.625" style="142" bestFit="1" customWidth="1"/>
    <col min="4380" max="4380" width="9.5" style="142" bestFit="1" customWidth="1"/>
    <col min="4381" max="4381" width="8.625" style="142" bestFit="1" customWidth="1"/>
    <col min="4382" max="4382" width="7.25" style="142"/>
    <col min="4383" max="4383" width="9.5" style="142" bestFit="1" customWidth="1"/>
    <col min="4384" max="4388" width="8.625" style="142" bestFit="1" customWidth="1"/>
    <col min="4389" max="4389" width="7.5" style="142" bestFit="1" customWidth="1"/>
    <col min="4390" max="4390" width="8.625" style="142" bestFit="1" customWidth="1"/>
    <col min="4391" max="4391" width="7.5" style="142" bestFit="1" customWidth="1"/>
    <col min="4392" max="4392" width="8.625" style="142" bestFit="1" customWidth="1"/>
    <col min="4393" max="4609" width="7.25" style="142"/>
    <col min="4610" max="4610" width="0.625" style="142" customWidth="1"/>
    <col min="4611" max="4612" width="10.5" style="142" customWidth="1"/>
    <col min="4613" max="4619" width="9.375" style="142" customWidth="1"/>
    <col min="4620" max="4627" width="8.875" style="142" customWidth="1"/>
    <col min="4628" max="4631" width="7.25" style="142"/>
    <col min="4632" max="4634" width="8.125" style="142" bestFit="1" customWidth="1"/>
    <col min="4635" max="4635" width="8.625" style="142" bestFit="1" customWidth="1"/>
    <col min="4636" max="4636" width="9.5" style="142" bestFit="1" customWidth="1"/>
    <col min="4637" max="4637" width="8.625" style="142" bestFit="1" customWidth="1"/>
    <col min="4638" max="4638" width="7.25" style="142"/>
    <col min="4639" max="4639" width="9.5" style="142" bestFit="1" customWidth="1"/>
    <col min="4640" max="4644" width="8.625" style="142" bestFit="1" customWidth="1"/>
    <col min="4645" max="4645" width="7.5" style="142" bestFit="1" customWidth="1"/>
    <col min="4646" max="4646" width="8.625" style="142" bestFit="1" customWidth="1"/>
    <col min="4647" max="4647" width="7.5" style="142" bestFit="1" customWidth="1"/>
    <col min="4648" max="4648" width="8.625" style="142" bestFit="1" customWidth="1"/>
    <col min="4649" max="4865" width="7.25" style="142"/>
    <col min="4866" max="4866" width="0.625" style="142" customWidth="1"/>
    <col min="4867" max="4868" width="10.5" style="142" customWidth="1"/>
    <col min="4869" max="4875" width="9.375" style="142" customWidth="1"/>
    <col min="4876" max="4883" width="8.875" style="142" customWidth="1"/>
    <col min="4884" max="4887" width="7.25" style="142"/>
    <col min="4888" max="4890" width="8.125" style="142" bestFit="1" customWidth="1"/>
    <col min="4891" max="4891" width="8.625" style="142" bestFit="1" customWidth="1"/>
    <col min="4892" max="4892" width="9.5" style="142" bestFit="1" customWidth="1"/>
    <col min="4893" max="4893" width="8.625" style="142" bestFit="1" customWidth="1"/>
    <col min="4894" max="4894" width="7.25" style="142"/>
    <col min="4895" max="4895" width="9.5" style="142" bestFit="1" customWidth="1"/>
    <col min="4896" max="4900" width="8.625" style="142" bestFit="1" customWidth="1"/>
    <col min="4901" max="4901" width="7.5" style="142" bestFit="1" customWidth="1"/>
    <col min="4902" max="4902" width="8.625" style="142" bestFit="1" customWidth="1"/>
    <col min="4903" max="4903" width="7.5" style="142" bestFit="1" customWidth="1"/>
    <col min="4904" max="4904" width="8.625" style="142" bestFit="1" customWidth="1"/>
    <col min="4905" max="5121" width="7.25" style="142"/>
    <col min="5122" max="5122" width="0.625" style="142" customWidth="1"/>
    <col min="5123" max="5124" width="10.5" style="142" customWidth="1"/>
    <col min="5125" max="5131" width="9.375" style="142" customWidth="1"/>
    <col min="5132" max="5139" width="8.875" style="142" customWidth="1"/>
    <col min="5140" max="5143" width="7.25" style="142"/>
    <col min="5144" max="5146" width="8.125" style="142" bestFit="1" customWidth="1"/>
    <col min="5147" max="5147" width="8.625" style="142" bestFit="1" customWidth="1"/>
    <col min="5148" max="5148" width="9.5" style="142" bestFit="1" customWidth="1"/>
    <col min="5149" max="5149" width="8.625" style="142" bestFit="1" customWidth="1"/>
    <col min="5150" max="5150" width="7.25" style="142"/>
    <col min="5151" max="5151" width="9.5" style="142" bestFit="1" customWidth="1"/>
    <col min="5152" max="5156" width="8.625" style="142" bestFit="1" customWidth="1"/>
    <col min="5157" max="5157" width="7.5" style="142" bestFit="1" customWidth="1"/>
    <col min="5158" max="5158" width="8.625" style="142" bestFit="1" customWidth="1"/>
    <col min="5159" max="5159" width="7.5" style="142" bestFit="1" customWidth="1"/>
    <col min="5160" max="5160" width="8.625" style="142" bestFit="1" customWidth="1"/>
    <col min="5161" max="5377" width="7.25" style="142"/>
    <col min="5378" max="5378" width="0.625" style="142" customWidth="1"/>
    <col min="5379" max="5380" width="10.5" style="142" customWidth="1"/>
    <col min="5381" max="5387" width="9.375" style="142" customWidth="1"/>
    <col min="5388" max="5395" width="8.875" style="142" customWidth="1"/>
    <col min="5396" max="5399" width="7.25" style="142"/>
    <col min="5400" max="5402" width="8.125" style="142" bestFit="1" customWidth="1"/>
    <col min="5403" max="5403" width="8.625" style="142" bestFit="1" customWidth="1"/>
    <col min="5404" max="5404" width="9.5" style="142" bestFit="1" customWidth="1"/>
    <col min="5405" max="5405" width="8.625" style="142" bestFit="1" customWidth="1"/>
    <col min="5406" max="5406" width="7.25" style="142"/>
    <col min="5407" max="5407" width="9.5" style="142" bestFit="1" customWidth="1"/>
    <col min="5408" max="5412" width="8.625" style="142" bestFit="1" customWidth="1"/>
    <col min="5413" max="5413" width="7.5" style="142" bestFit="1" customWidth="1"/>
    <col min="5414" max="5414" width="8.625" style="142" bestFit="1" customWidth="1"/>
    <col min="5415" max="5415" width="7.5" style="142" bestFit="1" customWidth="1"/>
    <col min="5416" max="5416" width="8.625" style="142" bestFit="1" customWidth="1"/>
    <col min="5417" max="5633" width="7.25" style="142"/>
    <col min="5634" max="5634" width="0.625" style="142" customWidth="1"/>
    <col min="5635" max="5636" width="10.5" style="142" customWidth="1"/>
    <col min="5637" max="5643" width="9.375" style="142" customWidth="1"/>
    <col min="5644" max="5651" width="8.875" style="142" customWidth="1"/>
    <col min="5652" max="5655" width="7.25" style="142"/>
    <col min="5656" max="5658" width="8.125" style="142" bestFit="1" customWidth="1"/>
    <col min="5659" max="5659" width="8.625" style="142" bestFit="1" customWidth="1"/>
    <col min="5660" max="5660" width="9.5" style="142" bestFit="1" customWidth="1"/>
    <col min="5661" max="5661" width="8.625" style="142" bestFit="1" customWidth="1"/>
    <col min="5662" max="5662" width="7.25" style="142"/>
    <col min="5663" max="5663" width="9.5" style="142" bestFit="1" customWidth="1"/>
    <col min="5664" max="5668" width="8.625" style="142" bestFit="1" customWidth="1"/>
    <col min="5669" max="5669" width="7.5" style="142" bestFit="1" customWidth="1"/>
    <col min="5670" max="5670" width="8.625" style="142" bestFit="1" customWidth="1"/>
    <col min="5671" max="5671" width="7.5" style="142" bestFit="1" customWidth="1"/>
    <col min="5672" max="5672" width="8.625" style="142" bestFit="1" customWidth="1"/>
    <col min="5673" max="5889" width="7.25" style="142"/>
    <col min="5890" max="5890" width="0.625" style="142" customWidth="1"/>
    <col min="5891" max="5892" width="10.5" style="142" customWidth="1"/>
    <col min="5893" max="5899" width="9.375" style="142" customWidth="1"/>
    <col min="5900" max="5907" width="8.875" style="142" customWidth="1"/>
    <col min="5908" max="5911" width="7.25" style="142"/>
    <col min="5912" max="5914" width="8.125" style="142" bestFit="1" customWidth="1"/>
    <col min="5915" max="5915" width="8.625" style="142" bestFit="1" customWidth="1"/>
    <col min="5916" max="5916" width="9.5" style="142" bestFit="1" customWidth="1"/>
    <col min="5917" max="5917" width="8.625" style="142" bestFit="1" customWidth="1"/>
    <col min="5918" max="5918" width="7.25" style="142"/>
    <col min="5919" max="5919" width="9.5" style="142" bestFit="1" customWidth="1"/>
    <col min="5920" max="5924" width="8.625" style="142" bestFit="1" customWidth="1"/>
    <col min="5925" max="5925" width="7.5" style="142" bestFit="1" customWidth="1"/>
    <col min="5926" max="5926" width="8.625" style="142" bestFit="1" customWidth="1"/>
    <col min="5927" max="5927" width="7.5" style="142" bestFit="1" customWidth="1"/>
    <col min="5928" max="5928" width="8.625" style="142" bestFit="1" customWidth="1"/>
    <col min="5929" max="6145" width="7.25" style="142"/>
    <col min="6146" max="6146" width="0.625" style="142" customWidth="1"/>
    <col min="6147" max="6148" width="10.5" style="142" customWidth="1"/>
    <col min="6149" max="6155" width="9.375" style="142" customWidth="1"/>
    <col min="6156" max="6163" width="8.875" style="142" customWidth="1"/>
    <col min="6164" max="6167" width="7.25" style="142"/>
    <col min="6168" max="6170" width="8.125" style="142" bestFit="1" customWidth="1"/>
    <col min="6171" max="6171" width="8.625" style="142" bestFit="1" customWidth="1"/>
    <col min="6172" max="6172" width="9.5" style="142" bestFit="1" customWidth="1"/>
    <col min="6173" max="6173" width="8.625" style="142" bestFit="1" customWidth="1"/>
    <col min="6174" max="6174" width="7.25" style="142"/>
    <col min="6175" max="6175" width="9.5" style="142" bestFit="1" customWidth="1"/>
    <col min="6176" max="6180" width="8.625" style="142" bestFit="1" customWidth="1"/>
    <col min="6181" max="6181" width="7.5" style="142" bestFit="1" customWidth="1"/>
    <col min="6182" max="6182" width="8.625" style="142" bestFit="1" customWidth="1"/>
    <col min="6183" max="6183" width="7.5" style="142" bestFit="1" customWidth="1"/>
    <col min="6184" max="6184" width="8.625" style="142" bestFit="1" customWidth="1"/>
    <col min="6185" max="6401" width="7.25" style="142"/>
    <col min="6402" max="6402" width="0.625" style="142" customWidth="1"/>
    <col min="6403" max="6404" width="10.5" style="142" customWidth="1"/>
    <col min="6405" max="6411" width="9.375" style="142" customWidth="1"/>
    <col min="6412" max="6419" width="8.875" style="142" customWidth="1"/>
    <col min="6420" max="6423" width="7.25" style="142"/>
    <col min="6424" max="6426" width="8.125" style="142" bestFit="1" customWidth="1"/>
    <col min="6427" max="6427" width="8.625" style="142" bestFit="1" customWidth="1"/>
    <col min="6428" max="6428" width="9.5" style="142" bestFit="1" customWidth="1"/>
    <col min="6429" max="6429" width="8.625" style="142" bestFit="1" customWidth="1"/>
    <col min="6430" max="6430" width="7.25" style="142"/>
    <col min="6431" max="6431" width="9.5" style="142" bestFit="1" customWidth="1"/>
    <col min="6432" max="6436" width="8.625" style="142" bestFit="1" customWidth="1"/>
    <col min="6437" max="6437" width="7.5" style="142" bestFit="1" customWidth="1"/>
    <col min="6438" max="6438" width="8.625" style="142" bestFit="1" customWidth="1"/>
    <col min="6439" max="6439" width="7.5" style="142" bestFit="1" customWidth="1"/>
    <col min="6440" max="6440" width="8.625" style="142" bestFit="1" customWidth="1"/>
    <col min="6441" max="6657" width="7.25" style="142"/>
    <col min="6658" max="6658" width="0.625" style="142" customWidth="1"/>
    <col min="6659" max="6660" width="10.5" style="142" customWidth="1"/>
    <col min="6661" max="6667" width="9.375" style="142" customWidth="1"/>
    <col min="6668" max="6675" width="8.875" style="142" customWidth="1"/>
    <col min="6676" max="6679" width="7.25" style="142"/>
    <col min="6680" max="6682" width="8.125" style="142" bestFit="1" customWidth="1"/>
    <col min="6683" max="6683" width="8.625" style="142" bestFit="1" customWidth="1"/>
    <col min="6684" max="6684" width="9.5" style="142" bestFit="1" customWidth="1"/>
    <col min="6685" max="6685" width="8.625" style="142" bestFit="1" customWidth="1"/>
    <col min="6686" max="6686" width="7.25" style="142"/>
    <col min="6687" max="6687" width="9.5" style="142" bestFit="1" customWidth="1"/>
    <col min="6688" max="6692" width="8.625" style="142" bestFit="1" customWidth="1"/>
    <col min="6693" max="6693" width="7.5" style="142" bestFit="1" customWidth="1"/>
    <col min="6694" max="6694" width="8.625" style="142" bestFit="1" customWidth="1"/>
    <col min="6695" max="6695" width="7.5" style="142" bestFit="1" customWidth="1"/>
    <col min="6696" max="6696" width="8.625" style="142" bestFit="1" customWidth="1"/>
    <col min="6697" max="6913" width="7.25" style="142"/>
    <col min="6914" max="6914" width="0.625" style="142" customWidth="1"/>
    <col min="6915" max="6916" width="10.5" style="142" customWidth="1"/>
    <col min="6917" max="6923" width="9.375" style="142" customWidth="1"/>
    <col min="6924" max="6931" width="8.875" style="142" customWidth="1"/>
    <col min="6932" max="6935" width="7.25" style="142"/>
    <col min="6936" max="6938" width="8.125" style="142" bestFit="1" customWidth="1"/>
    <col min="6939" max="6939" width="8.625" style="142" bestFit="1" customWidth="1"/>
    <col min="6940" max="6940" width="9.5" style="142" bestFit="1" customWidth="1"/>
    <col min="6941" max="6941" width="8.625" style="142" bestFit="1" customWidth="1"/>
    <col min="6942" max="6942" width="7.25" style="142"/>
    <col min="6943" max="6943" width="9.5" style="142" bestFit="1" customWidth="1"/>
    <col min="6944" max="6948" width="8.625" style="142" bestFit="1" customWidth="1"/>
    <col min="6949" max="6949" width="7.5" style="142" bestFit="1" customWidth="1"/>
    <col min="6950" max="6950" width="8.625" style="142" bestFit="1" customWidth="1"/>
    <col min="6951" max="6951" width="7.5" style="142" bestFit="1" customWidth="1"/>
    <col min="6952" max="6952" width="8.625" style="142" bestFit="1" customWidth="1"/>
    <col min="6953" max="7169" width="7.25" style="142"/>
    <col min="7170" max="7170" width="0.625" style="142" customWidth="1"/>
    <col min="7171" max="7172" width="10.5" style="142" customWidth="1"/>
    <col min="7173" max="7179" width="9.375" style="142" customWidth="1"/>
    <col min="7180" max="7187" width="8.875" style="142" customWidth="1"/>
    <col min="7188" max="7191" width="7.25" style="142"/>
    <col min="7192" max="7194" width="8.125" style="142" bestFit="1" customWidth="1"/>
    <col min="7195" max="7195" width="8.625" style="142" bestFit="1" customWidth="1"/>
    <col min="7196" max="7196" width="9.5" style="142" bestFit="1" customWidth="1"/>
    <col min="7197" max="7197" width="8.625" style="142" bestFit="1" customWidth="1"/>
    <col min="7198" max="7198" width="7.25" style="142"/>
    <col min="7199" max="7199" width="9.5" style="142" bestFit="1" customWidth="1"/>
    <col min="7200" max="7204" width="8.625" style="142" bestFit="1" customWidth="1"/>
    <col min="7205" max="7205" width="7.5" style="142" bestFit="1" customWidth="1"/>
    <col min="7206" max="7206" width="8.625" style="142" bestFit="1" customWidth="1"/>
    <col min="7207" max="7207" width="7.5" style="142" bestFit="1" customWidth="1"/>
    <col min="7208" max="7208" width="8.625" style="142" bestFit="1" customWidth="1"/>
    <col min="7209" max="7425" width="7.25" style="142"/>
    <col min="7426" max="7426" width="0.625" style="142" customWidth="1"/>
    <col min="7427" max="7428" width="10.5" style="142" customWidth="1"/>
    <col min="7429" max="7435" width="9.375" style="142" customWidth="1"/>
    <col min="7436" max="7443" width="8.875" style="142" customWidth="1"/>
    <col min="7444" max="7447" width="7.25" style="142"/>
    <col min="7448" max="7450" width="8.125" style="142" bestFit="1" customWidth="1"/>
    <col min="7451" max="7451" width="8.625" style="142" bestFit="1" customWidth="1"/>
    <col min="7452" max="7452" width="9.5" style="142" bestFit="1" customWidth="1"/>
    <col min="7453" max="7453" width="8.625" style="142" bestFit="1" customWidth="1"/>
    <col min="7454" max="7454" width="7.25" style="142"/>
    <col min="7455" max="7455" width="9.5" style="142" bestFit="1" customWidth="1"/>
    <col min="7456" max="7460" width="8.625" style="142" bestFit="1" customWidth="1"/>
    <col min="7461" max="7461" width="7.5" style="142" bestFit="1" customWidth="1"/>
    <col min="7462" max="7462" width="8.625" style="142" bestFit="1" customWidth="1"/>
    <col min="7463" max="7463" width="7.5" style="142" bestFit="1" customWidth="1"/>
    <col min="7464" max="7464" width="8.625" style="142" bestFit="1" customWidth="1"/>
    <col min="7465" max="7681" width="7.25" style="142"/>
    <col min="7682" max="7682" width="0.625" style="142" customWidth="1"/>
    <col min="7683" max="7684" width="10.5" style="142" customWidth="1"/>
    <col min="7685" max="7691" width="9.375" style="142" customWidth="1"/>
    <col min="7692" max="7699" width="8.875" style="142" customWidth="1"/>
    <col min="7700" max="7703" width="7.25" style="142"/>
    <col min="7704" max="7706" width="8.125" style="142" bestFit="1" customWidth="1"/>
    <col min="7707" max="7707" width="8.625" style="142" bestFit="1" customWidth="1"/>
    <col min="7708" max="7708" width="9.5" style="142" bestFit="1" customWidth="1"/>
    <col min="7709" max="7709" width="8.625" style="142" bestFit="1" customWidth="1"/>
    <col min="7710" max="7710" width="7.25" style="142"/>
    <col min="7711" max="7711" width="9.5" style="142" bestFit="1" customWidth="1"/>
    <col min="7712" max="7716" width="8.625" style="142" bestFit="1" customWidth="1"/>
    <col min="7717" max="7717" width="7.5" style="142" bestFit="1" customWidth="1"/>
    <col min="7718" max="7718" width="8.625" style="142" bestFit="1" customWidth="1"/>
    <col min="7719" max="7719" width="7.5" style="142" bestFit="1" customWidth="1"/>
    <col min="7720" max="7720" width="8.625" style="142" bestFit="1" customWidth="1"/>
    <col min="7721" max="7937" width="7.25" style="142"/>
    <col min="7938" max="7938" width="0.625" style="142" customWidth="1"/>
    <col min="7939" max="7940" width="10.5" style="142" customWidth="1"/>
    <col min="7941" max="7947" width="9.375" style="142" customWidth="1"/>
    <col min="7948" max="7955" width="8.875" style="142" customWidth="1"/>
    <col min="7956" max="7959" width="7.25" style="142"/>
    <col min="7960" max="7962" width="8.125" style="142" bestFit="1" customWidth="1"/>
    <col min="7963" max="7963" width="8.625" style="142" bestFit="1" customWidth="1"/>
    <col min="7964" max="7964" width="9.5" style="142" bestFit="1" customWidth="1"/>
    <col min="7965" max="7965" width="8.625" style="142" bestFit="1" customWidth="1"/>
    <col min="7966" max="7966" width="7.25" style="142"/>
    <col min="7967" max="7967" width="9.5" style="142" bestFit="1" customWidth="1"/>
    <col min="7968" max="7972" width="8.625" style="142" bestFit="1" customWidth="1"/>
    <col min="7973" max="7973" width="7.5" style="142" bestFit="1" customWidth="1"/>
    <col min="7974" max="7974" width="8.625" style="142" bestFit="1" customWidth="1"/>
    <col min="7975" max="7975" width="7.5" style="142" bestFit="1" customWidth="1"/>
    <col min="7976" max="7976" width="8.625" style="142" bestFit="1" customWidth="1"/>
    <col min="7977" max="8193" width="7.25" style="142"/>
    <col min="8194" max="8194" width="0.625" style="142" customWidth="1"/>
    <col min="8195" max="8196" width="10.5" style="142" customWidth="1"/>
    <col min="8197" max="8203" width="9.375" style="142" customWidth="1"/>
    <col min="8204" max="8211" width="8.875" style="142" customWidth="1"/>
    <col min="8212" max="8215" width="7.25" style="142"/>
    <col min="8216" max="8218" width="8.125" style="142" bestFit="1" customWidth="1"/>
    <col min="8219" max="8219" width="8.625" style="142" bestFit="1" customWidth="1"/>
    <col min="8220" max="8220" width="9.5" style="142" bestFit="1" customWidth="1"/>
    <col min="8221" max="8221" width="8.625" style="142" bestFit="1" customWidth="1"/>
    <col min="8222" max="8222" width="7.25" style="142"/>
    <col min="8223" max="8223" width="9.5" style="142" bestFit="1" customWidth="1"/>
    <col min="8224" max="8228" width="8.625" style="142" bestFit="1" customWidth="1"/>
    <col min="8229" max="8229" width="7.5" style="142" bestFit="1" customWidth="1"/>
    <col min="8230" max="8230" width="8.625" style="142" bestFit="1" customWidth="1"/>
    <col min="8231" max="8231" width="7.5" style="142" bestFit="1" customWidth="1"/>
    <col min="8232" max="8232" width="8.625" style="142" bestFit="1" customWidth="1"/>
    <col min="8233" max="8449" width="7.25" style="142"/>
    <col min="8450" max="8450" width="0.625" style="142" customWidth="1"/>
    <col min="8451" max="8452" width="10.5" style="142" customWidth="1"/>
    <col min="8453" max="8459" width="9.375" style="142" customWidth="1"/>
    <col min="8460" max="8467" width="8.875" style="142" customWidth="1"/>
    <col min="8468" max="8471" width="7.25" style="142"/>
    <col min="8472" max="8474" width="8.125" style="142" bestFit="1" customWidth="1"/>
    <col min="8475" max="8475" width="8.625" style="142" bestFit="1" customWidth="1"/>
    <col min="8476" max="8476" width="9.5" style="142" bestFit="1" customWidth="1"/>
    <col min="8477" max="8477" width="8.625" style="142" bestFit="1" customWidth="1"/>
    <col min="8478" max="8478" width="7.25" style="142"/>
    <col min="8479" max="8479" width="9.5" style="142" bestFit="1" customWidth="1"/>
    <col min="8480" max="8484" width="8.625" style="142" bestFit="1" customWidth="1"/>
    <col min="8485" max="8485" width="7.5" style="142" bestFit="1" customWidth="1"/>
    <col min="8486" max="8486" width="8.625" style="142" bestFit="1" customWidth="1"/>
    <col min="8487" max="8487" width="7.5" style="142" bestFit="1" customWidth="1"/>
    <col min="8488" max="8488" width="8.625" style="142" bestFit="1" customWidth="1"/>
    <col min="8489" max="8705" width="7.25" style="142"/>
    <col min="8706" max="8706" width="0.625" style="142" customWidth="1"/>
    <col min="8707" max="8708" width="10.5" style="142" customWidth="1"/>
    <col min="8709" max="8715" width="9.375" style="142" customWidth="1"/>
    <col min="8716" max="8723" width="8.875" style="142" customWidth="1"/>
    <col min="8724" max="8727" width="7.25" style="142"/>
    <col min="8728" max="8730" width="8.125" style="142" bestFit="1" customWidth="1"/>
    <col min="8731" max="8731" width="8.625" style="142" bestFit="1" customWidth="1"/>
    <col min="8732" max="8732" width="9.5" style="142" bestFit="1" customWidth="1"/>
    <col min="8733" max="8733" width="8.625" style="142" bestFit="1" customWidth="1"/>
    <col min="8734" max="8734" width="7.25" style="142"/>
    <col min="8735" max="8735" width="9.5" style="142" bestFit="1" customWidth="1"/>
    <col min="8736" max="8740" width="8.625" style="142" bestFit="1" customWidth="1"/>
    <col min="8741" max="8741" width="7.5" style="142" bestFit="1" customWidth="1"/>
    <col min="8742" max="8742" width="8.625" style="142" bestFit="1" customWidth="1"/>
    <col min="8743" max="8743" width="7.5" style="142" bestFit="1" customWidth="1"/>
    <col min="8744" max="8744" width="8.625" style="142" bestFit="1" customWidth="1"/>
    <col min="8745" max="8961" width="7.25" style="142"/>
    <col min="8962" max="8962" width="0.625" style="142" customWidth="1"/>
    <col min="8963" max="8964" width="10.5" style="142" customWidth="1"/>
    <col min="8965" max="8971" width="9.375" style="142" customWidth="1"/>
    <col min="8972" max="8979" width="8.875" style="142" customWidth="1"/>
    <col min="8980" max="8983" width="7.25" style="142"/>
    <col min="8984" max="8986" width="8.125" style="142" bestFit="1" customWidth="1"/>
    <col min="8987" max="8987" width="8.625" style="142" bestFit="1" customWidth="1"/>
    <col min="8988" max="8988" width="9.5" style="142" bestFit="1" customWidth="1"/>
    <col min="8989" max="8989" width="8.625" style="142" bestFit="1" customWidth="1"/>
    <col min="8990" max="8990" width="7.25" style="142"/>
    <col min="8991" max="8991" width="9.5" style="142" bestFit="1" customWidth="1"/>
    <col min="8992" max="8996" width="8.625" style="142" bestFit="1" customWidth="1"/>
    <col min="8997" max="8997" width="7.5" style="142" bestFit="1" customWidth="1"/>
    <col min="8998" max="8998" width="8.625" style="142" bestFit="1" customWidth="1"/>
    <col min="8999" max="8999" width="7.5" style="142" bestFit="1" customWidth="1"/>
    <col min="9000" max="9000" width="8.625" style="142" bestFit="1" customWidth="1"/>
    <col min="9001" max="9217" width="7.25" style="142"/>
    <col min="9218" max="9218" width="0.625" style="142" customWidth="1"/>
    <col min="9219" max="9220" width="10.5" style="142" customWidth="1"/>
    <col min="9221" max="9227" width="9.375" style="142" customWidth="1"/>
    <col min="9228" max="9235" width="8.875" style="142" customWidth="1"/>
    <col min="9236" max="9239" width="7.25" style="142"/>
    <col min="9240" max="9242" width="8.125" style="142" bestFit="1" customWidth="1"/>
    <col min="9243" max="9243" width="8.625" style="142" bestFit="1" customWidth="1"/>
    <col min="9244" max="9244" width="9.5" style="142" bestFit="1" customWidth="1"/>
    <col min="9245" max="9245" width="8.625" style="142" bestFit="1" customWidth="1"/>
    <col min="9246" max="9246" width="7.25" style="142"/>
    <col min="9247" max="9247" width="9.5" style="142" bestFit="1" customWidth="1"/>
    <col min="9248" max="9252" width="8.625" style="142" bestFit="1" customWidth="1"/>
    <col min="9253" max="9253" width="7.5" style="142" bestFit="1" customWidth="1"/>
    <col min="9254" max="9254" width="8.625" style="142" bestFit="1" customWidth="1"/>
    <col min="9255" max="9255" width="7.5" style="142" bestFit="1" customWidth="1"/>
    <col min="9256" max="9256" width="8.625" style="142" bestFit="1" customWidth="1"/>
    <col min="9257" max="9473" width="7.25" style="142"/>
    <col min="9474" max="9474" width="0.625" style="142" customWidth="1"/>
    <col min="9475" max="9476" width="10.5" style="142" customWidth="1"/>
    <col min="9477" max="9483" width="9.375" style="142" customWidth="1"/>
    <col min="9484" max="9491" width="8.875" style="142" customWidth="1"/>
    <col min="9492" max="9495" width="7.25" style="142"/>
    <col min="9496" max="9498" width="8.125" style="142" bestFit="1" customWidth="1"/>
    <col min="9499" max="9499" width="8.625" style="142" bestFit="1" customWidth="1"/>
    <col min="9500" max="9500" width="9.5" style="142" bestFit="1" customWidth="1"/>
    <col min="9501" max="9501" width="8.625" style="142" bestFit="1" customWidth="1"/>
    <col min="9502" max="9502" width="7.25" style="142"/>
    <col min="9503" max="9503" width="9.5" style="142" bestFit="1" customWidth="1"/>
    <col min="9504" max="9508" width="8.625" style="142" bestFit="1" customWidth="1"/>
    <col min="9509" max="9509" width="7.5" style="142" bestFit="1" customWidth="1"/>
    <col min="9510" max="9510" width="8.625" style="142" bestFit="1" customWidth="1"/>
    <col min="9511" max="9511" width="7.5" style="142" bestFit="1" customWidth="1"/>
    <col min="9512" max="9512" width="8.625" style="142" bestFit="1" customWidth="1"/>
    <col min="9513" max="9729" width="7.25" style="142"/>
    <col min="9730" max="9730" width="0.625" style="142" customWidth="1"/>
    <col min="9731" max="9732" width="10.5" style="142" customWidth="1"/>
    <col min="9733" max="9739" width="9.375" style="142" customWidth="1"/>
    <col min="9740" max="9747" width="8.875" style="142" customWidth="1"/>
    <col min="9748" max="9751" width="7.25" style="142"/>
    <col min="9752" max="9754" width="8.125" style="142" bestFit="1" customWidth="1"/>
    <col min="9755" max="9755" width="8.625" style="142" bestFit="1" customWidth="1"/>
    <col min="9756" max="9756" width="9.5" style="142" bestFit="1" customWidth="1"/>
    <col min="9757" max="9757" width="8.625" style="142" bestFit="1" customWidth="1"/>
    <col min="9758" max="9758" width="7.25" style="142"/>
    <col min="9759" max="9759" width="9.5" style="142" bestFit="1" customWidth="1"/>
    <col min="9760" max="9764" width="8.625" style="142" bestFit="1" customWidth="1"/>
    <col min="9765" max="9765" width="7.5" style="142" bestFit="1" customWidth="1"/>
    <col min="9766" max="9766" width="8.625" style="142" bestFit="1" customWidth="1"/>
    <col min="9767" max="9767" width="7.5" style="142" bestFit="1" customWidth="1"/>
    <col min="9768" max="9768" width="8.625" style="142" bestFit="1" customWidth="1"/>
    <col min="9769" max="9985" width="7.25" style="142"/>
    <col min="9986" max="9986" width="0.625" style="142" customWidth="1"/>
    <col min="9987" max="9988" width="10.5" style="142" customWidth="1"/>
    <col min="9989" max="9995" width="9.375" style="142" customWidth="1"/>
    <col min="9996" max="10003" width="8.875" style="142" customWidth="1"/>
    <col min="10004" max="10007" width="7.25" style="142"/>
    <col min="10008" max="10010" width="8.125" style="142" bestFit="1" customWidth="1"/>
    <col min="10011" max="10011" width="8.625" style="142" bestFit="1" customWidth="1"/>
    <col min="10012" max="10012" width="9.5" style="142" bestFit="1" customWidth="1"/>
    <col min="10013" max="10013" width="8.625" style="142" bestFit="1" customWidth="1"/>
    <col min="10014" max="10014" width="7.25" style="142"/>
    <col min="10015" max="10015" width="9.5" style="142" bestFit="1" customWidth="1"/>
    <col min="10016" max="10020" width="8.625" style="142" bestFit="1" customWidth="1"/>
    <col min="10021" max="10021" width="7.5" style="142" bestFit="1" customWidth="1"/>
    <col min="10022" max="10022" width="8.625" style="142" bestFit="1" customWidth="1"/>
    <col min="10023" max="10023" width="7.5" style="142" bestFit="1" customWidth="1"/>
    <col min="10024" max="10024" width="8.625" style="142" bestFit="1" customWidth="1"/>
    <col min="10025" max="10241" width="7.25" style="142"/>
    <col min="10242" max="10242" width="0.625" style="142" customWidth="1"/>
    <col min="10243" max="10244" width="10.5" style="142" customWidth="1"/>
    <col min="10245" max="10251" width="9.375" style="142" customWidth="1"/>
    <col min="10252" max="10259" width="8.875" style="142" customWidth="1"/>
    <col min="10260" max="10263" width="7.25" style="142"/>
    <col min="10264" max="10266" width="8.125" style="142" bestFit="1" customWidth="1"/>
    <col min="10267" max="10267" width="8.625" style="142" bestFit="1" customWidth="1"/>
    <col min="10268" max="10268" width="9.5" style="142" bestFit="1" customWidth="1"/>
    <col min="10269" max="10269" width="8.625" style="142" bestFit="1" customWidth="1"/>
    <col min="10270" max="10270" width="7.25" style="142"/>
    <col min="10271" max="10271" width="9.5" style="142" bestFit="1" customWidth="1"/>
    <col min="10272" max="10276" width="8.625" style="142" bestFit="1" customWidth="1"/>
    <col min="10277" max="10277" width="7.5" style="142" bestFit="1" customWidth="1"/>
    <col min="10278" max="10278" width="8.625" style="142" bestFit="1" customWidth="1"/>
    <col min="10279" max="10279" width="7.5" style="142" bestFit="1" customWidth="1"/>
    <col min="10280" max="10280" width="8.625" style="142" bestFit="1" customWidth="1"/>
    <col min="10281" max="10497" width="7.25" style="142"/>
    <col min="10498" max="10498" width="0.625" style="142" customWidth="1"/>
    <col min="10499" max="10500" width="10.5" style="142" customWidth="1"/>
    <col min="10501" max="10507" width="9.375" style="142" customWidth="1"/>
    <col min="10508" max="10515" width="8.875" style="142" customWidth="1"/>
    <col min="10516" max="10519" width="7.25" style="142"/>
    <col min="10520" max="10522" width="8.125" style="142" bestFit="1" customWidth="1"/>
    <col min="10523" max="10523" width="8.625" style="142" bestFit="1" customWidth="1"/>
    <col min="10524" max="10524" width="9.5" style="142" bestFit="1" customWidth="1"/>
    <col min="10525" max="10525" width="8.625" style="142" bestFit="1" customWidth="1"/>
    <col min="10526" max="10526" width="7.25" style="142"/>
    <col min="10527" max="10527" width="9.5" style="142" bestFit="1" customWidth="1"/>
    <col min="10528" max="10532" width="8.625" style="142" bestFit="1" customWidth="1"/>
    <col min="10533" max="10533" width="7.5" style="142" bestFit="1" customWidth="1"/>
    <col min="10534" max="10534" width="8.625" style="142" bestFit="1" customWidth="1"/>
    <col min="10535" max="10535" width="7.5" style="142" bestFit="1" customWidth="1"/>
    <col min="10536" max="10536" width="8.625" style="142" bestFit="1" customWidth="1"/>
    <col min="10537" max="10753" width="7.25" style="142"/>
    <col min="10754" max="10754" width="0.625" style="142" customWidth="1"/>
    <col min="10755" max="10756" width="10.5" style="142" customWidth="1"/>
    <col min="10757" max="10763" width="9.375" style="142" customWidth="1"/>
    <col min="10764" max="10771" width="8.875" style="142" customWidth="1"/>
    <col min="10772" max="10775" width="7.25" style="142"/>
    <col min="10776" max="10778" width="8.125" style="142" bestFit="1" customWidth="1"/>
    <col min="10779" max="10779" width="8.625" style="142" bestFit="1" customWidth="1"/>
    <col min="10780" max="10780" width="9.5" style="142" bestFit="1" customWidth="1"/>
    <col min="10781" max="10781" width="8.625" style="142" bestFit="1" customWidth="1"/>
    <col min="10782" max="10782" width="7.25" style="142"/>
    <col min="10783" max="10783" width="9.5" style="142" bestFit="1" customWidth="1"/>
    <col min="10784" max="10788" width="8.625" style="142" bestFit="1" customWidth="1"/>
    <col min="10789" max="10789" width="7.5" style="142" bestFit="1" customWidth="1"/>
    <col min="10790" max="10790" width="8.625" style="142" bestFit="1" customWidth="1"/>
    <col min="10791" max="10791" width="7.5" style="142" bestFit="1" customWidth="1"/>
    <col min="10792" max="10792" width="8.625" style="142" bestFit="1" customWidth="1"/>
    <col min="10793" max="11009" width="7.25" style="142"/>
    <col min="11010" max="11010" width="0.625" style="142" customWidth="1"/>
    <col min="11011" max="11012" width="10.5" style="142" customWidth="1"/>
    <col min="11013" max="11019" width="9.375" style="142" customWidth="1"/>
    <col min="11020" max="11027" width="8.875" style="142" customWidth="1"/>
    <col min="11028" max="11031" width="7.25" style="142"/>
    <col min="11032" max="11034" width="8.125" style="142" bestFit="1" customWidth="1"/>
    <col min="11035" max="11035" width="8.625" style="142" bestFit="1" customWidth="1"/>
    <col min="11036" max="11036" width="9.5" style="142" bestFit="1" customWidth="1"/>
    <col min="11037" max="11037" width="8.625" style="142" bestFit="1" customWidth="1"/>
    <col min="11038" max="11038" width="7.25" style="142"/>
    <col min="11039" max="11039" width="9.5" style="142" bestFit="1" customWidth="1"/>
    <col min="11040" max="11044" width="8.625" style="142" bestFit="1" customWidth="1"/>
    <col min="11045" max="11045" width="7.5" style="142" bestFit="1" customWidth="1"/>
    <col min="11046" max="11046" width="8.625" style="142" bestFit="1" customWidth="1"/>
    <col min="11047" max="11047" width="7.5" style="142" bestFit="1" customWidth="1"/>
    <col min="11048" max="11048" width="8.625" style="142" bestFit="1" customWidth="1"/>
    <col min="11049" max="11265" width="7.25" style="142"/>
    <col min="11266" max="11266" width="0.625" style="142" customWidth="1"/>
    <col min="11267" max="11268" width="10.5" style="142" customWidth="1"/>
    <col min="11269" max="11275" width="9.375" style="142" customWidth="1"/>
    <col min="11276" max="11283" width="8.875" style="142" customWidth="1"/>
    <col min="11284" max="11287" width="7.25" style="142"/>
    <col min="11288" max="11290" width="8.125" style="142" bestFit="1" customWidth="1"/>
    <col min="11291" max="11291" width="8.625" style="142" bestFit="1" customWidth="1"/>
    <col min="11292" max="11292" width="9.5" style="142" bestFit="1" customWidth="1"/>
    <col min="11293" max="11293" width="8.625" style="142" bestFit="1" customWidth="1"/>
    <col min="11294" max="11294" width="7.25" style="142"/>
    <col min="11295" max="11295" width="9.5" style="142" bestFit="1" customWidth="1"/>
    <col min="11296" max="11300" width="8.625" style="142" bestFit="1" customWidth="1"/>
    <col min="11301" max="11301" width="7.5" style="142" bestFit="1" customWidth="1"/>
    <col min="11302" max="11302" width="8.625" style="142" bestFit="1" customWidth="1"/>
    <col min="11303" max="11303" width="7.5" style="142" bestFit="1" customWidth="1"/>
    <col min="11304" max="11304" width="8.625" style="142" bestFit="1" customWidth="1"/>
    <col min="11305" max="11521" width="7.25" style="142"/>
    <col min="11522" max="11522" width="0.625" style="142" customWidth="1"/>
    <col min="11523" max="11524" width="10.5" style="142" customWidth="1"/>
    <col min="11525" max="11531" width="9.375" style="142" customWidth="1"/>
    <col min="11532" max="11539" width="8.875" style="142" customWidth="1"/>
    <col min="11540" max="11543" width="7.25" style="142"/>
    <col min="11544" max="11546" width="8.125" style="142" bestFit="1" customWidth="1"/>
    <col min="11547" max="11547" width="8.625" style="142" bestFit="1" customWidth="1"/>
    <col min="11548" max="11548" width="9.5" style="142" bestFit="1" customWidth="1"/>
    <col min="11549" max="11549" width="8.625" style="142" bestFit="1" customWidth="1"/>
    <col min="11550" max="11550" width="7.25" style="142"/>
    <col min="11551" max="11551" width="9.5" style="142" bestFit="1" customWidth="1"/>
    <col min="11552" max="11556" width="8.625" style="142" bestFit="1" customWidth="1"/>
    <col min="11557" max="11557" width="7.5" style="142" bestFit="1" customWidth="1"/>
    <col min="11558" max="11558" width="8.625" style="142" bestFit="1" customWidth="1"/>
    <col min="11559" max="11559" width="7.5" style="142" bestFit="1" customWidth="1"/>
    <col min="11560" max="11560" width="8.625" style="142" bestFit="1" customWidth="1"/>
    <col min="11561" max="11777" width="7.25" style="142"/>
    <col min="11778" max="11778" width="0.625" style="142" customWidth="1"/>
    <col min="11779" max="11780" width="10.5" style="142" customWidth="1"/>
    <col min="11781" max="11787" width="9.375" style="142" customWidth="1"/>
    <col min="11788" max="11795" width="8.875" style="142" customWidth="1"/>
    <col min="11796" max="11799" width="7.25" style="142"/>
    <col min="11800" max="11802" width="8.125" style="142" bestFit="1" customWidth="1"/>
    <col min="11803" max="11803" width="8.625" style="142" bestFit="1" customWidth="1"/>
    <col min="11804" max="11804" width="9.5" style="142" bestFit="1" customWidth="1"/>
    <col min="11805" max="11805" width="8.625" style="142" bestFit="1" customWidth="1"/>
    <col min="11806" max="11806" width="7.25" style="142"/>
    <col min="11807" max="11807" width="9.5" style="142" bestFit="1" customWidth="1"/>
    <col min="11808" max="11812" width="8.625" style="142" bestFit="1" customWidth="1"/>
    <col min="11813" max="11813" width="7.5" style="142" bestFit="1" customWidth="1"/>
    <col min="11814" max="11814" width="8.625" style="142" bestFit="1" customWidth="1"/>
    <col min="11815" max="11815" width="7.5" style="142" bestFit="1" customWidth="1"/>
    <col min="11816" max="11816" width="8.625" style="142" bestFit="1" customWidth="1"/>
    <col min="11817" max="12033" width="7.25" style="142"/>
    <col min="12034" max="12034" width="0.625" style="142" customWidth="1"/>
    <col min="12035" max="12036" width="10.5" style="142" customWidth="1"/>
    <col min="12037" max="12043" width="9.375" style="142" customWidth="1"/>
    <col min="12044" max="12051" width="8.875" style="142" customWidth="1"/>
    <col min="12052" max="12055" width="7.25" style="142"/>
    <col min="12056" max="12058" width="8.125" style="142" bestFit="1" customWidth="1"/>
    <col min="12059" max="12059" width="8.625" style="142" bestFit="1" customWidth="1"/>
    <col min="12060" max="12060" width="9.5" style="142" bestFit="1" customWidth="1"/>
    <col min="12061" max="12061" width="8.625" style="142" bestFit="1" customWidth="1"/>
    <col min="12062" max="12062" width="7.25" style="142"/>
    <col min="12063" max="12063" width="9.5" style="142" bestFit="1" customWidth="1"/>
    <col min="12064" max="12068" width="8.625" style="142" bestFit="1" customWidth="1"/>
    <col min="12069" max="12069" width="7.5" style="142" bestFit="1" customWidth="1"/>
    <col min="12070" max="12070" width="8.625" style="142" bestFit="1" customWidth="1"/>
    <col min="12071" max="12071" width="7.5" style="142" bestFit="1" customWidth="1"/>
    <col min="12072" max="12072" width="8.625" style="142" bestFit="1" customWidth="1"/>
    <col min="12073" max="12289" width="7.25" style="142"/>
    <col min="12290" max="12290" width="0.625" style="142" customWidth="1"/>
    <col min="12291" max="12292" width="10.5" style="142" customWidth="1"/>
    <col min="12293" max="12299" width="9.375" style="142" customWidth="1"/>
    <col min="12300" max="12307" width="8.875" style="142" customWidth="1"/>
    <col min="12308" max="12311" width="7.25" style="142"/>
    <col min="12312" max="12314" width="8.125" style="142" bestFit="1" customWidth="1"/>
    <col min="12315" max="12315" width="8.625" style="142" bestFit="1" customWidth="1"/>
    <col min="12316" max="12316" width="9.5" style="142" bestFit="1" customWidth="1"/>
    <col min="12317" max="12317" width="8.625" style="142" bestFit="1" customWidth="1"/>
    <col min="12318" max="12318" width="7.25" style="142"/>
    <col min="12319" max="12319" width="9.5" style="142" bestFit="1" customWidth="1"/>
    <col min="12320" max="12324" width="8.625" style="142" bestFit="1" customWidth="1"/>
    <col min="12325" max="12325" width="7.5" style="142" bestFit="1" customWidth="1"/>
    <col min="12326" max="12326" width="8.625" style="142" bestFit="1" customWidth="1"/>
    <col min="12327" max="12327" width="7.5" style="142" bestFit="1" customWidth="1"/>
    <col min="12328" max="12328" width="8.625" style="142" bestFit="1" customWidth="1"/>
    <col min="12329" max="12545" width="7.25" style="142"/>
    <col min="12546" max="12546" width="0.625" style="142" customWidth="1"/>
    <col min="12547" max="12548" width="10.5" style="142" customWidth="1"/>
    <col min="12549" max="12555" width="9.375" style="142" customWidth="1"/>
    <col min="12556" max="12563" width="8.875" style="142" customWidth="1"/>
    <col min="12564" max="12567" width="7.25" style="142"/>
    <col min="12568" max="12570" width="8.125" style="142" bestFit="1" customWidth="1"/>
    <col min="12571" max="12571" width="8.625" style="142" bestFit="1" customWidth="1"/>
    <col min="12572" max="12572" width="9.5" style="142" bestFit="1" customWidth="1"/>
    <col min="12573" max="12573" width="8.625" style="142" bestFit="1" customWidth="1"/>
    <col min="12574" max="12574" width="7.25" style="142"/>
    <col min="12575" max="12575" width="9.5" style="142" bestFit="1" customWidth="1"/>
    <col min="12576" max="12580" width="8.625" style="142" bestFit="1" customWidth="1"/>
    <col min="12581" max="12581" width="7.5" style="142" bestFit="1" customWidth="1"/>
    <col min="12582" max="12582" width="8.625" style="142" bestFit="1" customWidth="1"/>
    <col min="12583" max="12583" width="7.5" style="142" bestFit="1" customWidth="1"/>
    <col min="12584" max="12584" width="8.625" style="142" bestFit="1" customWidth="1"/>
    <col min="12585" max="12801" width="7.25" style="142"/>
    <col min="12802" max="12802" width="0.625" style="142" customWidth="1"/>
    <col min="12803" max="12804" width="10.5" style="142" customWidth="1"/>
    <col min="12805" max="12811" width="9.375" style="142" customWidth="1"/>
    <col min="12812" max="12819" width="8.875" style="142" customWidth="1"/>
    <col min="12820" max="12823" width="7.25" style="142"/>
    <col min="12824" max="12826" width="8.125" style="142" bestFit="1" customWidth="1"/>
    <col min="12827" max="12827" width="8.625" style="142" bestFit="1" customWidth="1"/>
    <col min="12828" max="12828" width="9.5" style="142" bestFit="1" customWidth="1"/>
    <col min="12829" max="12829" width="8.625" style="142" bestFit="1" customWidth="1"/>
    <col min="12830" max="12830" width="7.25" style="142"/>
    <col min="12831" max="12831" width="9.5" style="142" bestFit="1" customWidth="1"/>
    <col min="12832" max="12836" width="8.625" style="142" bestFit="1" customWidth="1"/>
    <col min="12837" max="12837" width="7.5" style="142" bestFit="1" customWidth="1"/>
    <col min="12838" max="12838" width="8.625" style="142" bestFit="1" customWidth="1"/>
    <col min="12839" max="12839" width="7.5" style="142" bestFit="1" customWidth="1"/>
    <col min="12840" max="12840" width="8.625" style="142" bestFit="1" customWidth="1"/>
    <col min="12841" max="13057" width="7.25" style="142"/>
    <col min="13058" max="13058" width="0.625" style="142" customWidth="1"/>
    <col min="13059" max="13060" width="10.5" style="142" customWidth="1"/>
    <col min="13061" max="13067" width="9.375" style="142" customWidth="1"/>
    <col min="13068" max="13075" width="8.875" style="142" customWidth="1"/>
    <col min="13076" max="13079" width="7.25" style="142"/>
    <col min="13080" max="13082" width="8.125" style="142" bestFit="1" customWidth="1"/>
    <col min="13083" max="13083" width="8.625" style="142" bestFit="1" customWidth="1"/>
    <col min="13084" max="13084" width="9.5" style="142" bestFit="1" customWidth="1"/>
    <col min="13085" max="13085" width="8.625" style="142" bestFit="1" customWidth="1"/>
    <col min="13086" max="13086" width="7.25" style="142"/>
    <col min="13087" max="13087" width="9.5" style="142" bestFit="1" customWidth="1"/>
    <col min="13088" max="13092" width="8.625" style="142" bestFit="1" customWidth="1"/>
    <col min="13093" max="13093" width="7.5" style="142" bestFit="1" customWidth="1"/>
    <col min="13094" max="13094" width="8.625" style="142" bestFit="1" customWidth="1"/>
    <col min="13095" max="13095" width="7.5" style="142" bestFit="1" customWidth="1"/>
    <col min="13096" max="13096" width="8.625" style="142" bestFit="1" customWidth="1"/>
    <col min="13097" max="13313" width="7.25" style="142"/>
    <col min="13314" max="13314" width="0.625" style="142" customWidth="1"/>
    <col min="13315" max="13316" width="10.5" style="142" customWidth="1"/>
    <col min="13317" max="13323" width="9.375" style="142" customWidth="1"/>
    <col min="13324" max="13331" width="8.875" style="142" customWidth="1"/>
    <col min="13332" max="13335" width="7.25" style="142"/>
    <col min="13336" max="13338" width="8.125" style="142" bestFit="1" customWidth="1"/>
    <col min="13339" max="13339" width="8.625" style="142" bestFit="1" customWidth="1"/>
    <col min="13340" max="13340" width="9.5" style="142" bestFit="1" customWidth="1"/>
    <col min="13341" max="13341" width="8.625" style="142" bestFit="1" customWidth="1"/>
    <col min="13342" max="13342" width="7.25" style="142"/>
    <col min="13343" max="13343" width="9.5" style="142" bestFit="1" customWidth="1"/>
    <col min="13344" max="13348" width="8.625" style="142" bestFit="1" customWidth="1"/>
    <col min="13349" max="13349" width="7.5" style="142" bestFit="1" customWidth="1"/>
    <col min="13350" max="13350" width="8.625" style="142" bestFit="1" customWidth="1"/>
    <col min="13351" max="13351" width="7.5" style="142" bestFit="1" customWidth="1"/>
    <col min="13352" max="13352" width="8.625" style="142" bestFit="1" customWidth="1"/>
    <col min="13353" max="13569" width="7.25" style="142"/>
    <col min="13570" max="13570" width="0.625" style="142" customWidth="1"/>
    <col min="13571" max="13572" width="10.5" style="142" customWidth="1"/>
    <col min="13573" max="13579" width="9.375" style="142" customWidth="1"/>
    <col min="13580" max="13587" width="8.875" style="142" customWidth="1"/>
    <col min="13588" max="13591" width="7.25" style="142"/>
    <col min="13592" max="13594" width="8.125" style="142" bestFit="1" customWidth="1"/>
    <col min="13595" max="13595" width="8.625" style="142" bestFit="1" customWidth="1"/>
    <col min="13596" max="13596" width="9.5" style="142" bestFit="1" customWidth="1"/>
    <col min="13597" max="13597" width="8.625" style="142" bestFit="1" customWidth="1"/>
    <col min="13598" max="13598" width="7.25" style="142"/>
    <col min="13599" max="13599" width="9.5" style="142" bestFit="1" customWidth="1"/>
    <col min="13600" max="13604" width="8.625" style="142" bestFit="1" customWidth="1"/>
    <col min="13605" max="13605" width="7.5" style="142" bestFit="1" customWidth="1"/>
    <col min="13606" max="13606" width="8.625" style="142" bestFit="1" customWidth="1"/>
    <col min="13607" max="13607" width="7.5" style="142" bestFit="1" customWidth="1"/>
    <col min="13608" max="13608" width="8.625" style="142" bestFit="1" customWidth="1"/>
    <col min="13609" max="13825" width="7.25" style="142"/>
    <col min="13826" max="13826" width="0.625" style="142" customWidth="1"/>
    <col min="13827" max="13828" width="10.5" style="142" customWidth="1"/>
    <col min="13829" max="13835" width="9.375" style="142" customWidth="1"/>
    <col min="13836" max="13843" width="8.875" style="142" customWidth="1"/>
    <col min="13844" max="13847" width="7.25" style="142"/>
    <col min="13848" max="13850" width="8.125" style="142" bestFit="1" customWidth="1"/>
    <col min="13851" max="13851" width="8.625" style="142" bestFit="1" customWidth="1"/>
    <col min="13852" max="13852" width="9.5" style="142" bestFit="1" customWidth="1"/>
    <col min="13853" max="13853" width="8.625" style="142" bestFit="1" customWidth="1"/>
    <col min="13854" max="13854" width="7.25" style="142"/>
    <col min="13855" max="13855" width="9.5" style="142" bestFit="1" customWidth="1"/>
    <col min="13856" max="13860" width="8.625" style="142" bestFit="1" customWidth="1"/>
    <col min="13861" max="13861" width="7.5" style="142" bestFit="1" customWidth="1"/>
    <col min="13862" max="13862" width="8.625" style="142" bestFit="1" customWidth="1"/>
    <col min="13863" max="13863" width="7.5" style="142" bestFit="1" customWidth="1"/>
    <col min="13864" max="13864" width="8.625" style="142" bestFit="1" customWidth="1"/>
    <col min="13865" max="14081" width="7.25" style="142"/>
    <col min="14082" max="14082" width="0.625" style="142" customWidth="1"/>
    <col min="14083" max="14084" width="10.5" style="142" customWidth="1"/>
    <col min="14085" max="14091" width="9.375" style="142" customWidth="1"/>
    <col min="14092" max="14099" width="8.875" style="142" customWidth="1"/>
    <col min="14100" max="14103" width="7.25" style="142"/>
    <col min="14104" max="14106" width="8.125" style="142" bestFit="1" customWidth="1"/>
    <col min="14107" max="14107" width="8.625" style="142" bestFit="1" customWidth="1"/>
    <col min="14108" max="14108" width="9.5" style="142" bestFit="1" customWidth="1"/>
    <col min="14109" max="14109" width="8.625" style="142" bestFit="1" customWidth="1"/>
    <col min="14110" max="14110" width="7.25" style="142"/>
    <col min="14111" max="14111" width="9.5" style="142" bestFit="1" customWidth="1"/>
    <col min="14112" max="14116" width="8.625" style="142" bestFit="1" customWidth="1"/>
    <col min="14117" max="14117" width="7.5" style="142" bestFit="1" customWidth="1"/>
    <col min="14118" max="14118" width="8.625" style="142" bestFit="1" customWidth="1"/>
    <col min="14119" max="14119" width="7.5" style="142" bestFit="1" customWidth="1"/>
    <col min="14120" max="14120" width="8.625" style="142" bestFit="1" customWidth="1"/>
    <col min="14121" max="14337" width="7.25" style="142"/>
    <col min="14338" max="14338" width="0.625" style="142" customWidth="1"/>
    <col min="14339" max="14340" width="10.5" style="142" customWidth="1"/>
    <col min="14341" max="14347" width="9.375" style="142" customWidth="1"/>
    <col min="14348" max="14355" width="8.875" style="142" customWidth="1"/>
    <col min="14356" max="14359" width="7.25" style="142"/>
    <col min="14360" max="14362" width="8.125" style="142" bestFit="1" customWidth="1"/>
    <col min="14363" max="14363" width="8.625" style="142" bestFit="1" customWidth="1"/>
    <col min="14364" max="14364" width="9.5" style="142" bestFit="1" customWidth="1"/>
    <col min="14365" max="14365" width="8.625" style="142" bestFit="1" customWidth="1"/>
    <col min="14366" max="14366" width="7.25" style="142"/>
    <col min="14367" max="14367" width="9.5" style="142" bestFit="1" customWidth="1"/>
    <col min="14368" max="14372" width="8.625" style="142" bestFit="1" customWidth="1"/>
    <col min="14373" max="14373" width="7.5" style="142" bestFit="1" customWidth="1"/>
    <col min="14374" max="14374" width="8.625" style="142" bestFit="1" customWidth="1"/>
    <col min="14375" max="14375" width="7.5" style="142" bestFit="1" customWidth="1"/>
    <col min="14376" max="14376" width="8.625" style="142" bestFit="1" customWidth="1"/>
    <col min="14377" max="14593" width="7.25" style="142"/>
    <col min="14594" max="14594" width="0.625" style="142" customWidth="1"/>
    <col min="14595" max="14596" width="10.5" style="142" customWidth="1"/>
    <col min="14597" max="14603" width="9.375" style="142" customWidth="1"/>
    <col min="14604" max="14611" width="8.875" style="142" customWidth="1"/>
    <col min="14612" max="14615" width="7.25" style="142"/>
    <col min="14616" max="14618" width="8.125" style="142" bestFit="1" customWidth="1"/>
    <col min="14619" max="14619" width="8.625" style="142" bestFit="1" customWidth="1"/>
    <col min="14620" max="14620" width="9.5" style="142" bestFit="1" customWidth="1"/>
    <col min="14621" max="14621" width="8.625" style="142" bestFit="1" customWidth="1"/>
    <col min="14622" max="14622" width="7.25" style="142"/>
    <col min="14623" max="14623" width="9.5" style="142" bestFit="1" customWidth="1"/>
    <col min="14624" max="14628" width="8.625" style="142" bestFit="1" customWidth="1"/>
    <col min="14629" max="14629" width="7.5" style="142" bestFit="1" customWidth="1"/>
    <col min="14630" max="14630" width="8.625" style="142" bestFit="1" customWidth="1"/>
    <col min="14631" max="14631" width="7.5" style="142" bestFit="1" customWidth="1"/>
    <col min="14632" max="14632" width="8.625" style="142" bestFit="1" customWidth="1"/>
    <col min="14633" max="14849" width="7.25" style="142"/>
    <col min="14850" max="14850" width="0.625" style="142" customWidth="1"/>
    <col min="14851" max="14852" width="10.5" style="142" customWidth="1"/>
    <col min="14853" max="14859" width="9.375" style="142" customWidth="1"/>
    <col min="14860" max="14867" width="8.875" style="142" customWidth="1"/>
    <col min="14868" max="14871" width="7.25" style="142"/>
    <col min="14872" max="14874" width="8.125" style="142" bestFit="1" customWidth="1"/>
    <col min="14875" max="14875" width="8.625" style="142" bestFit="1" customWidth="1"/>
    <col min="14876" max="14876" width="9.5" style="142" bestFit="1" customWidth="1"/>
    <col min="14877" max="14877" width="8.625" style="142" bestFit="1" customWidth="1"/>
    <col min="14878" max="14878" width="7.25" style="142"/>
    <col min="14879" max="14879" width="9.5" style="142" bestFit="1" customWidth="1"/>
    <col min="14880" max="14884" width="8.625" style="142" bestFit="1" customWidth="1"/>
    <col min="14885" max="14885" width="7.5" style="142" bestFit="1" customWidth="1"/>
    <col min="14886" max="14886" width="8.625" style="142" bestFit="1" customWidth="1"/>
    <col min="14887" max="14887" width="7.5" style="142" bestFit="1" customWidth="1"/>
    <col min="14888" max="14888" width="8.625" style="142" bestFit="1" customWidth="1"/>
    <col min="14889" max="15105" width="7.25" style="142"/>
    <col min="15106" max="15106" width="0.625" style="142" customWidth="1"/>
    <col min="15107" max="15108" width="10.5" style="142" customWidth="1"/>
    <col min="15109" max="15115" width="9.375" style="142" customWidth="1"/>
    <col min="15116" max="15123" width="8.875" style="142" customWidth="1"/>
    <col min="15124" max="15127" width="7.25" style="142"/>
    <col min="15128" max="15130" width="8.125" style="142" bestFit="1" customWidth="1"/>
    <col min="15131" max="15131" width="8.625" style="142" bestFit="1" customWidth="1"/>
    <col min="15132" max="15132" width="9.5" style="142" bestFit="1" customWidth="1"/>
    <col min="15133" max="15133" width="8.625" style="142" bestFit="1" customWidth="1"/>
    <col min="15134" max="15134" width="7.25" style="142"/>
    <col min="15135" max="15135" width="9.5" style="142" bestFit="1" customWidth="1"/>
    <col min="15136" max="15140" width="8.625" style="142" bestFit="1" customWidth="1"/>
    <col min="15141" max="15141" width="7.5" style="142" bestFit="1" customWidth="1"/>
    <col min="15142" max="15142" width="8.625" style="142" bestFit="1" customWidth="1"/>
    <col min="15143" max="15143" width="7.5" style="142" bestFit="1" customWidth="1"/>
    <col min="15144" max="15144" width="8.625" style="142" bestFit="1" customWidth="1"/>
    <col min="15145" max="15361" width="7.25" style="142"/>
    <col min="15362" max="15362" width="0.625" style="142" customWidth="1"/>
    <col min="15363" max="15364" width="10.5" style="142" customWidth="1"/>
    <col min="15365" max="15371" width="9.375" style="142" customWidth="1"/>
    <col min="15372" max="15379" width="8.875" style="142" customWidth="1"/>
    <col min="15380" max="15383" width="7.25" style="142"/>
    <col min="15384" max="15386" width="8.125" style="142" bestFit="1" customWidth="1"/>
    <col min="15387" max="15387" width="8.625" style="142" bestFit="1" customWidth="1"/>
    <col min="15388" max="15388" width="9.5" style="142" bestFit="1" customWidth="1"/>
    <col min="15389" max="15389" width="8.625" style="142" bestFit="1" customWidth="1"/>
    <col min="15390" max="15390" width="7.25" style="142"/>
    <col min="15391" max="15391" width="9.5" style="142" bestFit="1" customWidth="1"/>
    <col min="15392" max="15396" width="8.625" style="142" bestFit="1" customWidth="1"/>
    <col min="15397" max="15397" width="7.5" style="142" bestFit="1" customWidth="1"/>
    <col min="15398" max="15398" width="8.625" style="142" bestFit="1" customWidth="1"/>
    <col min="15399" max="15399" width="7.5" style="142" bestFit="1" customWidth="1"/>
    <col min="15400" max="15400" width="8.625" style="142" bestFit="1" customWidth="1"/>
    <col min="15401" max="15617" width="7.25" style="142"/>
    <col min="15618" max="15618" width="0.625" style="142" customWidth="1"/>
    <col min="15619" max="15620" width="10.5" style="142" customWidth="1"/>
    <col min="15621" max="15627" width="9.375" style="142" customWidth="1"/>
    <col min="15628" max="15635" width="8.875" style="142" customWidth="1"/>
    <col min="15636" max="15639" width="7.25" style="142"/>
    <col min="15640" max="15642" width="8.125" style="142" bestFit="1" customWidth="1"/>
    <col min="15643" max="15643" width="8.625" style="142" bestFit="1" customWidth="1"/>
    <col min="15644" max="15644" width="9.5" style="142" bestFit="1" customWidth="1"/>
    <col min="15645" max="15645" width="8.625" style="142" bestFit="1" customWidth="1"/>
    <col min="15646" max="15646" width="7.25" style="142"/>
    <col min="15647" max="15647" width="9.5" style="142" bestFit="1" customWidth="1"/>
    <col min="15648" max="15652" width="8.625" style="142" bestFit="1" customWidth="1"/>
    <col min="15653" max="15653" width="7.5" style="142" bestFit="1" customWidth="1"/>
    <col min="15654" max="15654" width="8.625" style="142" bestFit="1" customWidth="1"/>
    <col min="15655" max="15655" width="7.5" style="142" bestFit="1" customWidth="1"/>
    <col min="15656" max="15656" width="8.625" style="142" bestFit="1" customWidth="1"/>
    <col min="15657" max="15873" width="7.25" style="142"/>
    <col min="15874" max="15874" width="0.625" style="142" customWidth="1"/>
    <col min="15875" max="15876" width="10.5" style="142" customWidth="1"/>
    <col min="15877" max="15883" width="9.375" style="142" customWidth="1"/>
    <col min="15884" max="15891" width="8.875" style="142" customWidth="1"/>
    <col min="15892" max="15895" width="7.25" style="142"/>
    <col min="15896" max="15898" width="8.125" style="142" bestFit="1" customWidth="1"/>
    <col min="15899" max="15899" width="8.625" style="142" bestFit="1" customWidth="1"/>
    <col min="15900" max="15900" width="9.5" style="142" bestFit="1" customWidth="1"/>
    <col min="15901" max="15901" width="8.625" style="142" bestFit="1" customWidth="1"/>
    <col min="15902" max="15902" width="7.25" style="142"/>
    <col min="15903" max="15903" width="9.5" style="142" bestFit="1" customWidth="1"/>
    <col min="15904" max="15908" width="8.625" style="142" bestFit="1" customWidth="1"/>
    <col min="15909" max="15909" width="7.5" style="142" bestFit="1" customWidth="1"/>
    <col min="15910" max="15910" width="8.625" style="142" bestFit="1" customWidth="1"/>
    <col min="15911" max="15911" width="7.5" style="142" bestFit="1" customWidth="1"/>
    <col min="15912" max="15912" width="8.625" style="142" bestFit="1" customWidth="1"/>
    <col min="15913" max="16129" width="7.25" style="142"/>
    <col min="16130" max="16130" width="0.625" style="142" customWidth="1"/>
    <col min="16131" max="16132" width="10.5" style="142" customWidth="1"/>
    <col min="16133" max="16139" width="9.375" style="142" customWidth="1"/>
    <col min="16140" max="16147" width="8.875" style="142" customWidth="1"/>
    <col min="16148" max="16151" width="7.25" style="142"/>
    <col min="16152" max="16154" width="8.125" style="142" bestFit="1" customWidth="1"/>
    <col min="16155" max="16155" width="8.625" style="142" bestFit="1" customWidth="1"/>
    <col min="16156" max="16156" width="9.5" style="142" bestFit="1" customWidth="1"/>
    <col min="16157" max="16157" width="8.625" style="142" bestFit="1" customWidth="1"/>
    <col min="16158" max="16158" width="7.25" style="142"/>
    <col min="16159" max="16159" width="9.5" style="142" bestFit="1" customWidth="1"/>
    <col min="16160" max="16164" width="8.625" style="142" bestFit="1" customWidth="1"/>
    <col min="16165" max="16165" width="7.5" style="142" bestFit="1" customWidth="1"/>
    <col min="16166" max="16166" width="8.625" style="142" bestFit="1" customWidth="1"/>
    <col min="16167" max="16167" width="7.5" style="142" bestFit="1" customWidth="1"/>
    <col min="16168" max="16168" width="8.625" style="142" bestFit="1" customWidth="1"/>
    <col min="16169" max="16384" width="7.25" style="142"/>
  </cols>
  <sheetData>
    <row r="1" spans="1:257" s="111" customFormat="1" ht="30" customHeight="1" thickBot="1">
      <c r="A1" s="311"/>
      <c r="B1" s="1083" t="s">
        <v>1712</v>
      </c>
      <c r="C1" s="1083"/>
      <c r="D1" s="1083"/>
      <c r="E1" s="1083"/>
      <c r="F1" s="1083"/>
      <c r="G1" s="1083"/>
      <c r="H1" s="1083"/>
      <c r="I1" s="1083"/>
      <c r="J1" s="1083"/>
      <c r="K1" s="1083"/>
      <c r="L1" s="1083"/>
      <c r="M1" s="1083"/>
      <c r="N1" s="1083"/>
      <c r="O1" s="1083"/>
      <c r="P1" s="1083"/>
      <c r="Q1" s="1083"/>
      <c r="R1" s="1083"/>
      <c r="S1" s="1083"/>
      <c r="T1" s="136"/>
      <c r="U1" s="136"/>
      <c r="V1" s="136"/>
      <c r="W1" s="136"/>
      <c r="X1" s="136"/>
      <c r="Y1" s="136"/>
      <c r="Z1" s="1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c r="CN1" s="136"/>
      <c r="CO1" s="136"/>
      <c r="CP1" s="136"/>
      <c r="CQ1" s="136"/>
      <c r="CR1" s="136"/>
      <c r="CS1" s="136"/>
      <c r="CT1" s="136"/>
      <c r="CU1" s="136"/>
      <c r="CV1" s="136"/>
      <c r="CW1" s="136"/>
      <c r="CX1" s="136"/>
      <c r="CY1" s="136"/>
      <c r="CZ1" s="136"/>
      <c r="DA1" s="136"/>
      <c r="DB1" s="136"/>
      <c r="DC1" s="136"/>
      <c r="DD1" s="136"/>
      <c r="DE1" s="136"/>
      <c r="DF1" s="136"/>
      <c r="DG1" s="136"/>
      <c r="DH1" s="136"/>
      <c r="DI1" s="136"/>
      <c r="DJ1" s="136"/>
      <c r="DK1" s="136"/>
      <c r="DL1" s="136"/>
      <c r="DM1" s="136"/>
      <c r="DN1" s="136"/>
      <c r="DO1" s="136"/>
      <c r="DP1" s="136"/>
      <c r="DQ1" s="136"/>
      <c r="DR1" s="136"/>
      <c r="DS1" s="136"/>
      <c r="DT1" s="136"/>
      <c r="DU1" s="136"/>
      <c r="DV1" s="136"/>
      <c r="DW1" s="136"/>
      <c r="DX1" s="136"/>
      <c r="DY1" s="136"/>
      <c r="DZ1" s="136"/>
      <c r="EA1" s="136"/>
      <c r="EB1" s="136"/>
      <c r="EC1" s="136"/>
      <c r="ED1" s="136"/>
      <c r="EE1" s="136"/>
      <c r="EF1" s="136"/>
      <c r="EG1" s="136"/>
      <c r="EH1" s="136"/>
      <c r="EI1" s="136"/>
      <c r="EJ1" s="136"/>
      <c r="EK1" s="136"/>
      <c r="EL1" s="136"/>
      <c r="EM1" s="136"/>
      <c r="EN1" s="136"/>
      <c r="EO1" s="136"/>
      <c r="EP1" s="136"/>
      <c r="EQ1" s="136"/>
      <c r="ER1" s="136"/>
      <c r="ES1" s="136"/>
      <c r="ET1" s="136"/>
      <c r="EU1" s="136"/>
      <c r="EV1" s="136"/>
      <c r="EW1" s="136"/>
      <c r="EX1" s="136"/>
      <c r="EY1" s="136"/>
      <c r="EZ1" s="136"/>
      <c r="FA1" s="136"/>
      <c r="FB1" s="136"/>
      <c r="FC1" s="136"/>
      <c r="FD1" s="136"/>
      <c r="FE1" s="136"/>
      <c r="FF1" s="136"/>
      <c r="FG1" s="136"/>
      <c r="FH1" s="136"/>
      <c r="FI1" s="136"/>
      <c r="FJ1" s="136"/>
      <c r="FK1" s="136"/>
      <c r="FL1" s="136"/>
      <c r="FM1" s="136"/>
      <c r="FN1" s="136"/>
      <c r="FO1" s="136"/>
      <c r="FP1" s="136"/>
      <c r="FQ1" s="136"/>
      <c r="FR1" s="136"/>
      <c r="FS1" s="136"/>
      <c r="FT1" s="136"/>
      <c r="FU1" s="136"/>
      <c r="FV1" s="136"/>
      <c r="FW1" s="136"/>
      <c r="FX1" s="136"/>
      <c r="FY1" s="136"/>
      <c r="FZ1" s="136"/>
      <c r="GA1" s="136"/>
      <c r="GB1" s="136"/>
      <c r="GC1" s="136"/>
      <c r="GD1" s="136"/>
      <c r="GE1" s="136"/>
      <c r="GF1" s="136"/>
      <c r="GG1" s="136"/>
      <c r="GH1" s="136"/>
      <c r="GI1" s="136"/>
      <c r="GJ1" s="136"/>
      <c r="GK1" s="136"/>
      <c r="GL1" s="136"/>
      <c r="GM1" s="136"/>
      <c r="GN1" s="136"/>
      <c r="GO1" s="136"/>
      <c r="GP1" s="136"/>
      <c r="GQ1" s="136"/>
      <c r="GR1" s="136"/>
      <c r="GS1" s="136"/>
      <c r="GT1" s="136"/>
      <c r="GU1" s="136"/>
      <c r="GV1" s="136"/>
      <c r="GW1" s="136"/>
      <c r="GX1" s="136"/>
      <c r="GY1" s="136"/>
      <c r="GZ1" s="136"/>
      <c r="HA1" s="136"/>
      <c r="HB1" s="136"/>
      <c r="HC1" s="136"/>
      <c r="HD1" s="136"/>
      <c r="HE1" s="136"/>
      <c r="HF1" s="136"/>
      <c r="HG1" s="136"/>
      <c r="HH1" s="136"/>
      <c r="HI1" s="136"/>
      <c r="HJ1" s="136"/>
      <c r="HK1" s="136"/>
      <c r="HL1" s="136"/>
      <c r="HM1" s="136"/>
      <c r="HN1" s="136"/>
      <c r="HO1" s="136"/>
      <c r="HP1" s="136"/>
      <c r="HQ1" s="136"/>
      <c r="HR1" s="136"/>
      <c r="HS1" s="136"/>
      <c r="HT1" s="136"/>
      <c r="HU1" s="136"/>
      <c r="HV1" s="136"/>
      <c r="HW1" s="136"/>
      <c r="HX1" s="136"/>
      <c r="HY1" s="136"/>
      <c r="HZ1" s="136"/>
      <c r="IA1" s="136"/>
      <c r="IB1" s="136"/>
      <c r="IC1" s="136"/>
      <c r="ID1" s="136"/>
      <c r="IE1" s="136"/>
      <c r="IF1" s="136"/>
      <c r="IG1" s="136"/>
      <c r="IH1" s="136"/>
      <c r="II1" s="136"/>
      <c r="IJ1" s="136"/>
      <c r="IK1" s="136"/>
      <c r="IL1" s="136"/>
      <c r="IM1" s="136"/>
      <c r="IN1" s="136"/>
      <c r="IO1" s="136"/>
      <c r="IP1" s="136"/>
      <c r="IQ1" s="136"/>
      <c r="IR1" s="136"/>
      <c r="IS1" s="136"/>
      <c r="IT1" s="136"/>
      <c r="IU1" s="136"/>
      <c r="IV1" s="136"/>
      <c r="IW1" s="136"/>
    </row>
    <row r="2" spans="1:257" s="110" customFormat="1" ht="18" customHeight="1" thickTop="1">
      <c r="A2" s="65"/>
      <c r="B2" s="64"/>
      <c r="C2" s="64"/>
      <c r="D2" s="137"/>
      <c r="E2" s="138"/>
      <c r="F2" s="138"/>
      <c r="G2" s="139"/>
      <c r="H2" s="139"/>
      <c r="I2" s="139"/>
      <c r="J2" s="139"/>
      <c r="K2" s="139"/>
      <c r="L2" s="139"/>
      <c r="M2" s="138"/>
      <c r="N2" s="138"/>
      <c r="O2" s="138"/>
      <c r="P2" s="138"/>
      <c r="Q2" s="138"/>
      <c r="R2" s="138"/>
      <c r="S2" s="138"/>
      <c r="T2" s="138"/>
      <c r="U2" s="65"/>
      <c r="V2" s="65"/>
      <c r="W2" s="65"/>
      <c r="X2" s="65"/>
      <c r="Y2" s="65"/>
      <c r="Z2" s="65"/>
      <c r="AA2" s="65"/>
      <c r="AB2" s="65"/>
      <c r="AC2" s="65"/>
      <c r="AD2" s="65"/>
      <c r="AE2" s="65"/>
      <c r="AF2" s="65"/>
      <c r="AG2" s="65"/>
      <c r="AH2" s="65"/>
      <c r="AI2" s="65"/>
      <c r="AJ2" s="65"/>
      <c r="AK2" s="65"/>
      <c r="AL2" s="65"/>
      <c r="AM2" s="65"/>
      <c r="AN2" s="65"/>
      <c r="AO2" s="65"/>
      <c r="AP2" s="65"/>
      <c r="AQ2" s="65"/>
      <c r="AR2" s="65"/>
      <c r="AS2" s="65"/>
      <c r="AT2" s="65"/>
      <c r="AU2" s="65"/>
      <c r="AV2" s="65"/>
      <c r="AW2" s="65"/>
      <c r="AX2" s="65"/>
      <c r="AY2" s="65"/>
      <c r="AZ2" s="65"/>
      <c r="BA2" s="65"/>
      <c r="BB2" s="65"/>
      <c r="BC2" s="65"/>
      <c r="BD2" s="65"/>
      <c r="BE2" s="65"/>
      <c r="BF2" s="65"/>
      <c r="BG2" s="65"/>
      <c r="BH2" s="65"/>
      <c r="BI2" s="65"/>
      <c r="BJ2" s="65"/>
      <c r="BK2" s="65"/>
      <c r="BL2" s="65"/>
      <c r="BM2" s="65"/>
      <c r="BN2" s="65"/>
      <c r="BO2" s="65"/>
      <c r="BP2" s="65"/>
      <c r="BQ2" s="65"/>
      <c r="BR2" s="65"/>
      <c r="BS2" s="65"/>
      <c r="BT2" s="65"/>
      <c r="BU2" s="65"/>
      <c r="BV2" s="65"/>
      <c r="BW2" s="65"/>
      <c r="BX2" s="65"/>
      <c r="BY2" s="65"/>
      <c r="BZ2" s="65"/>
      <c r="CA2" s="65"/>
      <c r="CB2" s="65"/>
      <c r="CC2" s="65"/>
      <c r="CD2" s="65"/>
      <c r="CE2" s="65"/>
      <c r="CF2" s="65"/>
      <c r="CG2" s="65"/>
      <c r="CH2" s="65"/>
      <c r="CI2" s="65"/>
      <c r="CJ2" s="65"/>
      <c r="CK2" s="65"/>
      <c r="CL2" s="65"/>
      <c r="CM2" s="65"/>
      <c r="CN2" s="65"/>
      <c r="CO2" s="65"/>
      <c r="CP2" s="65"/>
      <c r="CQ2" s="65"/>
      <c r="CR2" s="65"/>
      <c r="CS2" s="65"/>
      <c r="CT2" s="65"/>
      <c r="CU2" s="65"/>
      <c r="CV2" s="65"/>
      <c r="CW2" s="65"/>
      <c r="CX2" s="65"/>
      <c r="CY2" s="65"/>
      <c r="CZ2" s="65"/>
      <c r="DA2" s="65"/>
      <c r="DB2" s="65"/>
      <c r="DC2" s="65"/>
      <c r="DD2" s="65"/>
      <c r="DE2" s="65"/>
      <c r="DF2" s="65"/>
      <c r="DG2" s="65"/>
      <c r="DH2" s="65"/>
      <c r="DI2" s="65"/>
      <c r="DJ2" s="65"/>
      <c r="DK2" s="65"/>
      <c r="DL2" s="65"/>
      <c r="DM2" s="65"/>
      <c r="DN2" s="65"/>
      <c r="DO2" s="65"/>
      <c r="DP2" s="65"/>
      <c r="DQ2" s="65"/>
      <c r="DR2" s="65"/>
      <c r="DS2" s="65"/>
      <c r="DT2" s="65"/>
      <c r="DU2" s="65"/>
      <c r="DV2" s="65"/>
      <c r="DW2" s="65"/>
      <c r="DX2" s="65"/>
      <c r="DY2" s="65"/>
      <c r="DZ2" s="65"/>
      <c r="EA2" s="65"/>
      <c r="EB2" s="65"/>
      <c r="EC2" s="65"/>
      <c r="ED2" s="65"/>
      <c r="EE2" s="65"/>
      <c r="EF2" s="65"/>
      <c r="EG2" s="65"/>
      <c r="EH2" s="65"/>
      <c r="EI2" s="65"/>
      <c r="EJ2" s="65"/>
      <c r="EK2" s="65"/>
      <c r="EL2" s="65"/>
      <c r="EM2" s="65"/>
      <c r="EN2" s="65"/>
      <c r="EO2" s="65"/>
      <c r="EP2" s="65"/>
      <c r="EQ2" s="65"/>
      <c r="ER2" s="65"/>
      <c r="ES2" s="65"/>
      <c r="ET2" s="65"/>
      <c r="EU2" s="65"/>
      <c r="EV2" s="65"/>
      <c r="EW2" s="65"/>
      <c r="EX2" s="65"/>
      <c r="EY2" s="65"/>
      <c r="EZ2" s="65"/>
      <c r="FA2" s="65"/>
      <c r="FB2" s="65"/>
      <c r="FC2" s="65"/>
      <c r="FD2" s="65"/>
      <c r="FE2" s="65"/>
      <c r="FF2" s="65"/>
      <c r="FG2" s="65"/>
      <c r="FH2" s="65"/>
      <c r="FI2" s="65"/>
      <c r="FJ2" s="65"/>
      <c r="FK2" s="65"/>
      <c r="FL2" s="65"/>
      <c r="FM2" s="65"/>
      <c r="FN2" s="65"/>
      <c r="FO2" s="65"/>
      <c r="FP2" s="65"/>
      <c r="FQ2" s="65"/>
      <c r="FR2" s="65"/>
      <c r="FS2" s="65"/>
      <c r="FT2" s="65"/>
      <c r="FU2" s="65"/>
      <c r="FV2" s="65"/>
      <c r="FW2" s="65"/>
      <c r="FX2" s="65"/>
      <c r="FY2" s="65"/>
      <c r="FZ2" s="65"/>
      <c r="GA2" s="65"/>
      <c r="GB2" s="65"/>
      <c r="GC2" s="65"/>
      <c r="GD2" s="65"/>
      <c r="GE2" s="65"/>
      <c r="GF2" s="65"/>
      <c r="GG2" s="65"/>
      <c r="GH2" s="65"/>
      <c r="GI2" s="65"/>
      <c r="GJ2" s="65"/>
      <c r="GK2" s="65"/>
      <c r="GL2" s="65"/>
      <c r="GM2" s="65"/>
      <c r="GN2" s="65"/>
      <c r="GO2" s="65"/>
      <c r="GP2" s="65"/>
      <c r="GQ2" s="65"/>
      <c r="GR2" s="65"/>
      <c r="GS2" s="65"/>
      <c r="GT2" s="65"/>
      <c r="GU2" s="65"/>
      <c r="GV2" s="65"/>
      <c r="GW2" s="65"/>
      <c r="GX2" s="65"/>
      <c r="GY2" s="65"/>
      <c r="GZ2" s="65"/>
      <c r="HA2" s="65"/>
      <c r="HB2" s="65"/>
      <c r="HC2" s="65"/>
      <c r="HD2" s="65"/>
      <c r="HE2" s="65"/>
      <c r="HF2" s="65"/>
      <c r="HG2" s="65"/>
      <c r="HH2" s="65"/>
      <c r="HI2" s="65"/>
      <c r="HJ2" s="65"/>
      <c r="HK2" s="65"/>
      <c r="HL2" s="65"/>
      <c r="HM2" s="65"/>
      <c r="HN2" s="65"/>
      <c r="HO2" s="65"/>
      <c r="HP2" s="65"/>
      <c r="HQ2" s="65"/>
      <c r="HR2" s="65"/>
      <c r="HS2" s="65"/>
      <c r="HT2" s="65"/>
      <c r="HU2" s="65"/>
      <c r="HV2" s="65"/>
      <c r="HW2" s="65"/>
      <c r="HX2" s="65"/>
      <c r="HY2" s="65"/>
      <c r="HZ2" s="65"/>
      <c r="IA2" s="65"/>
      <c r="IB2" s="65"/>
      <c r="IC2" s="65"/>
      <c r="ID2" s="65"/>
      <c r="IE2" s="65"/>
      <c r="IF2" s="65"/>
      <c r="IG2" s="65"/>
      <c r="IH2" s="65"/>
      <c r="II2" s="65"/>
      <c r="IJ2" s="65"/>
      <c r="IK2" s="65"/>
      <c r="IL2" s="65"/>
      <c r="IM2" s="65"/>
      <c r="IN2" s="65"/>
      <c r="IO2" s="65"/>
      <c r="IP2" s="65"/>
      <c r="IQ2" s="65"/>
      <c r="IR2" s="65"/>
      <c r="IS2" s="65"/>
      <c r="IT2" s="65"/>
      <c r="IU2" s="65"/>
      <c r="IV2" s="65"/>
      <c r="IW2" s="65"/>
    </row>
    <row r="3" spans="1:257" s="111" customFormat="1" ht="18" customHeight="1" thickBot="1">
      <c r="A3" s="66"/>
      <c r="B3" s="67" t="s">
        <v>1070</v>
      </c>
      <c r="C3" s="67"/>
      <c r="D3" s="138"/>
      <c r="E3" s="139"/>
      <c r="F3" s="138"/>
      <c r="G3" s="139"/>
      <c r="H3" s="139"/>
      <c r="I3" s="139"/>
      <c r="J3" s="139"/>
      <c r="K3" s="139"/>
      <c r="L3" s="139"/>
      <c r="M3" s="138"/>
      <c r="N3" s="138"/>
      <c r="O3" s="139"/>
      <c r="P3" s="139"/>
      <c r="Q3" s="139"/>
      <c r="R3" s="139"/>
      <c r="S3" s="139"/>
      <c r="T3" s="139"/>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c r="CA3" s="66"/>
      <c r="CB3" s="66"/>
      <c r="CC3" s="66"/>
      <c r="CD3" s="66"/>
      <c r="CE3" s="66"/>
      <c r="CF3" s="66"/>
      <c r="CG3" s="66"/>
      <c r="CH3" s="66"/>
      <c r="CI3" s="66"/>
      <c r="CJ3" s="66"/>
      <c r="CK3" s="66"/>
      <c r="CL3" s="66"/>
      <c r="CM3" s="66"/>
      <c r="CN3" s="66"/>
      <c r="CO3" s="66"/>
      <c r="CP3" s="66"/>
      <c r="CQ3" s="66"/>
      <c r="CR3" s="66"/>
      <c r="CS3" s="66"/>
      <c r="CT3" s="66"/>
      <c r="CU3" s="66"/>
      <c r="CV3" s="66"/>
      <c r="CW3" s="66"/>
      <c r="CX3" s="66"/>
      <c r="CY3" s="66"/>
      <c r="CZ3" s="66"/>
      <c r="DA3" s="66"/>
      <c r="DB3" s="66"/>
      <c r="DC3" s="66"/>
      <c r="DD3" s="66"/>
      <c r="DE3" s="66"/>
      <c r="DF3" s="66"/>
      <c r="DG3" s="66"/>
      <c r="DH3" s="66"/>
      <c r="DI3" s="66"/>
      <c r="DJ3" s="66"/>
      <c r="DK3" s="66"/>
      <c r="DL3" s="66"/>
      <c r="DM3" s="66"/>
      <c r="DN3" s="66"/>
      <c r="DO3" s="66"/>
      <c r="DP3" s="66"/>
      <c r="DQ3" s="66"/>
      <c r="DR3" s="66"/>
      <c r="DS3" s="66"/>
      <c r="DT3" s="66"/>
      <c r="DU3" s="66"/>
      <c r="DV3" s="66"/>
      <c r="DW3" s="66"/>
      <c r="DX3" s="66"/>
      <c r="DY3" s="66"/>
      <c r="DZ3" s="66"/>
      <c r="EA3" s="66"/>
      <c r="EB3" s="66"/>
      <c r="EC3" s="66"/>
      <c r="ED3" s="66"/>
      <c r="EE3" s="66"/>
      <c r="EF3" s="66"/>
      <c r="EG3" s="66"/>
      <c r="EH3" s="66"/>
      <c r="EI3" s="66"/>
      <c r="EJ3" s="66"/>
      <c r="EK3" s="66"/>
      <c r="EL3" s="66"/>
      <c r="EM3" s="66"/>
      <c r="EN3" s="66"/>
      <c r="EO3" s="66"/>
      <c r="EP3" s="66"/>
      <c r="EQ3" s="66"/>
      <c r="ER3" s="66"/>
      <c r="ES3" s="66"/>
      <c r="ET3" s="66"/>
      <c r="EU3" s="66"/>
      <c r="EV3" s="66"/>
      <c r="EW3" s="66"/>
      <c r="EX3" s="66"/>
      <c r="EY3" s="66"/>
      <c r="EZ3" s="66"/>
      <c r="FA3" s="66"/>
      <c r="FB3" s="66"/>
      <c r="FC3" s="66"/>
      <c r="FD3" s="66"/>
      <c r="FE3" s="66"/>
      <c r="FF3" s="66"/>
      <c r="FG3" s="66"/>
      <c r="FH3" s="66"/>
      <c r="FI3" s="66"/>
      <c r="FJ3" s="66"/>
      <c r="FK3" s="66"/>
      <c r="FL3" s="66"/>
      <c r="FM3" s="66"/>
      <c r="FN3" s="66"/>
      <c r="FO3" s="66"/>
      <c r="FP3" s="66"/>
      <c r="FQ3" s="66"/>
      <c r="FR3" s="66"/>
      <c r="FS3" s="66"/>
      <c r="FT3" s="66"/>
      <c r="FU3" s="66"/>
      <c r="FV3" s="66"/>
      <c r="FW3" s="66"/>
      <c r="FX3" s="66"/>
      <c r="FY3" s="66"/>
      <c r="FZ3" s="66"/>
      <c r="GA3" s="66"/>
      <c r="GB3" s="66"/>
      <c r="GC3" s="66"/>
      <c r="GD3" s="66"/>
      <c r="GE3" s="66"/>
      <c r="GF3" s="66"/>
      <c r="GG3" s="66"/>
      <c r="GH3" s="66"/>
      <c r="GI3" s="66"/>
      <c r="GJ3" s="66"/>
      <c r="GK3" s="66"/>
      <c r="GL3" s="66"/>
      <c r="GM3" s="66"/>
      <c r="GN3" s="66"/>
      <c r="GO3" s="66"/>
      <c r="GP3" s="66"/>
      <c r="GQ3" s="66"/>
      <c r="GR3" s="66"/>
      <c r="GS3" s="66"/>
      <c r="GT3" s="66"/>
      <c r="GU3" s="66"/>
      <c r="GV3" s="66"/>
      <c r="GW3" s="66"/>
      <c r="GX3" s="66"/>
      <c r="GY3" s="66"/>
      <c r="GZ3" s="66"/>
      <c r="HA3" s="66"/>
      <c r="HB3" s="66"/>
      <c r="HC3" s="66"/>
      <c r="HD3" s="66"/>
      <c r="HE3" s="66"/>
      <c r="HF3" s="66"/>
      <c r="HG3" s="66"/>
      <c r="HH3" s="66"/>
      <c r="HI3" s="66"/>
      <c r="HJ3" s="66"/>
      <c r="HK3" s="66"/>
      <c r="HL3" s="66"/>
      <c r="HM3" s="66"/>
      <c r="HN3" s="66"/>
      <c r="HO3" s="66"/>
      <c r="HP3" s="66"/>
      <c r="HQ3" s="66"/>
      <c r="HR3" s="66"/>
      <c r="HS3" s="66"/>
      <c r="HT3" s="66"/>
      <c r="HU3" s="66"/>
      <c r="HV3" s="66"/>
      <c r="HW3" s="66"/>
      <c r="HX3" s="66"/>
      <c r="HY3" s="66"/>
      <c r="HZ3" s="66"/>
      <c r="IA3" s="66"/>
      <c r="IB3" s="66"/>
      <c r="IC3" s="66"/>
      <c r="ID3" s="66"/>
      <c r="IE3" s="66"/>
      <c r="IF3" s="66"/>
      <c r="IG3" s="66"/>
      <c r="IH3" s="66"/>
      <c r="II3" s="66"/>
      <c r="IJ3" s="66"/>
      <c r="IK3" s="66"/>
      <c r="IL3" s="66"/>
      <c r="IM3" s="66"/>
      <c r="IN3" s="66"/>
      <c r="IO3" s="66"/>
      <c r="IP3" s="66"/>
      <c r="IQ3" s="66"/>
      <c r="IR3" s="66"/>
      <c r="IS3" s="66"/>
      <c r="IT3" s="66"/>
      <c r="IU3" s="66"/>
      <c r="IV3" s="66"/>
      <c r="IW3" s="66"/>
    </row>
    <row r="4" spans="1:257" s="111" customFormat="1" ht="18" customHeight="1">
      <c r="A4" s="66"/>
      <c r="B4" s="1288" t="s">
        <v>1071</v>
      </c>
      <c r="C4" s="1274"/>
      <c r="D4" s="1198" t="s">
        <v>1072</v>
      </c>
      <c r="E4" s="1199"/>
      <c r="F4" s="1199"/>
      <c r="G4" s="1199"/>
      <c r="H4" s="1199"/>
      <c r="I4" s="1199"/>
      <c r="J4" s="1198" t="s">
        <v>1073</v>
      </c>
      <c r="K4" s="1199"/>
      <c r="L4" s="1199"/>
      <c r="M4" s="1199"/>
      <c r="N4" s="1199"/>
      <c r="O4" s="1199"/>
      <c r="P4" s="1504"/>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c r="CA4" s="66"/>
      <c r="CB4" s="66"/>
      <c r="CC4" s="66"/>
      <c r="CD4" s="66"/>
      <c r="CE4" s="66"/>
      <c r="CF4" s="66"/>
      <c r="CG4" s="66"/>
      <c r="CH4" s="66"/>
      <c r="CI4" s="66"/>
      <c r="CJ4" s="66"/>
      <c r="CK4" s="66"/>
      <c r="CL4" s="66"/>
      <c r="CM4" s="66"/>
      <c r="CN4" s="66"/>
      <c r="CO4" s="66"/>
      <c r="CP4" s="66"/>
      <c r="CQ4" s="66"/>
      <c r="CR4" s="66"/>
      <c r="CS4" s="66"/>
      <c r="CT4" s="66"/>
      <c r="CU4" s="66"/>
      <c r="CV4" s="66"/>
      <c r="CW4" s="66"/>
      <c r="CX4" s="66"/>
      <c r="CY4" s="66"/>
      <c r="CZ4" s="66"/>
      <c r="DA4" s="66"/>
      <c r="DB4" s="66"/>
      <c r="DC4" s="66"/>
      <c r="DD4" s="66"/>
      <c r="DE4" s="66"/>
      <c r="DF4" s="66"/>
      <c r="DG4" s="66"/>
      <c r="DH4" s="66"/>
      <c r="DI4" s="66"/>
      <c r="DJ4" s="66"/>
      <c r="DK4" s="66"/>
      <c r="DL4" s="66"/>
      <c r="DM4" s="66"/>
      <c r="DN4" s="66"/>
      <c r="DO4" s="66"/>
      <c r="DP4" s="66"/>
      <c r="DQ4" s="66"/>
      <c r="DR4" s="66"/>
      <c r="DS4" s="66"/>
      <c r="DT4" s="66"/>
      <c r="DU4" s="66"/>
      <c r="DV4" s="66"/>
      <c r="DW4" s="66"/>
      <c r="DX4" s="66"/>
      <c r="DY4" s="66"/>
      <c r="DZ4" s="66"/>
      <c r="EA4" s="66"/>
      <c r="EB4" s="66"/>
      <c r="EC4" s="66"/>
      <c r="ED4" s="66"/>
      <c r="EE4" s="66"/>
      <c r="EF4" s="66"/>
      <c r="EG4" s="66"/>
      <c r="EH4" s="66"/>
      <c r="EI4" s="66"/>
      <c r="EJ4" s="66"/>
      <c r="EK4" s="66"/>
      <c r="EL4" s="66"/>
      <c r="EM4" s="66"/>
      <c r="EN4" s="66"/>
      <c r="EO4" s="66"/>
      <c r="EP4" s="66"/>
      <c r="EQ4" s="66"/>
      <c r="ER4" s="66"/>
      <c r="ES4" s="66"/>
      <c r="ET4" s="66"/>
      <c r="EU4" s="66"/>
      <c r="EV4" s="66"/>
      <c r="EW4" s="66"/>
      <c r="EX4" s="66"/>
      <c r="EY4" s="66"/>
      <c r="EZ4" s="66"/>
      <c r="FA4" s="66"/>
      <c r="FB4" s="66"/>
      <c r="FC4" s="66"/>
      <c r="FD4" s="66"/>
      <c r="FE4" s="66"/>
      <c r="FF4" s="66"/>
      <c r="FG4" s="66"/>
      <c r="FH4" s="66"/>
      <c r="FI4" s="66"/>
      <c r="FJ4" s="66"/>
      <c r="FK4" s="66"/>
      <c r="FL4" s="66"/>
      <c r="FM4" s="66"/>
      <c r="FN4" s="66"/>
      <c r="FO4" s="66"/>
      <c r="FP4" s="66"/>
      <c r="FQ4" s="66"/>
      <c r="FR4" s="66"/>
      <c r="FS4" s="66"/>
      <c r="FT4" s="66"/>
      <c r="FU4" s="66"/>
      <c r="FV4" s="66"/>
      <c r="FW4" s="66"/>
      <c r="FX4" s="66"/>
      <c r="FY4" s="66"/>
      <c r="FZ4" s="66"/>
      <c r="GA4" s="66"/>
      <c r="GB4" s="66"/>
      <c r="GC4" s="66"/>
      <c r="GD4" s="66"/>
      <c r="GE4" s="66"/>
      <c r="GF4" s="66"/>
      <c r="GG4" s="66"/>
      <c r="GH4" s="66"/>
      <c r="GI4" s="66"/>
      <c r="GJ4" s="66"/>
      <c r="GK4" s="66"/>
      <c r="GL4" s="66"/>
      <c r="GM4" s="66"/>
      <c r="GN4" s="66"/>
      <c r="GO4" s="66"/>
      <c r="GP4" s="66"/>
      <c r="GQ4" s="66"/>
      <c r="GR4" s="66"/>
      <c r="GS4" s="66"/>
      <c r="GT4" s="66"/>
      <c r="GU4" s="66"/>
      <c r="GV4" s="66"/>
      <c r="GW4" s="66"/>
      <c r="GX4" s="66"/>
      <c r="GY4" s="66"/>
      <c r="GZ4" s="66"/>
      <c r="HA4" s="66"/>
      <c r="HB4" s="66"/>
      <c r="HC4" s="66"/>
      <c r="HD4" s="66"/>
      <c r="HE4" s="66"/>
      <c r="HF4" s="66"/>
      <c r="HG4" s="66"/>
      <c r="HH4" s="66"/>
      <c r="HI4" s="66"/>
      <c r="HJ4" s="66"/>
      <c r="HK4" s="66"/>
      <c r="HL4" s="66"/>
      <c r="HM4" s="66"/>
      <c r="HN4" s="66"/>
      <c r="HO4" s="66"/>
      <c r="HP4" s="66"/>
      <c r="HQ4" s="66"/>
      <c r="HR4" s="66"/>
      <c r="HS4" s="66"/>
      <c r="HT4" s="66"/>
      <c r="HU4" s="66"/>
      <c r="HV4" s="66"/>
      <c r="HW4" s="66"/>
      <c r="HX4" s="66"/>
      <c r="HY4" s="66"/>
      <c r="HZ4" s="66"/>
      <c r="IA4" s="66"/>
      <c r="IB4" s="66"/>
      <c r="IC4" s="66"/>
      <c r="ID4" s="66"/>
      <c r="IE4" s="66"/>
      <c r="IF4" s="66"/>
      <c r="IG4" s="66"/>
      <c r="IH4" s="66"/>
      <c r="II4" s="66"/>
      <c r="IJ4" s="66"/>
      <c r="IK4" s="66"/>
      <c r="IL4" s="66"/>
      <c r="IM4" s="66"/>
      <c r="IN4" s="66"/>
      <c r="IO4" s="66"/>
      <c r="IP4" s="66"/>
      <c r="IQ4" s="66"/>
      <c r="IR4" s="66"/>
      <c r="IS4" s="66"/>
      <c r="IT4" s="66"/>
      <c r="IU4" s="66"/>
      <c r="IV4" s="66"/>
      <c r="IW4" s="66"/>
    </row>
    <row r="5" spans="1:257" s="111" customFormat="1" ht="24.95" customHeight="1">
      <c r="A5" s="66"/>
      <c r="B5" s="1512" t="s">
        <v>1074</v>
      </c>
      <c r="C5" s="1497"/>
      <c r="D5" s="1281" t="s">
        <v>1075</v>
      </c>
      <c r="E5" s="1282"/>
      <c r="F5" s="1282"/>
      <c r="G5" s="1282"/>
      <c r="H5" s="1282"/>
      <c r="I5" s="1282"/>
      <c r="J5" s="1477" t="s">
        <v>1076</v>
      </c>
      <c r="K5" s="1478"/>
      <c r="L5" s="1478"/>
      <c r="M5" s="1478"/>
      <c r="N5" s="1478"/>
      <c r="O5" s="1478"/>
      <c r="P5" s="1479"/>
      <c r="T5" s="66"/>
      <c r="U5" s="66"/>
      <c r="V5" s="66"/>
      <c r="W5" s="66"/>
      <c r="X5" s="66"/>
      <c r="Y5" s="66"/>
      <c r="Z5" s="66"/>
      <c r="AA5" s="66"/>
      <c r="AB5" s="66"/>
      <c r="AC5" s="66"/>
      <c r="AD5" s="66"/>
      <c r="AE5" s="66"/>
      <c r="AF5" s="66"/>
      <c r="AG5" s="66"/>
      <c r="AH5" s="66"/>
      <c r="AI5" s="66"/>
      <c r="AJ5" s="66"/>
      <c r="AK5" s="66"/>
      <c r="AL5" s="66"/>
      <c r="AM5" s="66"/>
      <c r="AN5" s="66"/>
      <c r="AO5" s="66"/>
      <c r="AP5" s="66"/>
      <c r="AQ5" s="66"/>
      <c r="AR5" s="66"/>
      <c r="AS5" s="66"/>
      <c r="AT5" s="66"/>
      <c r="AU5" s="66"/>
      <c r="AV5" s="66"/>
      <c r="AW5" s="66"/>
      <c r="AX5" s="66"/>
      <c r="AY5" s="66"/>
      <c r="AZ5" s="66"/>
      <c r="BA5" s="66"/>
      <c r="BB5" s="66"/>
      <c r="BC5" s="66"/>
      <c r="BD5" s="66"/>
      <c r="BE5" s="66"/>
      <c r="BF5" s="66"/>
      <c r="BG5" s="66"/>
      <c r="BH5" s="66"/>
      <c r="BI5" s="66"/>
      <c r="BJ5" s="66"/>
      <c r="BK5" s="66"/>
      <c r="BL5" s="66"/>
      <c r="BM5" s="66"/>
      <c r="BN5" s="66"/>
      <c r="BO5" s="66"/>
      <c r="BP5" s="66"/>
      <c r="BQ5" s="66"/>
      <c r="BR5" s="66"/>
      <c r="BS5" s="66"/>
      <c r="BT5" s="66"/>
      <c r="BU5" s="66"/>
      <c r="BV5" s="66"/>
      <c r="BW5" s="66"/>
      <c r="BX5" s="66"/>
      <c r="BY5" s="66"/>
      <c r="BZ5" s="66"/>
      <c r="CA5" s="66"/>
      <c r="CB5" s="66"/>
      <c r="CC5" s="66"/>
      <c r="CD5" s="66"/>
      <c r="CE5" s="66"/>
      <c r="CF5" s="66"/>
      <c r="CG5" s="66"/>
      <c r="CH5" s="66"/>
      <c r="CI5" s="66"/>
      <c r="CJ5" s="66"/>
      <c r="CK5" s="66"/>
      <c r="CL5" s="66"/>
      <c r="CM5" s="66"/>
      <c r="CN5" s="66"/>
      <c r="CO5" s="66"/>
      <c r="CP5" s="66"/>
      <c r="CQ5" s="66"/>
      <c r="CR5" s="66"/>
      <c r="CS5" s="66"/>
      <c r="CT5" s="66"/>
      <c r="CU5" s="66"/>
      <c r="CV5" s="66"/>
      <c r="CW5" s="66"/>
      <c r="CX5" s="66"/>
      <c r="CY5" s="66"/>
      <c r="CZ5" s="66"/>
      <c r="DA5" s="66"/>
      <c r="DB5" s="66"/>
      <c r="DC5" s="66"/>
      <c r="DD5" s="66"/>
      <c r="DE5" s="66"/>
      <c r="DF5" s="66"/>
      <c r="DG5" s="66"/>
      <c r="DH5" s="66"/>
      <c r="DI5" s="66"/>
      <c r="DJ5" s="66"/>
      <c r="DK5" s="66"/>
      <c r="DL5" s="66"/>
      <c r="DM5" s="66"/>
      <c r="DN5" s="66"/>
      <c r="DO5" s="66"/>
      <c r="DP5" s="66"/>
      <c r="DQ5" s="66"/>
      <c r="DR5" s="66"/>
      <c r="DS5" s="66"/>
      <c r="DT5" s="66"/>
      <c r="DU5" s="66"/>
      <c r="DV5" s="66"/>
      <c r="DW5" s="66"/>
      <c r="DX5" s="66"/>
      <c r="DY5" s="66"/>
      <c r="DZ5" s="66"/>
      <c r="EA5" s="66"/>
      <c r="EB5" s="66"/>
      <c r="EC5" s="66"/>
      <c r="ED5" s="66"/>
      <c r="EE5" s="66"/>
      <c r="EF5" s="66"/>
      <c r="EG5" s="66"/>
      <c r="EH5" s="66"/>
      <c r="EI5" s="66"/>
      <c r="EJ5" s="66"/>
      <c r="EK5" s="66"/>
      <c r="EL5" s="66"/>
      <c r="EM5" s="66"/>
      <c r="EN5" s="66"/>
      <c r="EO5" s="66"/>
      <c r="EP5" s="66"/>
      <c r="EQ5" s="66"/>
      <c r="ER5" s="66"/>
      <c r="ES5" s="66"/>
      <c r="ET5" s="66"/>
      <c r="EU5" s="66"/>
      <c r="EV5" s="66"/>
      <c r="EW5" s="66"/>
      <c r="EX5" s="66"/>
      <c r="EY5" s="66"/>
      <c r="EZ5" s="66"/>
      <c r="FA5" s="66"/>
      <c r="FB5" s="66"/>
      <c r="FC5" s="66"/>
      <c r="FD5" s="66"/>
      <c r="FE5" s="66"/>
      <c r="FF5" s="66"/>
      <c r="FG5" s="66"/>
      <c r="FH5" s="66"/>
      <c r="FI5" s="66"/>
      <c r="FJ5" s="66"/>
      <c r="FK5" s="66"/>
      <c r="FL5" s="66"/>
      <c r="FM5" s="66"/>
      <c r="FN5" s="66"/>
      <c r="FO5" s="66"/>
      <c r="FP5" s="66"/>
      <c r="FQ5" s="66"/>
      <c r="FR5" s="66"/>
      <c r="FS5" s="66"/>
      <c r="FT5" s="66"/>
      <c r="FU5" s="66"/>
      <c r="FV5" s="66"/>
      <c r="FW5" s="66"/>
      <c r="FX5" s="66"/>
      <c r="FY5" s="66"/>
      <c r="FZ5" s="66"/>
      <c r="GA5" s="66"/>
      <c r="GB5" s="66"/>
      <c r="GC5" s="66"/>
      <c r="GD5" s="66"/>
      <c r="GE5" s="66"/>
      <c r="GF5" s="66"/>
      <c r="GG5" s="66"/>
      <c r="GH5" s="66"/>
      <c r="GI5" s="66"/>
      <c r="GJ5" s="66"/>
      <c r="GK5" s="66"/>
      <c r="GL5" s="66"/>
      <c r="GM5" s="66"/>
      <c r="GN5" s="66"/>
      <c r="GO5" s="66"/>
      <c r="GP5" s="66"/>
      <c r="GQ5" s="66"/>
      <c r="GR5" s="66"/>
      <c r="GS5" s="66"/>
      <c r="GT5" s="66"/>
      <c r="GU5" s="66"/>
      <c r="GV5" s="66"/>
      <c r="GW5" s="66"/>
      <c r="GX5" s="66"/>
      <c r="GY5" s="66"/>
      <c r="GZ5" s="66"/>
      <c r="HA5" s="66"/>
      <c r="HB5" s="66"/>
      <c r="HC5" s="66"/>
      <c r="HD5" s="66"/>
      <c r="HE5" s="66"/>
      <c r="HF5" s="66"/>
      <c r="HG5" s="66"/>
      <c r="HH5" s="66"/>
      <c r="HI5" s="66"/>
      <c r="HJ5" s="66"/>
      <c r="HK5" s="66"/>
      <c r="HL5" s="66"/>
      <c r="HM5" s="66"/>
      <c r="HN5" s="66"/>
      <c r="HO5" s="66"/>
      <c r="HP5" s="66"/>
      <c r="HQ5" s="66"/>
      <c r="HR5" s="66"/>
      <c r="HS5" s="66"/>
      <c r="HT5" s="66"/>
      <c r="HU5" s="66"/>
      <c r="HV5" s="66"/>
      <c r="HW5" s="66"/>
      <c r="HX5" s="66"/>
      <c r="HY5" s="66"/>
      <c r="HZ5" s="66"/>
      <c r="IA5" s="66"/>
      <c r="IB5" s="66"/>
      <c r="IC5" s="66"/>
      <c r="ID5" s="66"/>
      <c r="IE5" s="66"/>
      <c r="IF5" s="66"/>
      <c r="IG5" s="66"/>
      <c r="IH5" s="66"/>
      <c r="II5" s="66"/>
      <c r="IJ5" s="66"/>
      <c r="IK5" s="66"/>
      <c r="IL5" s="66"/>
      <c r="IM5" s="66"/>
      <c r="IN5" s="66"/>
      <c r="IO5" s="66"/>
      <c r="IP5" s="66"/>
      <c r="IQ5" s="66"/>
      <c r="IR5" s="66"/>
      <c r="IS5" s="66"/>
      <c r="IT5" s="66"/>
      <c r="IU5" s="66"/>
      <c r="IV5" s="66"/>
      <c r="IW5" s="66"/>
    </row>
    <row r="6" spans="1:257" s="111" customFormat="1" ht="18" customHeight="1" thickBot="1">
      <c r="A6" s="66"/>
      <c r="B6" s="1510" t="s">
        <v>1077</v>
      </c>
      <c r="C6" s="1511"/>
      <c r="D6" s="1429" t="s">
        <v>1078</v>
      </c>
      <c r="E6" s="1430"/>
      <c r="F6" s="1430"/>
      <c r="G6" s="1430"/>
      <c r="H6" s="1430"/>
      <c r="I6" s="1430"/>
      <c r="J6" s="1505"/>
      <c r="K6" s="1506"/>
      <c r="L6" s="1506"/>
      <c r="M6" s="1506"/>
      <c r="N6" s="1506"/>
      <c r="O6" s="1506"/>
      <c r="P6" s="1507"/>
      <c r="T6" s="66"/>
      <c r="U6" s="66"/>
      <c r="V6" s="66"/>
      <c r="W6" s="66"/>
      <c r="X6" s="66"/>
      <c r="Y6" s="66"/>
      <c r="Z6" s="66"/>
      <c r="AA6" s="66"/>
      <c r="AB6" s="66"/>
      <c r="AC6" s="66"/>
      <c r="AD6" s="66"/>
      <c r="AE6" s="66"/>
      <c r="AF6" s="66"/>
      <c r="AG6" s="66"/>
      <c r="AH6" s="66"/>
      <c r="AI6" s="66"/>
      <c r="AJ6" s="66"/>
      <c r="AK6" s="66"/>
      <c r="AL6" s="66"/>
      <c r="AM6" s="66"/>
      <c r="AN6" s="66"/>
      <c r="AO6" s="66"/>
      <c r="AP6" s="66"/>
      <c r="AQ6" s="66"/>
      <c r="AR6" s="66"/>
      <c r="AS6" s="66"/>
      <c r="AT6" s="66"/>
      <c r="AU6" s="66"/>
      <c r="AV6" s="66"/>
      <c r="AW6" s="66"/>
      <c r="AX6" s="66"/>
      <c r="AY6" s="66"/>
      <c r="AZ6" s="66"/>
      <c r="BA6" s="66"/>
      <c r="BB6" s="66"/>
      <c r="BC6" s="66"/>
      <c r="BD6" s="66"/>
      <c r="BE6" s="66"/>
      <c r="BF6" s="66"/>
      <c r="BG6" s="66"/>
      <c r="BH6" s="66"/>
      <c r="BI6" s="66"/>
      <c r="BJ6" s="66"/>
      <c r="BK6" s="66"/>
      <c r="BL6" s="66"/>
      <c r="BM6" s="66"/>
      <c r="BN6" s="66"/>
      <c r="BO6" s="66"/>
      <c r="BP6" s="66"/>
      <c r="BQ6" s="66"/>
      <c r="BR6" s="66"/>
      <c r="BS6" s="66"/>
      <c r="BT6" s="66"/>
      <c r="BU6" s="66"/>
      <c r="BV6" s="66"/>
      <c r="BW6" s="66"/>
      <c r="BX6" s="66"/>
      <c r="BY6" s="66"/>
      <c r="BZ6" s="66"/>
      <c r="CA6" s="66"/>
      <c r="CB6" s="66"/>
      <c r="CC6" s="66"/>
      <c r="CD6" s="66"/>
      <c r="CE6" s="66"/>
      <c r="CF6" s="66"/>
      <c r="CG6" s="66"/>
      <c r="CH6" s="66"/>
      <c r="CI6" s="66"/>
      <c r="CJ6" s="66"/>
      <c r="CK6" s="66"/>
      <c r="CL6" s="66"/>
      <c r="CM6" s="66"/>
      <c r="CN6" s="66"/>
      <c r="CO6" s="66"/>
      <c r="CP6" s="66"/>
      <c r="CQ6" s="66"/>
      <c r="CR6" s="66"/>
      <c r="CS6" s="66"/>
      <c r="CT6" s="66"/>
      <c r="CU6" s="66"/>
      <c r="CV6" s="66"/>
      <c r="CW6" s="66"/>
      <c r="CX6" s="66"/>
      <c r="CY6" s="66"/>
      <c r="CZ6" s="66"/>
      <c r="DA6" s="66"/>
      <c r="DB6" s="66"/>
      <c r="DC6" s="66"/>
      <c r="DD6" s="66"/>
      <c r="DE6" s="66"/>
      <c r="DF6" s="66"/>
      <c r="DG6" s="66"/>
      <c r="DH6" s="66"/>
      <c r="DI6" s="66"/>
      <c r="DJ6" s="66"/>
      <c r="DK6" s="66"/>
      <c r="DL6" s="66"/>
      <c r="DM6" s="66"/>
      <c r="DN6" s="66"/>
      <c r="DO6" s="66"/>
      <c r="DP6" s="66"/>
      <c r="DQ6" s="66"/>
      <c r="DR6" s="66"/>
      <c r="DS6" s="66"/>
      <c r="DT6" s="66"/>
      <c r="DU6" s="66"/>
      <c r="DV6" s="66"/>
      <c r="DW6" s="66"/>
      <c r="DX6" s="66"/>
      <c r="DY6" s="66"/>
      <c r="DZ6" s="66"/>
      <c r="EA6" s="66"/>
      <c r="EB6" s="66"/>
      <c r="EC6" s="66"/>
      <c r="ED6" s="66"/>
      <c r="EE6" s="66"/>
      <c r="EF6" s="66"/>
      <c r="EG6" s="66"/>
      <c r="EH6" s="66"/>
      <c r="EI6" s="66"/>
      <c r="EJ6" s="66"/>
      <c r="EK6" s="66"/>
      <c r="EL6" s="66"/>
      <c r="EM6" s="66"/>
      <c r="EN6" s="66"/>
      <c r="EO6" s="66"/>
      <c r="EP6" s="66"/>
      <c r="EQ6" s="66"/>
      <c r="ER6" s="66"/>
      <c r="ES6" s="66"/>
      <c r="ET6" s="66"/>
      <c r="EU6" s="66"/>
      <c r="EV6" s="66"/>
      <c r="EW6" s="66"/>
      <c r="EX6" s="66"/>
      <c r="EY6" s="66"/>
      <c r="EZ6" s="66"/>
      <c r="FA6" s="66"/>
      <c r="FB6" s="66"/>
      <c r="FC6" s="66"/>
      <c r="FD6" s="66"/>
      <c r="FE6" s="66"/>
      <c r="FF6" s="66"/>
      <c r="FG6" s="66"/>
      <c r="FH6" s="66"/>
      <c r="FI6" s="66"/>
      <c r="FJ6" s="66"/>
      <c r="FK6" s="66"/>
      <c r="FL6" s="66"/>
      <c r="FM6" s="66"/>
      <c r="FN6" s="66"/>
      <c r="FO6" s="66"/>
      <c r="FP6" s="66"/>
      <c r="FQ6" s="66"/>
      <c r="FR6" s="66"/>
      <c r="FS6" s="66"/>
      <c r="FT6" s="66"/>
      <c r="FU6" s="66"/>
      <c r="FV6" s="66"/>
      <c r="FW6" s="66"/>
      <c r="FX6" s="66"/>
      <c r="FY6" s="66"/>
      <c r="FZ6" s="66"/>
      <c r="GA6" s="66"/>
      <c r="GB6" s="66"/>
      <c r="GC6" s="66"/>
      <c r="GD6" s="66"/>
      <c r="GE6" s="66"/>
      <c r="GF6" s="66"/>
      <c r="GG6" s="66"/>
      <c r="GH6" s="66"/>
      <c r="GI6" s="66"/>
      <c r="GJ6" s="66"/>
      <c r="GK6" s="66"/>
      <c r="GL6" s="66"/>
      <c r="GM6" s="66"/>
      <c r="GN6" s="66"/>
      <c r="GO6" s="66"/>
      <c r="GP6" s="66"/>
      <c r="GQ6" s="66"/>
      <c r="GR6" s="66"/>
      <c r="GS6" s="66"/>
      <c r="GT6" s="66"/>
      <c r="GU6" s="66"/>
      <c r="GV6" s="66"/>
      <c r="GW6" s="66"/>
      <c r="GX6" s="66"/>
      <c r="GY6" s="66"/>
      <c r="GZ6" s="66"/>
      <c r="HA6" s="66"/>
      <c r="HB6" s="66"/>
      <c r="HC6" s="66"/>
      <c r="HD6" s="66"/>
      <c r="HE6" s="66"/>
      <c r="HF6" s="66"/>
      <c r="HG6" s="66"/>
      <c r="HH6" s="66"/>
      <c r="HI6" s="66"/>
      <c r="HJ6" s="66"/>
      <c r="HK6" s="66"/>
      <c r="HL6" s="66"/>
      <c r="HM6" s="66"/>
      <c r="HN6" s="66"/>
      <c r="HO6" s="66"/>
      <c r="HP6" s="66"/>
      <c r="HQ6" s="66"/>
      <c r="HR6" s="66"/>
      <c r="HS6" s="66"/>
      <c r="HT6" s="66"/>
      <c r="HU6" s="66"/>
      <c r="HV6" s="66"/>
      <c r="HW6" s="66"/>
      <c r="HX6" s="66"/>
      <c r="HY6" s="66"/>
      <c r="HZ6" s="66"/>
      <c r="IA6" s="66"/>
      <c r="IB6" s="66"/>
      <c r="IC6" s="66"/>
      <c r="ID6" s="66"/>
      <c r="IE6" s="66"/>
      <c r="IF6" s="66"/>
      <c r="IG6" s="66"/>
      <c r="IH6" s="66"/>
      <c r="II6" s="66"/>
      <c r="IJ6" s="66"/>
      <c r="IK6" s="66"/>
      <c r="IL6" s="66"/>
      <c r="IM6" s="66"/>
      <c r="IN6" s="66"/>
      <c r="IO6" s="66"/>
      <c r="IP6" s="66"/>
      <c r="IQ6" s="66"/>
      <c r="IR6" s="66"/>
      <c r="IS6" s="66"/>
      <c r="IT6" s="66"/>
      <c r="IU6" s="66"/>
      <c r="IV6" s="66"/>
      <c r="IW6" s="66"/>
    </row>
    <row r="7" spans="1:257" s="111" customFormat="1" ht="18" customHeight="1">
      <c r="A7" s="66"/>
      <c r="B7" s="66"/>
      <c r="C7" s="66"/>
      <c r="D7" s="65"/>
      <c r="E7" s="66"/>
      <c r="F7" s="65"/>
      <c r="G7" s="66"/>
      <c r="H7" s="66"/>
      <c r="I7" s="66"/>
      <c r="J7" s="66"/>
      <c r="K7" s="66"/>
      <c r="L7" s="66"/>
      <c r="M7" s="65"/>
      <c r="N7" s="65"/>
      <c r="O7" s="66"/>
      <c r="P7" s="66"/>
      <c r="Q7" s="66"/>
      <c r="R7" s="66"/>
      <c r="S7" s="66"/>
      <c r="T7" s="66"/>
      <c r="U7" s="66"/>
      <c r="V7" s="66"/>
      <c r="W7" s="66"/>
      <c r="X7" s="66"/>
      <c r="Y7" s="66"/>
      <c r="Z7" s="66"/>
      <c r="AA7" s="66"/>
      <c r="AB7" s="66"/>
      <c r="AC7" s="66"/>
      <c r="AD7" s="66"/>
      <c r="AE7" s="66"/>
      <c r="AF7" s="66"/>
      <c r="AG7" s="66"/>
      <c r="AH7" s="66"/>
      <c r="AI7" s="66"/>
      <c r="AJ7" s="66"/>
      <c r="AK7" s="66"/>
      <c r="AL7" s="66"/>
      <c r="AM7" s="66"/>
      <c r="AN7" s="66"/>
      <c r="AO7" s="66"/>
      <c r="AP7" s="66"/>
      <c r="AQ7" s="66"/>
      <c r="AR7" s="66"/>
      <c r="AS7" s="66"/>
      <c r="AT7" s="66"/>
      <c r="AU7" s="66"/>
      <c r="AV7" s="66"/>
      <c r="AW7" s="66"/>
      <c r="AX7" s="66"/>
      <c r="AY7" s="66"/>
      <c r="AZ7" s="66"/>
      <c r="BA7" s="66"/>
      <c r="BB7" s="66"/>
      <c r="BC7" s="66"/>
      <c r="BD7" s="66"/>
      <c r="BE7" s="66"/>
      <c r="BF7" s="66"/>
      <c r="BG7" s="66"/>
      <c r="BH7" s="66"/>
      <c r="BI7" s="66"/>
      <c r="BJ7" s="66"/>
      <c r="BK7" s="66"/>
      <c r="BL7" s="66"/>
      <c r="BM7" s="66"/>
      <c r="BN7" s="66"/>
      <c r="BO7" s="66"/>
      <c r="BP7" s="66"/>
      <c r="BQ7" s="66"/>
      <c r="BR7" s="66"/>
      <c r="BS7" s="66"/>
      <c r="BT7" s="66"/>
      <c r="BU7" s="66"/>
      <c r="BV7" s="66"/>
      <c r="BW7" s="66"/>
      <c r="BX7" s="66"/>
      <c r="BY7" s="66"/>
      <c r="BZ7" s="66"/>
      <c r="CA7" s="66"/>
      <c r="CB7" s="66"/>
      <c r="CC7" s="66"/>
      <c r="CD7" s="66"/>
      <c r="CE7" s="66"/>
      <c r="CF7" s="66"/>
      <c r="CG7" s="66"/>
      <c r="CH7" s="66"/>
      <c r="CI7" s="66"/>
      <c r="CJ7" s="66"/>
      <c r="CK7" s="66"/>
      <c r="CL7" s="66"/>
      <c r="CM7" s="66"/>
      <c r="CN7" s="66"/>
      <c r="CO7" s="66"/>
      <c r="CP7" s="66"/>
      <c r="CQ7" s="66"/>
      <c r="CR7" s="66"/>
      <c r="CS7" s="66"/>
      <c r="CT7" s="66"/>
      <c r="CU7" s="66"/>
      <c r="CV7" s="66"/>
      <c r="CW7" s="66"/>
      <c r="CX7" s="66"/>
      <c r="CY7" s="66"/>
      <c r="CZ7" s="66"/>
      <c r="DA7" s="66"/>
      <c r="DB7" s="66"/>
      <c r="DC7" s="66"/>
      <c r="DD7" s="66"/>
      <c r="DE7" s="66"/>
      <c r="DF7" s="66"/>
      <c r="DG7" s="66"/>
      <c r="DH7" s="66"/>
      <c r="DI7" s="66"/>
      <c r="DJ7" s="66"/>
      <c r="DK7" s="66"/>
      <c r="DL7" s="66"/>
      <c r="DM7" s="66"/>
      <c r="DN7" s="66"/>
      <c r="DO7" s="66"/>
      <c r="DP7" s="66"/>
      <c r="DQ7" s="66"/>
      <c r="DR7" s="66"/>
      <c r="DS7" s="66"/>
      <c r="DT7" s="66"/>
      <c r="DU7" s="66"/>
      <c r="DV7" s="66"/>
      <c r="DW7" s="66"/>
      <c r="DX7" s="66"/>
      <c r="DY7" s="66"/>
      <c r="DZ7" s="66"/>
      <c r="EA7" s="66"/>
      <c r="EB7" s="66"/>
      <c r="EC7" s="66"/>
      <c r="ED7" s="66"/>
      <c r="EE7" s="66"/>
      <c r="EF7" s="66"/>
      <c r="EG7" s="66"/>
      <c r="EH7" s="66"/>
      <c r="EI7" s="66"/>
      <c r="EJ7" s="66"/>
      <c r="EK7" s="66"/>
      <c r="EL7" s="66"/>
      <c r="EM7" s="66"/>
      <c r="EN7" s="66"/>
      <c r="EO7" s="66"/>
      <c r="EP7" s="66"/>
      <c r="EQ7" s="66"/>
      <c r="ER7" s="66"/>
      <c r="ES7" s="66"/>
      <c r="ET7" s="66"/>
      <c r="EU7" s="66"/>
      <c r="EV7" s="66"/>
      <c r="EW7" s="66"/>
      <c r="EX7" s="66"/>
      <c r="EY7" s="66"/>
      <c r="EZ7" s="66"/>
      <c r="FA7" s="66"/>
      <c r="FB7" s="66"/>
      <c r="FC7" s="66"/>
      <c r="FD7" s="66"/>
      <c r="FE7" s="66"/>
      <c r="FF7" s="66"/>
      <c r="FG7" s="66"/>
      <c r="FH7" s="66"/>
      <c r="FI7" s="66"/>
      <c r="FJ7" s="66"/>
      <c r="FK7" s="66"/>
      <c r="FL7" s="66"/>
      <c r="FM7" s="66"/>
      <c r="FN7" s="66"/>
      <c r="FO7" s="66"/>
      <c r="FP7" s="66"/>
      <c r="FQ7" s="66"/>
      <c r="FR7" s="66"/>
      <c r="FS7" s="66"/>
      <c r="FT7" s="66"/>
      <c r="FU7" s="66"/>
      <c r="FV7" s="66"/>
      <c r="FW7" s="66"/>
      <c r="FX7" s="66"/>
      <c r="FY7" s="66"/>
      <c r="FZ7" s="66"/>
      <c r="GA7" s="66"/>
      <c r="GB7" s="66"/>
      <c r="GC7" s="66"/>
      <c r="GD7" s="66"/>
      <c r="GE7" s="66"/>
      <c r="GF7" s="66"/>
      <c r="GG7" s="66"/>
      <c r="GH7" s="66"/>
      <c r="GI7" s="66"/>
      <c r="GJ7" s="66"/>
      <c r="GK7" s="66"/>
      <c r="GL7" s="66"/>
      <c r="GM7" s="66"/>
      <c r="GN7" s="66"/>
      <c r="GO7" s="66"/>
      <c r="GP7" s="66"/>
      <c r="GQ7" s="66"/>
      <c r="GR7" s="66"/>
      <c r="GS7" s="66"/>
      <c r="GT7" s="66"/>
      <c r="GU7" s="66"/>
      <c r="GV7" s="66"/>
      <c r="GW7" s="66"/>
      <c r="GX7" s="66"/>
      <c r="GY7" s="66"/>
      <c r="GZ7" s="66"/>
      <c r="HA7" s="66"/>
      <c r="HB7" s="66"/>
      <c r="HC7" s="66"/>
      <c r="HD7" s="66"/>
      <c r="HE7" s="66"/>
      <c r="HF7" s="66"/>
      <c r="HG7" s="66"/>
      <c r="HH7" s="66"/>
      <c r="HI7" s="66"/>
      <c r="HJ7" s="66"/>
      <c r="HK7" s="66"/>
      <c r="HL7" s="66"/>
      <c r="HM7" s="66"/>
      <c r="HN7" s="66"/>
      <c r="HO7" s="66"/>
      <c r="HP7" s="66"/>
      <c r="HQ7" s="66"/>
      <c r="HR7" s="66"/>
      <c r="HS7" s="66"/>
      <c r="HT7" s="66"/>
      <c r="HU7" s="66"/>
      <c r="HV7" s="66"/>
      <c r="HW7" s="66"/>
      <c r="HX7" s="66"/>
      <c r="HY7" s="66"/>
      <c r="HZ7" s="66"/>
      <c r="IA7" s="66"/>
      <c r="IB7" s="66"/>
      <c r="IC7" s="66"/>
      <c r="ID7" s="66"/>
      <c r="IE7" s="66"/>
      <c r="IF7" s="66"/>
      <c r="IG7" s="66"/>
      <c r="IH7" s="66"/>
      <c r="II7" s="66"/>
      <c r="IJ7" s="66"/>
      <c r="IK7" s="66"/>
      <c r="IL7" s="66"/>
      <c r="IM7" s="66"/>
      <c r="IN7" s="66"/>
      <c r="IO7" s="66"/>
      <c r="IP7" s="66"/>
      <c r="IQ7" s="66"/>
      <c r="IR7" s="66"/>
      <c r="IS7" s="66"/>
      <c r="IT7" s="66"/>
      <c r="IU7" s="66"/>
      <c r="IV7" s="66"/>
      <c r="IW7" s="66"/>
    </row>
    <row r="8" spans="1:257" s="111" customFormat="1" ht="18" customHeight="1" thickBot="1">
      <c r="A8" s="66"/>
      <c r="B8" s="67" t="s">
        <v>1079</v>
      </c>
      <c r="C8" s="502"/>
      <c r="D8" s="980"/>
      <c r="E8" s="980"/>
      <c r="F8" s="980"/>
      <c r="G8" s="980"/>
      <c r="H8" s="980"/>
      <c r="I8" s="980"/>
      <c r="J8" s="980"/>
      <c r="K8" s="980"/>
      <c r="M8" s="502"/>
      <c r="N8" s="502"/>
      <c r="O8" s="502"/>
      <c r="P8" s="502"/>
      <c r="Q8" s="502"/>
      <c r="R8" s="502"/>
      <c r="S8" s="502"/>
      <c r="T8" s="66"/>
      <c r="U8" s="66"/>
      <c r="V8" s="66"/>
      <c r="W8" s="66"/>
      <c r="X8" s="66"/>
      <c r="Y8" s="66"/>
      <c r="Z8" s="66"/>
      <c r="AA8" s="66"/>
      <c r="AB8" s="66"/>
      <c r="AC8" s="66"/>
      <c r="AD8" s="66"/>
      <c r="AE8" s="66"/>
      <c r="AF8" s="66"/>
      <c r="AG8" s="66"/>
      <c r="AH8" s="66"/>
      <c r="AI8" s="66"/>
      <c r="AJ8" s="66"/>
      <c r="AK8" s="66"/>
      <c r="AL8" s="66"/>
      <c r="AM8" s="66"/>
      <c r="AN8" s="66"/>
      <c r="AO8" s="66"/>
      <c r="AP8" s="66"/>
      <c r="AQ8" s="66"/>
      <c r="AR8" s="66"/>
      <c r="AS8" s="66"/>
      <c r="AT8" s="66"/>
      <c r="AU8" s="66"/>
      <c r="AV8" s="66"/>
      <c r="AW8" s="66"/>
      <c r="AX8" s="66"/>
      <c r="AY8" s="66"/>
      <c r="AZ8" s="66"/>
      <c r="BA8" s="66"/>
      <c r="BB8" s="66"/>
      <c r="BC8" s="66"/>
      <c r="BD8" s="66"/>
      <c r="BE8" s="66"/>
      <c r="BF8" s="66"/>
      <c r="BG8" s="66"/>
      <c r="BH8" s="66"/>
      <c r="BI8" s="66"/>
      <c r="BJ8" s="66"/>
      <c r="BK8" s="66"/>
      <c r="BL8" s="66"/>
      <c r="BM8" s="66"/>
      <c r="BN8" s="66"/>
      <c r="BO8" s="66"/>
      <c r="BP8" s="66"/>
      <c r="BQ8" s="66"/>
      <c r="BR8" s="66"/>
      <c r="BS8" s="66"/>
      <c r="BT8" s="66"/>
      <c r="BU8" s="66"/>
      <c r="BV8" s="66"/>
      <c r="BW8" s="66"/>
      <c r="BX8" s="66"/>
      <c r="BY8" s="66"/>
      <c r="BZ8" s="66"/>
      <c r="CA8" s="66"/>
      <c r="CB8" s="66"/>
      <c r="CC8" s="66"/>
      <c r="CD8" s="66"/>
      <c r="CE8" s="66"/>
      <c r="CF8" s="66"/>
      <c r="CG8" s="66"/>
      <c r="CH8" s="66"/>
      <c r="CI8" s="66"/>
      <c r="CJ8" s="66"/>
      <c r="CK8" s="66"/>
      <c r="CL8" s="66"/>
      <c r="CM8" s="66"/>
      <c r="CN8" s="66"/>
      <c r="CO8" s="66"/>
      <c r="CP8" s="66"/>
      <c r="CQ8" s="66"/>
      <c r="CR8" s="66"/>
      <c r="CS8" s="66"/>
      <c r="CT8" s="66"/>
      <c r="CU8" s="66"/>
      <c r="CV8" s="66"/>
      <c r="CW8" s="66"/>
      <c r="CX8" s="66"/>
      <c r="CY8" s="66"/>
      <c r="CZ8" s="66"/>
      <c r="DA8" s="66"/>
      <c r="DB8" s="66"/>
      <c r="DC8" s="66"/>
      <c r="DD8" s="66"/>
      <c r="DE8" s="66"/>
      <c r="DF8" s="66"/>
      <c r="DG8" s="66"/>
      <c r="DH8" s="66"/>
      <c r="DI8" s="66"/>
      <c r="DJ8" s="66"/>
      <c r="DK8" s="66"/>
      <c r="DL8" s="66"/>
      <c r="DM8" s="66"/>
      <c r="DN8" s="66"/>
      <c r="DO8" s="66"/>
      <c r="DP8" s="66"/>
      <c r="DQ8" s="66"/>
      <c r="DR8" s="66"/>
      <c r="DS8" s="66"/>
      <c r="DT8" s="66"/>
      <c r="DU8" s="66"/>
      <c r="DV8" s="66"/>
      <c r="DW8" s="66"/>
      <c r="DX8" s="66"/>
      <c r="DY8" s="66"/>
      <c r="DZ8" s="66"/>
      <c r="EA8" s="66"/>
      <c r="EB8" s="66"/>
      <c r="EC8" s="66"/>
      <c r="ED8" s="66"/>
      <c r="EE8" s="66"/>
      <c r="EF8" s="66"/>
      <c r="EG8" s="66"/>
      <c r="EH8" s="66"/>
      <c r="EI8" s="66"/>
      <c r="EJ8" s="66"/>
      <c r="EK8" s="66"/>
      <c r="EL8" s="66"/>
      <c r="EM8" s="66"/>
      <c r="EN8" s="66"/>
      <c r="EO8" s="66"/>
      <c r="EP8" s="66"/>
      <c r="EQ8" s="66"/>
      <c r="ER8" s="66"/>
      <c r="ES8" s="66"/>
      <c r="ET8" s="66"/>
      <c r="EU8" s="66"/>
      <c r="EV8" s="66"/>
      <c r="EW8" s="66"/>
      <c r="EX8" s="66"/>
      <c r="EY8" s="66"/>
      <c r="EZ8" s="66"/>
      <c r="FA8" s="66"/>
      <c r="FB8" s="66"/>
      <c r="FC8" s="66"/>
      <c r="FD8" s="66"/>
      <c r="FE8" s="66"/>
      <c r="FF8" s="66"/>
      <c r="FG8" s="66"/>
      <c r="FH8" s="66"/>
      <c r="FI8" s="66"/>
      <c r="FJ8" s="66"/>
      <c r="FK8" s="66"/>
      <c r="FL8" s="66"/>
      <c r="FM8" s="66"/>
      <c r="FN8" s="66"/>
      <c r="FO8" s="66"/>
      <c r="FP8" s="66"/>
      <c r="FQ8" s="66"/>
      <c r="FR8" s="66"/>
      <c r="FS8" s="66"/>
      <c r="FT8" s="66"/>
      <c r="FU8" s="66"/>
      <c r="FV8" s="66"/>
      <c r="FW8" s="66"/>
      <c r="FX8" s="66"/>
      <c r="FY8" s="66"/>
      <c r="FZ8" s="66"/>
      <c r="GA8" s="66"/>
      <c r="GB8" s="66"/>
      <c r="GC8" s="66"/>
      <c r="GD8" s="66"/>
      <c r="GE8" s="66"/>
      <c r="GF8" s="66"/>
      <c r="GG8" s="66"/>
      <c r="GH8" s="66"/>
      <c r="GI8" s="66"/>
      <c r="GJ8" s="66"/>
      <c r="GK8" s="66"/>
      <c r="GL8" s="66"/>
      <c r="GM8" s="66"/>
      <c r="GN8" s="66"/>
      <c r="GO8" s="66"/>
      <c r="GP8" s="66"/>
      <c r="GQ8" s="66"/>
      <c r="GR8" s="66"/>
      <c r="GS8" s="66"/>
      <c r="GT8" s="66"/>
      <c r="GU8" s="66"/>
      <c r="GV8" s="66"/>
      <c r="GW8" s="66"/>
      <c r="GX8" s="66"/>
      <c r="GY8" s="66"/>
      <c r="GZ8" s="66"/>
      <c r="HA8" s="66"/>
      <c r="HB8" s="66"/>
      <c r="HC8" s="66"/>
      <c r="HD8" s="66"/>
      <c r="HE8" s="66"/>
      <c r="HF8" s="66"/>
      <c r="HG8" s="66"/>
      <c r="HH8" s="66"/>
      <c r="HI8" s="66"/>
      <c r="HJ8" s="66"/>
      <c r="HK8" s="66"/>
      <c r="HL8" s="66"/>
      <c r="HM8" s="66"/>
      <c r="HN8" s="66"/>
      <c r="HO8" s="66"/>
      <c r="HP8" s="66"/>
      <c r="HQ8" s="66"/>
      <c r="HR8" s="66"/>
      <c r="HS8" s="66"/>
      <c r="HT8" s="66"/>
      <c r="HU8" s="66"/>
      <c r="HV8" s="66"/>
      <c r="HW8" s="66"/>
      <c r="HX8" s="66"/>
      <c r="HY8" s="66"/>
      <c r="HZ8" s="66"/>
      <c r="IA8" s="66"/>
      <c r="IB8" s="66"/>
      <c r="IC8" s="66"/>
      <c r="ID8" s="66"/>
      <c r="IE8" s="66"/>
      <c r="IF8" s="66"/>
      <c r="IG8" s="66"/>
      <c r="IH8" s="66"/>
      <c r="II8" s="66"/>
      <c r="IJ8" s="66"/>
      <c r="IK8" s="66"/>
      <c r="IL8" s="66"/>
      <c r="IM8" s="66"/>
      <c r="IN8" s="66"/>
      <c r="IO8" s="66"/>
      <c r="IP8" s="66"/>
      <c r="IQ8" s="66"/>
      <c r="IR8" s="66"/>
      <c r="IS8" s="66"/>
      <c r="IT8" s="66"/>
      <c r="IU8" s="66"/>
      <c r="IV8" s="66"/>
      <c r="IW8" s="66"/>
    </row>
    <row r="9" spans="1:257" s="1016" customFormat="1" ht="18" customHeight="1">
      <c r="A9" s="139"/>
      <c r="B9" s="1273" t="s">
        <v>1080</v>
      </c>
      <c r="C9" s="1274"/>
      <c r="D9" s="1508" t="s">
        <v>1081</v>
      </c>
      <c r="E9" s="1508"/>
      <c r="F9" s="1508"/>
      <c r="G9" s="1508"/>
      <c r="H9" s="1508"/>
      <c r="I9" s="1508"/>
      <c r="J9" s="1508"/>
      <c r="K9" s="1508"/>
      <c r="L9" s="1508"/>
      <c r="M9" s="1508"/>
      <c r="N9" s="1508"/>
      <c r="O9" s="1508"/>
      <c r="P9" s="1508"/>
      <c r="Q9" s="1508"/>
      <c r="R9" s="1508"/>
      <c r="S9" s="1509"/>
      <c r="T9" s="139"/>
      <c r="U9" s="139"/>
      <c r="V9" s="139"/>
      <c r="W9" s="139"/>
      <c r="X9" s="139"/>
      <c r="Y9" s="139"/>
      <c r="Z9" s="139"/>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c r="CN9" s="139"/>
      <c r="CO9" s="139"/>
      <c r="CP9" s="139"/>
      <c r="CQ9" s="139"/>
      <c r="CR9" s="139"/>
      <c r="CS9" s="139"/>
      <c r="CT9" s="139"/>
      <c r="CU9" s="139"/>
      <c r="CV9" s="139"/>
      <c r="CW9" s="139"/>
      <c r="CX9" s="139"/>
      <c r="CY9" s="139"/>
      <c r="CZ9" s="139"/>
      <c r="DA9" s="139"/>
      <c r="DB9" s="139"/>
      <c r="DC9" s="139"/>
      <c r="DD9" s="139"/>
      <c r="DE9" s="139"/>
      <c r="DF9" s="139"/>
      <c r="DG9" s="139"/>
      <c r="DH9" s="139"/>
      <c r="DI9" s="139"/>
      <c r="DJ9" s="139"/>
      <c r="DK9" s="139"/>
      <c r="DL9" s="139"/>
      <c r="DM9" s="139"/>
      <c r="DN9" s="139"/>
      <c r="DO9" s="139"/>
      <c r="DP9" s="139"/>
      <c r="DQ9" s="139"/>
      <c r="DR9" s="139"/>
      <c r="DS9" s="139"/>
      <c r="DT9" s="139"/>
      <c r="DU9" s="139"/>
      <c r="DV9" s="139"/>
      <c r="DW9" s="139"/>
      <c r="DX9" s="139"/>
      <c r="DY9" s="139"/>
      <c r="DZ9" s="139"/>
      <c r="EA9" s="139"/>
      <c r="EB9" s="139"/>
      <c r="EC9" s="139"/>
      <c r="ED9" s="139"/>
      <c r="EE9" s="139"/>
      <c r="EF9" s="139"/>
      <c r="EG9" s="139"/>
      <c r="EH9" s="139"/>
      <c r="EI9" s="139"/>
      <c r="EJ9" s="139"/>
      <c r="EK9" s="139"/>
      <c r="EL9" s="139"/>
      <c r="EM9" s="139"/>
      <c r="EN9" s="139"/>
      <c r="EO9" s="139"/>
      <c r="EP9" s="139"/>
      <c r="EQ9" s="139"/>
      <c r="ER9" s="139"/>
      <c r="ES9" s="139"/>
      <c r="ET9" s="139"/>
      <c r="EU9" s="139"/>
      <c r="EV9" s="139"/>
      <c r="EW9" s="139"/>
      <c r="EX9" s="139"/>
      <c r="EY9" s="139"/>
      <c r="EZ9" s="139"/>
      <c r="FA9" s="139"/>
      <c r="FB9" s="139"/>
      <c r="FC9" s="139"/>
      <c r="FD9" s="139"/>
      <c r="FE9" s="139"/>
      <c r="FF9" s="139"/>
      <c r="FG9" s="139"/>
      <c r="FH9" s="139"/>
      <c r="FI9" s="139"/>
      <c r="FJ9" s="139"/>
      <c r="FK9" s="139"/>
      <c r="FL9" s="139"/>
      <c r="FM9" s="139"/>
      <c r="FN9" s="139"/>
      <c r="FO9" s="139"/>
      <c r="FP9" s="139"/>
      <c r="FQ9" s="139"/>
      <c r="FR9" s="139"/>
      <c r="FS9" s="139"/>
      <c r="FT9" s="139"/>
      <c r="FU9" s="139"/>
      <c r="FV9" s="139"/>
      <c r="FW9" s="139"/>
      <c r="FX9" s="139"/>
      <c r="FY9" s="139"/>
      <c r="FZ9" s="139"/>
      <c r="GA9" s="139"/>
      <c r="GB9" s="139"/>
      <c r="GC9" s="139"/>
      <c r="GD9" s="139"/>
      <c r="GE9" s="139"/>
      <c r="GF9" s="139"/>
      <c r="GG9" s="139"/>
      <c r="GH9" s="139"/>
      <c r="GI9" s="139"/>
      <c r="GJ9" s="139"/>
      <c r="GK9" s="139"/>
      <c r="GL9" s="139"/>
      <c r="GM9" s="139"/>
      <c r="GN9" s="139"/>
      <c r="GO9" s="139"/>
      <c r="GP9" s="139"/>
      <c r="GQ9" s="139"/>
      <c r="GR9" s="139"/>
      <c r="GS9" s="139"/>
      <c r="GT9" s="139"/>
      <c r="GU9" s="139"/>
      <c r="GV9" s="139"/>
      <c r="GW9" s="139"/>
      <c r="GX9" s="139"/>
      <c r="GY9" s="139"/>
      <c r="GZ9" s="139"/>
      <c r="HA9" s="139"/>
      <c r="HB9" s="139"/>
      <c r="HC9" s="139"/>
      <c r="HD9" s="139"/>
      <c r="HE9" s="139"/>
      <c r="HF9" s="139"/>
      <c r="HG9" s="139"/>
      <c r="HH9" s="139"/>
      <c r="HI9" s="139"/>
      <c r="HJ9" s="139"/>
      <c r="HK9" s="139"/>
      <c r="HL9" s="139"/>
      <c r="HM9" s="139"/>
      <c r="HN9" s="139"/>
      <c r="HO9" s="139"/>
      <c r="HP9" s="139"/>
      <c r="HQ9" s="139"/>
      <c r="HR9" s="139"/>
      <c r="HS9" s="139"/>
      <c r="HT9" s="139"/>
      <c r="HU9" s="139"/>
      <c r="HV9" s="139"/>
      <c r="HW9" s="139"/>
      <c r="HX9" s="139"/>
      <c r="HY9" s="139"/>
      <c r="HZ9" s="139"/>
      <c r="IA9" s="139"/>
      <c r="IB9" s="139"/>
      <c r="IC9" s="139"/>
      <c r="ID9" s="139"/>
      <c r="IE9" s="139"/>
      <c r="IF9" s="139"/>
      <c r="IG9" s="139"/>
      <c r="IH9" s="139"/>
      <c r="II9" s="139"/>
      <c r="IJ9" s="139"/>
      <c r="IK9" s="139"/>
      <c r="IL9" s="139"/>
      <c r="IM9" s="139"/>
      <c r="IN9" s="139"/>
      <c r="IO9" s="139"/>
      <c r="IP9" s="139"/>
      <c r="IQ9" s="139"/>
      <c r="IR9" s="139"/>
      <c r="IS9" s="139"/>
      <c r="IT9" s="139"/>
      <c r="IU9" s="139"/>
      <c r="IV9" s="139"/>
      <c r="IW9" s="139"/>
    </row>
    <row r="10" spans="1:257" s="1016" customFormat="1" ht="18" customHeight="1">
      <c r="A10" s="139"/>
      <c r="B10" s="1496" t="s">
        <v>1082</v>
      </c>
      <c r="C10" s="1497"/>
      <c r="D10" s="1478" t="s">
        <v>1083</v>
      </c>
      <c r="E10" s="1478"/>
      <c r="F10" s="1478"/>
      <c r="G10" s="1478"/>
      <c r="H10" s="1478"/>
      <c r="I10" s="1478"/>
      <c r="J10" s="1478"/>
      <c r="K10" s="1478"/>
      <c r="L10" s="1478"/>
      <c r="M10" s="1478"/>
      <c r="N10" s="1478"/>
      <c r="O10" s="1478"/>
      <c r="P10" s="1478"/>
      <c r="Q10" s="1478"/>
      <c r="R10" s="1478"/>
      <c r="S10" s="1479"/>
      <c r="T10" s="139"/>
      <c r="U10" s="139"/>
      <c r="V10" s="139"/>
      <c r="W10" s="139"/>
      <c r="X10" s="139"/>
      <c r="Y10" s="139"/>
      <c r="Z10" s="139"/>
      <c r="AA10" s="139"/>
      <c r="AB10" s="139"/>
      <c r="AC10" s="139"/>
      <c r="AD10" s="139"/>
      <c r="AE10" s="139"/>
      <c r="AF10" s="139"/>
      <c r="AG10" s="139"/>
      <c r="AH10" s="139"/>
      <c r="AI10" s="139"/>
      <c r="AJ10" s="139"/>
      <c r="AK10" s="139"/>
      <c r="AL10" s="139"/>
      <c r="AM10" s="139"/>
      <c r="AN10" s="139"/>
      <c r="AO10" s="139"/>
      <c r="AP10" s="139"/>
      <c r="AQ10" s="139"/>
      <c r="AR10" s="139"/>
      <c r="AS10" s="139"/>
      <c r="AT10" s="139"/>
      <c r="AU10" s="139"/>
      <c r="AV10" s="139"/>
      <c r="AW10" s="139"/>
      <c r="AX10" s="139"/>
      <c r="AY10" s="139"/>
      <c r="AZ10" s="139"/>
      <c r="BA10" s="139"/>
      <c r="BB10" s="139"/>
      <c r="BC10" s="139"/>
      <c r="BD10" s="139"/>
      <c r="BE10" s="139"/>
      <c r="BF10" s="139"/>
      <c r="BG10" s="139"/>
      <c r="BH10" s="139"/>
      <c r="BI10" s="139"/>
      <c r="BJ10" s="139"/>
      <c r="BK10" s="139"/>
      <c r="BL10" s="139"/>
      <c r="BM10" s="139"/>
      <c r="BN10" s="139"/>
      <c r="BO10" s="139"/>
      <c r="BP10" s="139"/>
      <c r="BQ10" s="139"/>
      <c r="BR10" s="139"/>
      <c r="BS10" s="139"/>
      <c r="BT10" s="139"/>
      <c r="BU10" s="139"/>
      <c r="BV10" s="139"/>
      <c r="BW10" s="139"/>
      <c r="BX10" s="139"/>
      <c r="BY10" s="139"/>
      <c r="BZ10" s="139"/>
      <c r="CA10" s="139"/>
      <c r="CB10" s="139"/>
      <c r="CC10" s="139"/>
      <c r="CD10" s="139"/>
      <c r="CE10" s="139"/>
      <c r="CF10" s="139"/>
      <c r="CG10" s="139"/>
      <c r="CH10" s="139"/>
      <c r="CI10" s="139"/>
      <c r="CJ10" s="139"/>
      <c r="CK10" s="139"/>
      <c r="CL10" s="139"/>
      <c r="CM10" s="139"/>
      <c r="CN10" s="139"/>
      <c r="CO10" s="139"/>
      <c r="CP10" s="139"/>
      <c r="CQ10" s="139"/>
      <c r="CR10" s="139"/>
      <c r="CS10" s="139"/>
      <c r="CT10" s="139"/>
      <c r="CU10" s="139"/>
      <c r="CV10" s="139"/>
      <c r="CW10" s="139"/>
      <c r="CX10" s="139"/>
      <c r="CY10" s="139"/>
      <c r="CZ10" s="139"/>
      <c r="DA10" s="139"/>
      <c r="DB10" s="139"/>
      <c r="DC10" s="139"/>
      <c r="DD10" s="139"/>
      <c r="DE10" s="139"/>
      <c r="DF10" s="139"/>
      <c r="DG10" s="139"/>
      <c r="DH10" s="139"/>
      <c r="DI10" s="139"/>
      <c r="DJ10" s="139"/>
      <c r="DK10" s="139"/>
      <c r="DL10" s="139"/>
      <c r="DM10" s="139"/>
      <c r="DN10" s="139"/>
      <c r="DO10" s="139"/>
      <c r="DP10" s="139"/>
      <c r="DQ10" s="139"/>
      <c r="DR10" s="139"/>
      <c r="DS10" s="139"/>
      <c r="DT10" s="139"/>
      <c r="DU10" s="139"/>
      <c r="DV10" s="139"/>
      <c r="DW10" s="139"/>
      <c r="DX10" s="139"/>
      <c r="DY10" s="139"/>
      <c r="DZ10" s="139"/>
      <c r="EA10" s="139"/>
      <c r="EB10" s="139"/>
      <c r="EC10" s="139"/>
      <c r="ED10" s="139"/>
      <c r="EE10" s="139"/>
      <c r="EF10" s="139"/>
      <c r="EG10" s="139"/>
      <c r="EH10" s="139"/>
      <c r="EI10" s="139"/>
      <c r="EJ10" s="139"/>
      <c r="EK10" s="139"/>
      <c r="EL10" s="139"/>
      <c r="EM10" s="139"/>
      <c r="EN10" s="139"/>
      <c r="EO10" s="139"/>
      <c r="EP10" s="139"/>
      <c r="EQ10" s="139"/>
      <c r="ER10" s="139"/>
      <c r="ES10" s="139"/>
      <c r="ET10" s="139"/>
      <c r="EU10" s="139"/>
      <c r="EV10" s="139"/>
      <c r="EW10" s="139"/>
      <c r="EX10" s="139"/>
      <c r="EY10" s="139"/>
      <c r="EZ10" s="139"/>
      <c r="FA10" s="139"/>
      <c r="FB10" s="139"/>
      <c r="FC10" s="139"/>
      <c r="FD10" s="139"/>
      <c r="FE10" s="139"/>
      <c r="FF10" s="139"/>
      <c r="FG10" s="139"/>
      <c r="FH10" s="139"/>
      <c r="FI10" s="139"/>
      <c r="FJ10" s="139"/>
      <c r="FK10" s="139"/>
      <c r="FL10" s="139"/>
      <c r="FM10" s="139"/>
      <c r="FN10" s="139"/>
      <c r="FO10" s="139"/>
      <c r="FP10" s="139"/>
      <c r="FQ10" s="139"/>
      <c r="FR10" s="139"/>
      <c r="FS10" s="139"/>
      <c r="FT10" s="139"/>
      <c r="FU10" s="139"/>
      <c r="FV10" s="139"/>
      <c r="FW10" s="139"/>
      <c r="FX10" s="139"/>
      <c r="FY10" s="139"/>
      <c r="FZ10" s="139"/>
      <c r="GA10" s="139"/>
      <c r="GB10" s="139"/>
      <c r="GC10" s="139"/>
      <c r="GD10" s="139"/>
      <c r="GE10" s="139"/>
      <c r="GF10" s="139"/>
      <c r="GG10" s="139"/>
      <c r="GH10" s="139"/>
      <c r="GI10" s="139"/>
      <c r="GJ10" s="139"/>
      <c r="GK10" s="139"/>
      <c r="GL10" s="139"/>
      <c r="GM10" s="139"/>
      <c r="GN10" s="139"/>
      <c r="GO10" s="139"/>
      <c r="GP10" s="139"/>
      <c r="GQ10" s="139"/>
      <c r="GR10" s="139"/>
      <c r="GS10" s="139"/>
      <c r="GT10" s="139"/>
      <c r="GU10" s="139"/>
      <c r="GV10" s="139"/>
      <c r="GW10" s="139"/>
      <c r="GX10" s="139"/>
      <c r="GY10" s="139"/>
      <c r="GZ10" s="139"/>
      <c r="HA10" s="139"/>
      <c r="HB10" s="139"/>
      <c r="HC10" s="139"/>
      <c r="HD10" s="139"/>
      <c r="HE10" s="139"/>
      <c r="HF10" s="139"/>
      <c r="HG10" s="139"/>
      <c r="HH10" s="139"/>
      <c r="HI10" s="139"/>
      <c r="HJ10" s="139"/>
      <c r="HK10" s="139"/>
      <c r="HL10" s="139"/>
      <c r="HM10" s="139"/>
      <c r="HN10" s="139"/>
      <c r="HO10" s="139"/>
      <c r="HP10" s="139"/>
      <c r="HQ10" s="139"/>
      <c r="HR10" s="139"/>
      <c r="HS10" s="139"/>
      <c r="HT10" s="139"/>
      <c r="HU10" s="139"/>
      <c r="HV10" s="139"/>
      <c r="HW10" s="139"/>
      <c r="HX10" s="139"/>
      <c r="HY10" s="139"/>
      <c r="HZ10" s="139"/>
      <c r="IA10" s="139"/>
      <c r="IB10" s="139"/>
      <c r="IC10" s="139"/>
      <c r="ID10" s="139"/>
      <c r="IE10" s="139"/>
      <c r="IF10" s="139"/>
      <c r="IG10" s="139"/>
      <c r="IH10" s="139"/>
      <c r="II10" s="139"/>
      <c r="IJ10" s="139"/>
      <c r="IK10" s="139"/>
      <c r="IL10" s="139"/>
      <c r="IM10" s="139"/>
      <c r="IN10" s="139"/>
      <c r="IO10" s="139"/>
      <c r="IP10" s="139"/>
      <c r="IQ10" s="139"/>
      <c r="IR10" s="139"/>
      <c r="IS10" s="139"/>
      <c r="IT10" s="139"/>
      <c r="IU10" s="139"/>
      <c r="IV10" s="139"/>
      <c r="IW10" s="139"/>
    </row>
    <row r="11" spans="1:257" s="1016" customFormat="1" ht="18" customHeight="1" thickBot="1">
      <c r="A11" s="139"/>
      <c r="B11" s="1498" t="s">
        <v>1084</v>
      </c>
      <c r="C11" s="1499"/>
      <c r="D11" s="1430" t="s">
        <v>1085</v>
      </c>
      <c r="E11" s="1430"/>
      <c r="F11" s="1430"/>
      <c r="G11" s="1430"/>
      <c r="H11" s="1430"/>
      <c r="I11" s="1430"/>
      <c r="J11" s="1430"/>
      <c r="K11" s="1430"/>
      <c r="L11" s="1430"/>
      <c r="M11" s="1430"/>
      <c r="N11" s="1430"/>
      <c r="O11" s="1430"/>
      <c r="P11" s="1430"/>
      <c r="Q11" s="1430"/>
      <c r="R11" s="1430"/>
      <c r="S11" s="1431"/>
      <c r="T11" s="139"/>
      <c r="U11" s="139"/>
      <c r="V11" s="139"/>
      <c r="W11" s="139"/>
      <c r="X11" s="139"/>
      <c r="Y11" s="139"/>
      <c r="Z11" s="139"/>
      <c r="AA11" s="139"/>
      <c r="AB11" s="139"/>
      <c r="AC11" s="139"/>
      <c r="AD11" s="139"/>
      <c r="AE11" s="139"/>
      <c r="AF11" s="139"/>
      <c r="AG11" s="139"/>
      <c r="AH11" s="139"/>
      <c r="AI11" s="139"/>
      <c r="AJ11" s="139"/>
      <c r="AK11" s="139"/>
      <c r="AL11" s="139"/>
      <c r="AM11" s="139"/>
      <c r="AN11" s="139"/>
      <c r="AO11" s="139"/>
      <c r="AP11" s="139"/>
      <c r="AQ11" s="139"/>
      <c r="AR11" s="139"/>
      <c r="AS11" s="139"/>
      <c r="AT11" s="139"/>
      <c r="AU11" s="139"/>
      <c r="AV11" s="139"/>
      <c r="AW11" s="139"/>
      <c r="AX11" s="139"/>
      <c r="AY11" s="139"/>
      <c r="AZ11" s="139"/>
      <c r="BA11" s="139"/>
      <c r="BB11" s="139"/>
      <c r="BC11" s="139"/>
      <c r="BD11" s="139"/>
      <c r="BE11" s="139"/>
      <c r="BF11" s="139"/>
      <c r="BG11" s="139"/>
      <c r="BH11" s="139"/>
      <c r="BI11" s="139"/>
      <c r="BJ11" s="139"/>
      <c r="BK11" s="139"/>
      <c r="BL11" s="139"/>
      <c r="BM11" s="139"/>
      <c r="BN11" s="139"/>
      <c r="BO11" s="139"/>
      <c r="BP11" s="139"/>
      <c r="BQ11" s="139"/>
      <c r="BR11" s="139"/>
      <c r="BS11" s="139"/>
      <c r="BT11" s="139"/>
      <c r="BU11" s="139"/>
      <c r="BV11" s="139"/>
      <c r="BW11" s="139"/>
      <c r="BX11" s="139"/>
      <c r="BY11" s="139"/>
      <c r="BZ11" s="139"/>
      <c r="CA11" s="139"/>
      <c r="CB11" s="139"/>
      <c r="CC11" s="139"/>
      <c r="CD11" s="139"/>
      <c r="CE11" s="139"/>
      <c r="CF11" s="139"/>
      <c r="CG11" s="139"/>
      <c r="CH11" s="139"/>
      <c r="CI11" s="139"/>
      <c r="CJ11" s="139"/>
      <c r="CK11" s="139"/>
      <c r="CL11" s="139"/>
      <c r="CM11" s="139"/>
      <c r="CN11" s="139"/>
      <c r="CO11" s="139"/>
      <c r="CP11" s="139"/>
      <c r="CQ11" s="139"/>
      <c r="CR11" s="139"/>
      <c r="CS11" s="139"/>
      <c r="CT11" s="139"/>
      <c r="CU11" s="139"/>
      <c r="CV11" s="139"/>
      <c r="CW11" s="139"/>
      <c r="CX11" s="139"/>
      <c r="CY11" s="139"/>
      <c r="CZ11" s="139"/>
      <c r="DA11" s="139"/>
      <c r="DB11" s="139"/>
      <c r="DC11" s="139"/>
      <c r="DD11" s="139"/>
      <c r="DE11" s="139"/>
      <c r="DF11" s="139"/>
      <c r="DG11" s="139"/>
      <c r="DH11" s="139"/>
      <c r="DI11" s="139"/>
      <c r="DJ11" s="139"/>
      <c r="DK11" s="139"/>
      <c r="DL11" s="139"/>
      <c r="DM11" s="139"/>
      <c r="DN11" s="139"/>
      <c r="DO11" s="139"/>
      <c r="DP11" s="139"/>
      <c r="DQ11" s="139"/>
      <c r="DR11" s="139"/>
      <c r="DS11" s="139"/>
      <c r="DT11" s="139"/>
      <c r="DU11" s="139"/>
      <c r="DV11" s="139"/>
      <c r="DW11" s="139"/>
      <c r="DX11" s="139"/>
      <c r="DY11" s="139"/>
      <c r="DZ11" s="139"/>
      <c r="EA11" s="139"/>
      <c r="EB11" s="139"/>
      <c r="EC11" s="139"/>
      <c r="ED11" s="139"/>
      <c r="EE11" s="139"/>
      <c r="EF11" s="139"/>
      <c r="EG11" s="139"/>
      <c r="EH11" s="139"/>
      <c r="EI11" s="139"/>
      <c r="EJ11" s="139"/>
      <c r="EK11" s="139"/>
      <c r="EL11" s="139"/>
      <c r="EM11" s="139"/>
      <c r="EN11" s="139"/>
      <c r="EO11" s="139"/>
      <c r="EP11" s="139"/>
      <c r="EQ11" s="139"/>
      <c r="ER11" s="139"/>
      <c r="ES11" s="139"/>
      <c r="ET11" s="139"/>
      <c r="EU11" s="139"/>
      <c r="EV11" s="139"/>
      <c r="EW11" s="139"/>
      <c r="EX11" s="139"/>
      <c r="EY11" s="139"/>
      <c r="EZ11" s="139"/>
      <c r="FA11" s="139"/>
      <c r="FB11" s="139"/>
      <c r="FC11" s="139"/>
      <c r="FD11" s="139"/>
      <c r="FE11" s="139"/>
      <c r="FF11" s="139"/>
      <c r="FG11" s="139"/>
      <c r="FH11" s="139"/>
      <c r="FI11" s="139"/>
      <c r="FJ11" s="139"/>
      <c r="FK11" s="139"/>
      <c r="FL11" s="139"/>
      <c r="FM11" s="139"/>
      <c r="FN11" s="139"/>
      <c r="FO11" s="139"/>
      <c r="FP11" s="139"/>
      <c r="FQ11" s="139"/>
      <c r="FR11" s="139"/>
      <c r="FS11" s="139"/>
      <c r="FT11" s="139"/>
      <c r="FU11" s="139"/>
      <c r="FV11" s="139"/>
      <c r="FW11" s="139"/>
      <c r="FX11" s="139"/>
      <c r="FY11" s="139"/>
      <c r="FZ11" s="139"/>
      <c r="GA11" s="139"/>
      <c r="GB11" s="139"/>
      <c r="GC11" s="139"/>
      <c r="GD11" s="139"/>
      <c r="GE11" s="139"/>
      <c r="GF11" s="139"/>
      <c r="GG11" s="139"/>
      <c r="GH11" s="139"/>
      <c r="GI11" s="139"/>
      <c r="GJ11" s="139"/>
      <c r="GK11" s="139"/>
      <c r="GL11" s="139"/>
      <c r="GM11" s="139"/>
      <c r="GN11" s="139"/>
      <c r="GO11" s="139"/>
      <c r="GP11" s="139"/>
      <c r="GQ11" s="139"/>
      <c r="GR11" s="139"/>
      <c r="GS11" s="139"/>
      <c r="GT11" s="139"/>
      <c r="GU11" s="139"/>
      <c r="GV11" s="139"/>
      <c r="GW11" s="139"/>
      <c r="GX11" s="139"/>
      <c r="GY11" s="139"/>
      <c r="GZ11" s="139"/>
      <c r="HA11" s="139"/>
      <c r="HB11" s="139"/>
      <c r="HC11" s="139"/>
      <c r="HD11" s="139"/>
      <c r="HE11" s="139"/>
      <c r="HF11" s="139"/>
      <c r="HG11" s="139"/>
      <c r="HH11" s="139"/>
      <c r="HI11" s="139"/>
      <c r="HJ11" s="139"/>
      <c r="HK11" s="139"/>
      <c r="HL11" s="139"/>
      <c r="HM11" s="139"/>
      <c r="HN11" s="139"/>
      <c r="HO11" s="139"/>
      <c r="HP11" s="139"/>
      <c r="HQ11" s="139"/>
      <c r="HR11" s="139"/>
      <c r="HS11" s="139"/>
      <c r="HT11" s="139"/>
      <c r="HU11" s="139"/>
      <c r="HV11" s="139"/>
      <c r="HW11" s="139"/>
      <c r="HX11" s="139"/>
      <c r="HY11" s="139"/>
      <c r="HZ11" s="139"/>
      <c r="IA11" s="139"/>
      <c r="IB11" s="139"/>
      <c r="IC11" s="139"/>
      <c r="ID11" s="139"/>
      <c r="IE11" s="139"/>
      <c r="IF11" s="139"/>
      <c r="IG11" s="139"/>
      <c r="IH11" s="139"/>
      <c r="II11" s="139"/>
      <c r="IJ11" s="139"/>
      <c r="IK11" s="139"/>
      <c r="IL11" s="139"/>
      <c r="IM11" s="139"/>
      <c r="IN11" s="139"/>
      <c r="IO11" s="139"/>
      <c r="IP11" s="139"/>
      <c r="IQ11" s="139"/>
      <c r="IR11" s="139"/>
      <c r="IS11" s="139"/>
      <c r="IT11" s="139"/>
      <c r="IU11" s="139"/>
      <c r="IV11" s="139"/>
      <c r="IW11" s="139"/>
    </row>
    <row r="12" spans="1:257" s="111" customFormat="1" ht="18" customHeight="1">
      <c r="A12" s="66"/>
      <c r="B12" s="502"/>
      <c r="C12" s="502"/>
      <c r="D12" s="980"/>
      <c r="E12" s="980"/>
      <c r="F12" s="980"/>
      <c r="G12" s="980"/>
      <c r="H12" s="980"/>
      <c r="I12" s="980"/>
      <c r="J12" s="980"/>
      <c r="K12" s="980"/>
      <c r="M12" s="502"/>
      <c r="N12" s="502"/>
      <c r="O12" s="502"/>
      <c r="P12" s="502"/>
      <c r="Q12" s="502"/>
      <c r="R12" s="502"/>
      <c r="S12" s="502"/>
      <c r="T12" s="66"/>
      <c r="U12" s="66"/>
      <c r="V12" s="66"/>
      <c r="W12" s="66"/>
      <c r="X12" s="66"/>
      <c r="Y12" s="66"/>
      <c r="Z12" s="66"/>
      <c r="AA12" s="66"/>
      <c r="AB12" s="66"/>
      <c r="AC12" s="66"/>
      <c r="AD12" s="66"/>
      <c r="AE12" s="66"/>
      <c r="AF12" s="66"/>
      <c r="AG12" s="66"/>
      <c r="AH12" s="66"/>
      <c r="AI12" s="66"/>
      <c r="AJ12" s="66"/>
      <c r="AK12" s="66"/>
      <c r="AL12" s="66"/>
      <c r="AM12" s="66"/>
      <c r="AN12" s="66"/>
      <c r="AO12" s="66"/>
      <c r="AP12" s="66"/>
      <c r="AQ12" s="66"/>
      <c r="AR12" s="66"/>
      <c r="AS12" s="66"/>
      <c r="AT12" s="66"/>
      <c r="AU12" s="66"/>
      <c r="AV12" s="66"/>
      <c r="AW12" s="66"/>
      <c r="AX12" s="66"/>
      <c r="AY12" s="66"/>
      <c r="AZ12" s="66"/>
      <c r="BA12" s="66"/>
      <c r="BB12" s="66"/>
      <c r="BC12" s="66"/>
      <c r="BD12" s="66"/>
      <c r="BE12" s="66"/>
      <c r="BF12" s="66"/>
      <c r="BG12" s="66"/>
      <c r="BH12" s="66"/>
      <c r="BI12" s="66"/>
      <c r="BJ12" s="66"/>
      <c r="BK12" s="66"/>
      <c r="BL12" s="66"/>
      <c r="BM12" s="66"/>
      <c r="BN12" s="66"/>
      <c r="BO12" s="66"/>
      <c r="BP12" s="66"/>
      <c r="BQ12" s="66"/>
      <c r="BR12" s="66"/>
      <c r="BS12" s="66"/>
      <c r="BT12" s="66"/>
      <c r="BU12" s="66"/>
      <c r="BV12" s="66"/>
      <c r="BW12" s="66"/>
      <c r="BX12" s="66"/>
      <c r="BY12" s="66"/>
      <c r="BZ12" s="66"/>
      <c r="CA12" s="66"/>
      <c r="CB12" s="66"/>
      <c r="CC12" s="66"/>
      <c r="CD12" s="66"/>
      <c r="CE12" s="66"/>
      <c r="CF12" s="66"/>
      <c r="CG12" s="66"/>
      <c r="CH12" s="66"/>
      <c r="CI12" s="66"/>
      <c r="CJ12" s="66"/>
      <c r="CK12" s="66"/>
      <c r="CL12" s="66"/>
      <c r="CM12" s="66"/>
      <c r="CN12" s="66"/>
      <c r="CO12" s="66"/>
      <c r="CP12" s="66"/>
      <c r="CQ12" s="66"/>
      <c r="CR12" s="66"/>
      <c r="CS12" s="66"/>
      <c r="CT12" s="66"/>
      <c r="CU12" s="66"/>
      <c r="CV12" s="66"/>
      <c r="CW12" s="66"/>
      <c r="CX12" s="66"/>
      <c r="CY12" s="66"/>
      <c r="CZ12" s="66"/>
      <c r="DA12" s="66"/>
      <c r="DB12" s="66"/>
      <c r="DC12" s="66"/>
      <c r="DD12" s="66"/>
      <c r="DE12" s="66"/>
      <c r="DF12" s="66"/>
      <c r="DG12" s="66"/>
      <c r="DH12" s="66"/>
      <c r="DI12" s="66"/>
      <c r="DJ12" s="66"/>
      <c r="DK12" s="66"/>
      <c r="DL12" s="66"/>
      <c r="DM12" s="66"/>
      <c r="DN12" s="66"/>
      <c r="DO12" s="66"/>
      <c r="DP12" s="66"/>
      <c r="DQ12" s="66"/>
      <c r="DR12" s="66"/>
      <c r="DS12" s="66"/>
      <c r="DT12" s="66"/>
      <c r="DU12" s="66"/>
      <c r="DV12" s="66"/>
      <c r="DW12" s="66"/>
      <c r="DX12" s="66"/>
      <c r="DY12" s="66"/>
      <c r="DZ12" s="66"/>
      <c r="EA12" s="66"/>
      <c r="EB12" s="66"/>
      <c r="EC12" s="66"/>
      <c r="ED12" s="66"/>
      <c r="EE12" s="66"/>
      <c r="EF12" s="66"/>
      <c r="EG12" s="66"/>
      <c r="EH12" s="66"/>
      <c r="EI12" s="66"/>
      <c r="EJ12" s="66"/>
      <c r="EK12" s="66"/>
      <c r="EL12" s="66"/>
      <c r="EM12" s="66"/>
      <c r="EN12" s="66"/>
      <c r="EO12" s="66"/>
      <c r="EP12" s="66"/>
      <c r="EQ12" s="66"/>
      <c r="ER12" s="66"/>
      <c r="ES12" s="66"/>
      <c r="ET12" s="66"/>
      <c r="EU12" s="66"/>
      <c r="EV12" s="66"/>
      <c r="EW12" s="66"/>
      <c r="EX12" s="66"/>
      <c r="EY12" s="66"/>
      <c r="EZ12" s="66"/>
      <c r="FA12" s="66"/>
      <c r="FB12" s="66"/>
      <c r="FC12" s="66"/>
      <c r="FD12" s="66"/>
      <c r="FE12" s="66"/>
      <c r="FF12" s="66"/>
      <c r="FG12" s="66"/>
      <c r="FH12" s="66"/>
      <c r="FI12" s="66"/>
      <c r="FJ12" s="66"/>
      <c r="FK12" s="66"/>
      <c r="FL12" s="66"/>
      <c r="FM12" s="66"/>
      <c r="FN12" s="66"/>
      <c r="FO12" s="66"/>
      <c r="FP12" s="66"/>
      <c r="FQ12" s="66"/>
      <c r="FR12" s="66"/>
      <c r="FS12" s="66"/>
      <c r="FT12" s="66"/>
      <c r="FU12" s="66"/>
      <c r="FV12" s="66"/>
      <c r="FW12" s="66"/>
      <c r="FX12" s="66"/>
      <c r="FY12" s="66"/>
      <c r="FZ12" s="66"/>
      <c r="GA12" s="66"/>
      <c r="GB12" s="66"/>
      <c r="GC12" s="66"/>
      <c r="GD12" s="66"/>
      <c r="GE12" s="66"/>
      <c r="GF12" s="66"/>
      <c r="GG12" s="66"/>
      <c r="GH12" s="66"/>
      <c r="GI12" s="66"/>
      <c r="GJ12" s="66"/>
      <c r="GK12" s="66"/>
      <c r="GL12" s="66"/>
      <c r="GM12" s="66"/>
      <c r="GN12" s="66"/>
      <c r="GO12" s="66"/>
      <c r="GP12" s="66"/>
      <c r="GQ12" s="66"/>
      <c r="GR12" s="66"/>
      <c r="GS12" s="66"/>
      <c r="GT12" s="66"/>
      <c r="GU12" s="66"/>
      <c r="GV12" s="66"/>
      <c r="GW12" s="66"/>
      <c r="GX12" s="66"/>
      <c r="GY12" s="66"/>
      <c r="GZ12" s="66"/>
      <c r="HA12" s="66"/>
      <c r="HB12" s="66"/>
      <c r="HC12" s="66"/>
      <c r="HD12" s="66"/>
      <c r="HE12" s="66"/>
      <c r="HF12" s="66"/>
      <c r="HG12" s="66"/>
      <c r="HH12" s="66"/>
      <c r="HI12" s="66"/>
      <c r="HJ12" s="66"/>
      <c r="HK12" s="66"/>
      <c r="HL12" s="66"/>
      <c r="HM12" s="66"/>
      <c r="HN12" s="66"/>
      <c r="HO12" s="66"/>
      <c r="HP12" s="66"/>
      <c r="HQ12" s="66"/>
      <c r="HR12" s="66"/>
      <c r="HS12" s="66"/>
      <c r="HT12" s="66"/>
      <c r="HU12" s="66"/>
      <c r="HV12" s="66"/>
      <c r="HW12" s="66"/>
      <c r="HX12" s="66"/>
      <c r="HY12" s="66"/>
      <c r="HZ12" s="66"/>
      <c r="IA12" s="66"/>
      <c r="IB12" s="66"/>
      <c r="IC12" s="66"/>
      <c r="ID12" s="66"/>
      <c r="IE12" s="66"/>
      <c r="IF12" s="66"/>
      <c r="IG12" s="66"/>
      <c r="IH12" s="66"/>
      <c r="II12" s="66"/>
      <c r="IJ12" s="66"/>
      <c r="IK12" s="66"/>
      <c r="IL12" s="66"/>
      <c r="IM12" s="66"/>
      <c r="IN12" s="66"/>
      <c r="IO12" s="66"/>
      <c r="IP12" s="66"/>
      <c r="IQ12" s="66"/>
      <c r="IR12" s="66"/>
      <c r="IS12" s="66"/>
      <c r="IT12" s="66"/>
      <c r="IU12" s="66"/>
      <c r="IV12" s="66"/>
      <c r="IW12" s="66"/>
    </row>
    <row r="13" spans="1:257" s="111" customFormat="1" ht="18" customHeight="1" thickBot="1">
      <c r="A13" s="66"/>
      <c r="B13" s="67" t="s">
        <v>1086</v>
      </c>
      <c r="C13" s="502"/>
      <c r="D13" s="980"/>
      <c r="E13" s="66"/>
      <c r="F13" s="65"/>
      <c r="G13" s="66"/>
      <c r="H13" s="66"/>
      <c r="I13" s="66"/>
      <c r="J13" s="66"/>
      <c r="K13" s="980"/>
      <c r="L13" s="66"/>
      <c r="M13" s="66"/>
      <c r="N13" s="66"/>
      <c r="O13" s="66"/>
      <c r="P13" s="66"/>
      <c r="Q13" s="66"/>
      <c r="R13" s="66"/>
      <c r="S13" s="66"/>
      <c r="T13" s="66"/>
      <c r="U13" s="66"/>
      <c r="V13" s="66"/>
      <c r="W13" s="66"/>
      <c r="X13" s="66"/>
      <c r="Y13" s="66"/>
      <c r="Z13" s="66"/>
      <c r="AA13" s="66"/>
      <c r="AB13" s="66"/>
      <c r="AC13" s="66"/>
      <c r="AD13" s="66"/>
      <c r="AE13" s="66"/>
      <c r="AF13" s="66"/>
      <c r="AG13" s="66"/>
      <c r="AH13" s="66"/>
      <c r="AI13" s="66"/>
      <c r="AJ13" s="66"/>
      <c r="AK13" s="66"/>
      <c r="AL13" s="66"/>
      <c r="AM13" s="66"/>
      <c r="AN13" s="66"/>
      <c r="AO13" s="66"/>
      <c r="AP13" s="66"/>
      <c r="AQ13" s="66"/>
      <c r="AR13" s="66"/>
      <c r="AS13" s="66"/>
      <c r="AT13" s="66"/>
      <c r="AU13" s="66"/>
      <c r="AV13" s="66"/>
      <c r="AW13" s="66"/>
      <c r="AX13" s="66"/>
      <c r="AY13" s="66"/>
      <c r="AZ13" s="66"/>
      <c r="BA13" s="66"/>
      <c r="BB13" s="66"/>
      <c r="BC13" s="66"/>
      <c r="BD13" s="66"/>
      <c r="BE13" s="66"/>
      <c r="BF13" s="66"/>
      <c r="BG13" s="66"/>
      <c r="BH13" s="66"/>
      <c r="BI13" s="66"/>
      <c r="BJ13" s="66"/>
      <c r="BK13" s="66"/>
      <c r="BL13" s="66"/>
      <c r="BM13" s="66"/>
      <c r="BN13" s="66"/>
      <c r="BO13" s="66"/>
      <c r="BP13" s="66"/>
      <c r="BQ13" s="66"/>
      <c r="BR13" s="66"/>
      <c r="BS13" s="66"/>
      <c r="BT13" s="66"/>
      <c r="BU13" s="66"/>
      <c r="BV13" s="66"/>
      <c r="BW13" s="66"/>
      <c r="BX13" s="66"/>
      <c r="BY13" s="66"/>
      <c r="BZ13" s="66"/>
      <c r="CA13" s="66"/>
      <c r="CB13" s="66"/>
      <c r="CC13" s="66"/>
      <c r="CD13" s="66"/>
      <c r="CE13" s="66"/>
      <c r="CF13" s="66"/>
      <c r="CG13" s="66"/>
      <c r="CH13" s="66"/>
      <c r="CI13" s="66"/>
      <c r="CJ13" s="66"/>
      <c r="CK13" s="66"/>
      <c r="CL13" s="66"/>
      <c r="CM13" s="66"/>
      <c r="CN13" s="66"/>
      <c r="CO13" s="66"/>
      <c r="CP13" s="66"/>
      <c r="CQ13" s="66"/>
      <c r="CR13" s="66"/>
      <c r="CS13" s="66"/>
      <c r="CT13" s="66"/>
      <c r="CU13" s="66"/>
      <c r="CV13" s="66"/>
      <c r="CW13" s="66"/>
      <c r="CX13" s="66"/>
      <c r="CY13" s="66"/>
      <c r="CZ13" s="66"/>
      <c r="DA13" s="66"/>
      <c r="DB13" s="66"/>
      <c r="DC13" s="66"/>
      <c r="DD13" s="66"/>
      <c r="DE13" s="66"/>
      <c r="DF13" s="66"/>
      <c r="DG13" s="66"/>
      <c r="DH13" s="66"/>
      <c r="DI13" s="66"/>
      <c r="DJ13" s="66"/>
      <c r="DK13" s="66"/>
      <c r="DL13" s="66"/>
      <c r="DM13" s="66"/>
      <c r="DN13" s="66"/>
      <c r="DO13" s="66"/>
      <c r="DP13" s="66"/>
      <c r="DQ13" s="66"/>
      <c r="DR13" s="66"/>
      <c r="DS13" s="66"/>
      <c r="DT13" s="66"/>
      <c r="DU13" s="66"/>
      <c r="DV13" s="66"/>
      <c r="DW13" s="66"/>
      <c r="DX13" s="66"/>
      <c r="DY13" s="66"/>
      <c r="DZ13" s="66"/>
      <c r="EA13" s="66"/>
      <c r="EB13" s="66"/>
      <c r="EC13" s="66"/>
      <c r="ED13" s="66"/>
      <c r="EE13" s="66"/>
      <c r="EF13" s="66"/>
      <c r="EG13" s="66"/>
      <c r="EH13" s="66"/>
      <c r="EI13" s="66"/>
      <c r="EJ13" s="66"/>
      <c r="EK13" s="66"/>
      <c r="EL13" s="66"/>
      <c r="EM13" s="66"/>
      <c r="EN13" s="66"/>
      <c r="EO13" s="66"/>
      <c r="EP13" s="66"/>
      <c r="EQ13" s="66"/>
      <c r="ER13" s="66"/>
      <c r="ES13" s="66"/>
      <c r="ET13" s="66"/>
      <c r="EU13" s="66"/>
      <c r="EV13" s="66"/>
      <c r="EW13" s="66"/>
      <c r="EX13" s="66"/>
      <c r="EY13" s="66"/>
      <c r="EZ13" s="66"/>
      <c r="FA13" s="66"/>
      <c r="FB13" s="66"/>
      <c r="FC13" s="66"/>
      <c r="FD13" s="66"/>
      <c r="FE13" s="66"/>
      <c r="FF13" s="66"/>
      <c r="FG13" s="66"/>
      <c r="FH13" s="66"/>
      <c r="FI13" s="66"/>
      <c r="FJ13" s="66"/>
      <c r="FK13" s="66"/>
      <c r="FL13" s="66"/>
      <c r="FM13" s="66"/>
      <c r="FN13" s="66"/>
      <c r="FO13" s="66"/>
      <c r="FP13" s="66"/>
      <c r="FQ13" s="66"/>
      <c r="FR13" s="66"/>
      <c r="FS13" s="66"/>
      <c r="FT13" s="66"/>
      <c r="FU13" s="66"/>
      <c r="FV13" s="66"/>
      <c r="FW13" s="66"/>
      <c r="FX13" s="66"/>
      <c r="FY13" s="66"/>
      <c r="FZ13" s="66"/>
      <c r="GA13" s="66"/>
      <c r="GB13" s="66"/>
      <c r="GC13" s="66"/>
      <c r="GD13" s="66"/>
      <c r="GE13" s="66"/>
      <c r="GF13" s="66"/>
      <c r="GG13" s="66"/>
      <c r="GH13" s="66"/>
      <c r="GI13" s="66"/>
      <c r="GJ13" s="66"/>
      <c r="GK13" s="66"/>
      <c r="GL13" s="66"/>
      <c r="GM13" s="66"/>
      <c r="GN13" s="66"/>
      <c r="GO13" s="66"/>
      <c r="GP13" s="66"/>
      <c r="GQ13" s="66"/>
      <c r="GR13" s="66"/>
      <c r="GS13" s="66"/>
      <c r="GT13" s="66"/>
      <c r="GU13" s="66"/>
      <c r="GV13" s="66"/>
      <c r="GW13" s="66"/>
      <c r="GX13" s="66"/>
      <c r="GY13" s="66"/>
      <c r="GZ13" s="66"/>
      <c r="HA13" s="66"/>
      <c r="HB13" s="66"/>
      <c r="HC13" s="66"/>
      <c r="HD13" s="66"/>
      <c r="HE13" s="66"/>
      <c r="HF13" s="66"/>
      <c r="HG13" s="66"/>
      <c r="HH13" s="66"/>
      <c r="HI13" s="66"/>
      <c r="HJ13" s="66"/>
      <c r="HK13" s="66"/>
      <c r="HL13" s="66"/>
      <c r="HM13" s="66"/>
      <c r="HN13" s="66"/>
      <c r="HO13" s="66"/>
      <c r="HP13" s="66"/>
      <c r="HQ13" s="66"/>
      <c r="HR13" s="66"/>
      <c r="HS13" s="66"/>
      <c r="HT13" s="66"/>
      <c r="HU13" s="66"/>
      <c r="HV13" s="66"/>
      <c r="HW13" s="66"/>
      <c r="HX13" s="66"/>
      <c r="HY13" s="66"/>
      <c r="HZ13" s="66"/>
      <c r="IA13" s="66"/>
      <c r="IB13" s="66"/>
      <c r="IC13" s="66"/>
      <c r="ID13" s="66"/>
      <c r="IE13" s="66"/>
      <c r="IF13" s="66"/>
      <c r="IG13" s="66"/>
      <c r="IH13" s="66"/>
      <c r="II13" s="66"/>
      <c r="IJ13" s="66"/>
      <c r="IK13" s="66"/>
      <c r="IL13" s="66"/>
      <c r="IM13" s="66"/>
      <c r="IN13" s="66"/>
      <c r="IO13" s="66"/>
      <c r="IP13" s="66"/>
      <c r="IQ13" s="66"/>
      <c r="IR13" s="66"/>
      <c r="IS13" s="66"/>
      <c r="IT13" s="66"/>
      <c r="IU13" s="66"/>
      <c r="IV13" s="66"/>
      <c r="IW13" s="66"/>
    </row>
    <row r="14" spans="1:257" s="111" customFormat="1" ht="18" customHeight="1">
      <c r="A14" s="66"/>
      <c r="B14" s="1189" t="s">
        <v>1071</v>
      </c>
      <c r="C14" s="1190"/>
      <c r="D14" s="1190" t="s">
        <v>1087</v>
      </c>
      <c r="E14" s="1190"/>
      <c r="F14" s="1190"/>
      <c r="G14" s="1190"/>
      <c r="H14" s="1190"/>
      <c r="I14" s="1190"/>
      <c r="J14" s="1190"/>
      <c r="K14" s="1190"/>
      <c r="L14" s="1190"/>
      <c r="M14" s="1190"/>
      <c r="N14" s="1190"/>
      <c r="O14" s="1190"/>
      <c r="P14" s="1190"/>
      <c r="Q14" s="1190"/>
      <c r="R14" s="1190"/>
      <c r="S14" s="1191"/>
      <c r="X14" s="66"/>
      <c r="Y14" s="66"/>
      <c r="Z14" s="66"/>
      <c r="AA14" s="66"/>
      <c r="AB14" s="66"/>
      <c r="AC14" s="66"/>
      <c r="AD14" s="66"/>
      <c r="AE14" s="66"/>
      <c r="AF14" s="66"/>
      <c r="AG14" s="66"/>
      <c r="AH14" s="66"/>
      <c r="AI14" s="66"/>
      <c r="AJ14" s="66"/>
      <c r="AK14" s="66"/>
      <c r="AL14" s="66"/>
      <c r="AM14" s="66"/>
      <c r="AN14" s="66"/>
      <c r="AO14" s="66"/>
      <c r="AP14" s="66"/>
      <c r="AQ14" s="66"/>
      <c r="AR14" s="66"/>
      <c r="AS14" s="66"/>
      <c r="AT14" s="66"/>
      <c r="AU14" s="66"/>
      <c r="AV14" s="66"/>
      <c r="AW14" s="66"/>
      <c r="AX14" s="66"/>
      <c r="AY14" s="66"/>
      <c r="AZ14" s="66"/>
      <c r="BA14" s="66"/>
      <c r="BB14" s="66"/>
      <c r="BC14" s="66"/>
      <c r="BD14" s="66"/>
      <c r="BE14" s="66"/>
      <c r="BF14" s="66"/>
      <c r="BG14" s="66"/>
      <c r="BH14" s="66"/>
      <c r="BI14" s="66"/>
      <c r="BJ14" s="66"/>
      <c r="BK14" s="66"/>
      <c r="BL14" s="66"/>
      <c r="BM14" s="66"/>
      <c r="BN14" s="66"/>
      <c r="BO14" s="66"/>
      <c r="BP14" s="66"/>
      <c r="BQ14" s="66"/>
      <c r="BR14" s="66"/>
      <c r="BS14" s="66"/>
      <c r="BT14" s="66"/>
      <c r="BU14" s="66"/>
      <c r="BV14" s="66"/>
      <c r="BW14" s="66"/>
      <c r="BX14" s="66"/>
      <c r="BY14" s="66"/>
      <c r="BZ14" s="66"/>
      <c r="CA14" s="66"/>
      <c r="CB14" s="66"/>
      <c r="CC14" s="66"/>
      <c r="CD14" s="66"/>
      <c r="CE14" s="66"/>
      <c r="CF14" s="66"/>
      <c r="CG14" s="66"/>
      <c r="CH14" s="66"/>
      <c r="CI14" s="66"/>
      <c r="CJ14" s="66"/>
      <c r="CK14" s="66"/>
      <c r="CL14" s="66"/>
      <c r="CM14" s="66"/>
      <c r="CN14" s="66"/>
      <c r="CO14" s="66"/>
      <c r="CP14" s="66"/>
      <c r="CQ14" s="66"/>
      <c r="CR14" s="66"/>
      <c r="CS14" s="66"/>
      <c r="CT14" s="66"/>
      <c r="CU14" s="66"/>
      <c r="CV14" s="66"/>
      <c r="CW14" s="66"/>
      <c r="CX14" s="66"/>
      <c r="CY14" s="66"/>
      <c r="CZ14" s="66"/>
      <c r="DA14" s="66"/>
      <c r="DB14" s="66"/>
      <c r="DC14" s="66"/>
      <c r="DD14" s="66"/>
      <c r="DE14" s="66"/>
      <c r="DF14" s="66"/>
      <c r="DG14" s="66"/>
      <c r="DH14" s="66"/>
      <c r="DI14" s="66"/>
      <c r="DJ14" s="66"/>
      <c r="DK14" s="66"/>
      <c r="DL14" s="66"/>
      <c r="DM14" s="66"/>
      <c r="DN14" s="66"/>
      <c r="DO14" s="66"/>
      <c r="DP14" s="66"/>
      <c r="DQ14" s="66"/>
      <c r="DR14" s="66"/>
      <c r="DS14" s="66"/>
      <c r="DT14" s="66"/>
      <c r="DU14" s="66"/>
      <c r="DV14" s="66"/>
      <c r="DW14" s="66"/>
      <c r="DX14" s="66"/>
      <c r="DY14" s="66"/>
      <c r="DZ14" s="66"/>
      <c r="EA14" s="66"/>
      <c r="EB14" s="66"/>
      <c r="EC14" s="66"/>
      <c r="ED14" s="66"/>
      <c r="EE14" s="66"/>
      <c r="EF14" s="66"/>
      <c r="EG14" s="66"/>
      <c r="EH14" s="66"/>
      <c r="EI14" s="66"/>
      <c r="EJ14" s="66"/>
      <c r="EK14" s="66"/>
      <c r="EL14" s="66"/>
      <c r="EM14" s="66"/>
      <c r="EN14" s="66"/>
      <c r="EO14" s="66"/>
      <c r="EP14" s="66"/>
      <c r="EQ14" s="66"/>
      <c r="ER14" s="66"/>
      <c r="ES14" s="66"/>
      <c r="ET14" s="66"/>
      <c r="EU14" s="66"/>
      <c r="EV14" s="66"/>
      <c r="EW14" s="66"/>
      <c r="EX14" s="66"/>
      <c r="EY14" s="66"/>
      <c r="EZ14" s="66"/>
      <c r="FA14" s="66"/>
      <c r="FB14" s="66"/>
      <c r="FC14" s="66"/>
      <c r="FD14" s="66"/>
      <c r="FE14" s="66"/>
      <c r="FF14" s="66"/>
      <c r="FG14" s="66"/>
      <c r="FH14" s="66"/>
      <c r="FI14" s="66"/>
      <c r="FJ14" s="66"/>
      <c r="FK14" s="66"/>
      <c r="FL14" s="66"/>
      <c r="FM14" s="66"/>
      <c r="FN14" s="66"/>
      <c r="FO14" s="66"/>
      <c r="FP14" s="66"/>
      <c r="FQ14" s="66"/>
      <c r="FR14" s="66"/>
      <c r="FS14" s="66"/>
      <c r="FT14" s="66"/>
      <c r="FU14" s="66"/>
      <c r="FV14" s="66"/>
      <c r="FW14" s="66"/>
      <c r="FX14" s="66"/>
      <c r="FY14" s="66"/>
      <c r="FZ14" s="66"/>
      <c r="GA14" s="66"/>
      <c r="GB14" s="66"/>
      <c r="GC14" s="66"/>
      <c r="GD14" s="66"/>
      <c r="GE14" s="66"/>
      <c r="GF14" s="66"/>
      <c r="GG14" s="66"/>
      <c r="GH14" s="66"/>
      <c r="GI14" s="66"/>
      <c r="GJ14" s="66"/>
      <c r="GK14" s="66"/>
      <c r="GL14" s="66"/>
      <c r="GM14" s="66"/>
      <c r="GN14" s="66"/>
      <c r="GO14" s="66"/>
      <c r="GP14" s="66"/>
      <c r="GQ14" s="66"/>
      <c r="GR14" s="66"/>
      <c r="GS14" s="66"/>
      <c r="GT14" s="66"/>
      <c r="GU14" s="66"/>
      <c r="GV14" s="66"/>
      <c r="GW14" s="66"/>
      <c r="GX14" s="66"/>
      <c r="GY14" s="66"/>
      <c r="GZ14" s="66"/>
      <c r="HA14" s="66"/>
      <c r="HB14" s="66"/>
      <c r="HC14" s="66"/>
      <c r="HD14" s="66"/>
      <c r="HE14" s="66"/>
      <c r="HF14" s="66"/>
      <c r="HG14" s="66"/>
      <c r="HH14" s="66"/>
      <c r="HI14" s="66"/>
      <c r="HJ14" s="66"/>
      <c r="HK14" s="66"/>
      <c r="HL14" s="66"/>
      <c r="HM14" s="66"/>
      <c r="HN14" s="66"/>
      <c r="HO14" s="66"/>
      <c r="HP14" s="66"/>
      <c r="HQ14" s="66"/>
      <c r="HR14" s="66"/>
      <c r="HS14" s="66"/>
      <c r="HT14" s="66"/>
      <c r="HU14" s="66"/>
      <c r="HV14" s="66"/>
      <c r="HW14" s="66"/>
      <c r="HX14" s="66"/>
      <c r="HY14" s="66"/>
      <c r="HZ14" s="66"/>
      <c r="IA14" s="66"/>
      <c r="IB14" s="66"/>
      <c r="IC14" s="66"/>
      <c r="ID14" s="66"/>
      <c r="IE14" s="66"/>
      <c r="IF14" s="66"/>
      <c r="IG14" s="66"/>
      <c r="IH14" s="66"/>
      <c r="II14" s="66"/>
      <c r="IJ14" s="66"/>
      <c r="IK14" s="66"/>
      <c r="IL14" s="66"/>
      <c r="IM14" s="66"/>
      <c r="IN14" s="66"/>
      <c r="IO14" s="66"/>
      <c r="IP14" s="66"/>
      <c r="IQ14" s="66"/>
      <c r="IR14" s="66"/>
      <c r="IS14" s="66"/>
      <c r="IT14" s="66"/>
      <c r="IU14" s="66"/>
      <c r="IV14" s="66"/>
      <c r="IW14" s="66"/>
    </row>
    <row r="15" spans="1:257" s="111" customFormat="1" ht="18" customHeight="1">
      <c r="A15" s="66"/>
      <c r="B15" s="1492" t="s">
        <v>1088</v>
      </c>
      <c r="C15" s="1493"/>
      <c r="D15" s="1500" t="s">
        <v>1089</v>
      </c>
      <c r="E15" s="1500"/>
      <c r="F15" s="1500"/>
      <c r="G15" s="1500"/>
      <c r="H15" s="1500"/>
      <c r="I15" s="1500"/>
      <c r="J15" s="1500"/>
      <c r="K15" s="1500"/>
      <c r="L15" s="1500"/>
      <c r="M15" s="1500"/>
      <c r="N15" s="1500"/>
      <c r="O15" s="1500"/>
      <c r="P15" s="1500"/>
      <c r="Q15" s="1500"/>
      <c r="R15" s="1500"/>
      <c r="S15" s="1501"/>
      <c r="X15" s="66"/>
      <c r="Y15" s="66"/>
      <c r="Z15" s="66"/>
      <c r="AA15" s="66"/>
      <c r="AB15" s="66"/>
      <c r="AC15" s="66"/>
      <c r="AD15" s="66"/>
      <c r="AE15" s="66"/>
      <c r="AF15" s="66"/>
      <c r="AG15" s="66"/>
      <c r="AH15" s="66"/>
      <c r="AI15" s="66"/>
      <c r="AJ15" s="66"/>
      <c r="AK15" s="66"/>
      <c r="AL15" s="66"/>
      <c r="AM15" s="66"/>
      <c r="AN15" s="66"/>
      <c r="AO15" s="66"/>
      <c r="AP15" s="66"/>
      <c r="AQ15" s="66"/>
      <c r="AR15" s="66"/>
      <c r="AS15" s="66"/>
      <c r="AT15" s="66"/>
      <c r="AU15" s="66"/>
      <c r="AV15" s="66"/>
      <c r="AW15" s="66"/>
      <c r="AX15" s="66"/>
      <c r="AY15" s="66"/>
      <c r="AZ15" s="66"/>
      <c r="BA15" s="66"/>
      <c r="BB15" s="66"/>
      <c r="BC15" s="66"/>
      <c r="BD15" s="66"/>
      <c r="BE15" s="66"/>
      <c r="BF15" s="66"/>
      <c r="BG15" s="66"/>
      <c r="BH15" s="66"/>
      <c r="BI15" s="66"/>
      <c r="BJ15" s="66"/>
      <c r="BK15" s="66"/>
      <c r="BL15" s="66"/>
      <c r="BM15" s="66"/>
      <c r="BN15" s="66"/>
      <c r="BO15" s="66"/>
      <c r="BP15" s="66"/>
      <c r="BQ15" s="66"/>
      <c r="BR15" s="66"/>
      <c r="BS15" s="66"/>
      <c r="BT15" s="66"/>
      <c r="BU15" s="66"/>
      <c r="BV15" s="66"/>
      <c r="BW15" s="66"/>
      <c r="BX15" s="66"/>
      <c r="BY15" s="66"/>
      <c r="BZ15" s="66"/>
      <c r="CA15" s="66"/>
      <c r="CB15" s="66"/>
      <c r="CC15" s="66"/>
      <c r="CD15" s="66"/>
      <c r="CE15" s="66"/>
      <c r="CF15" s="66"/>
      <c r="CG15" s="66"/>
      <c r="CH15" s="66"/>
      <c r="CI15" s="66"/>
      <c r="CJ15" s="66"/>
      <c r="CK15" s="66"/>
      <c r="CL15" s="66"/>
      <c r="CM15" s="66"/>
      <c r="CN15" s="66"/>
      <c r="CO15" s="66"/>
      <c r="CP15" s="66"/>
      <c r="CQ15" s="66"/>
      <c r="CR15" s="66"/>
      <c r="CS15" s="66"/>
      <c r="CT15" s="66"/>
      <c r="CU15" s="66"/>
      <c r="CV15" s="66"/>
      <c r="CW15" s="66"/>
      <c r="CX15" s="66"/>
      <c r="CY15" s="66"/>
      <c r="CZ15" s="66"/>
      <c r="DA15" s="66"/>
      <c r="DB15" s="66"/>
      <c r="DC15" s="66"/>
      <c r="DD15" s="66"/>
      <c r="DE15" s="66"/>
      <c r="DF15" s="66"/>
      <c r="DG15" s="66"/>
      <c r="DH15" s="66"/>
      <c r="DI15" s="66"/>
      <c r="DJ15" s="66"/>
      <c r="DK15" s="66"/>
      <c r="DL15" s="66"/>
      <c r="DM15" s="66"/>
      <c r="DN15" s="66"/>
      <c r="DO15" s="66"/>
      <c r="DP15" s="66"/>
      <c r="DQ15" s="66"/>
      <c r="DR15" s="66"/>
      <c r="DS15" s="66"/>
      <c r="DT15" s="66"/>
      <c r="DU15" s="66"/>
      <c r="DV15" s="66"/>
      <c r="DW15" s="66"/>
      <c r="DX15" s="66"/>
      <c r="DY15" s="66"/>
      <c r="DZ15" s="66"/>
      <c r="EA15" s="66"/>
      <c r="EB15" s="66"/>
      <c r="EC15" s="66"/>
      <c r="ED15" s="66"/>
      <c r="EE15" s="66"/>
      <c r="EF15" s="66"/>
      <c r="EG15" s="66"/>
      <c r="EH15" s="66"/>
      <c r="EI15" s="66"/>
      <c r="EJ15" s="66"/>
      <c r="EK15" s="66"/>
      <c r="EL15" s="66"/>
      <c r="EM15" s="66"/>
      <c r="EN15" s="66"/>
      <c r="EO15" s="66"/>
      <c r="EP15" s="66"/>
      <c r="EQ15" s="66"/>
      <c r="ER15" s="66"/>
      <c r="ES15" s="66"/>
      <c r="ET15" s="66"/>
      <c r="EU15" s="66"/>
      <c r="EV15" s="66"/>
      <c r="EW15" s="66"/>
      <c r="EX15" s="66"/>
      <c r="EY15" s="66"/>
      <c r="EZ15" s="66"/>
      <c r="FA15" s="66"/>
      <c r="FB15" s="66"/>
      <c r="FC15" s="66"/>
      <c r="FD15" s="66"/>
      <c r="FE15" s="66"/>
      <c r="FF15" s="66"/>
      <c r="FG15" s="66"/>
      <c r="FH15" s="66"/>
      <c r="FI15" s="66"/>
      <c r="FJ15" s="66"/>
      <c r="FK15" s="66"/>
      <c r="FL15" s="66"/>
      <c r="FM15" s="66"/>
      <c r="FN15" s="66"/>
      <c r="FO15" s="66"/>
      <c r="FP15" s="66"/>
      <c r="FQ15" s="66"/>
      <c r="FR15" s="66"/>
      <c r="FS15" s="66"/>
      <c r="FT15" s="66"/>
      <c r="FU15" s="66"/>
      <c r="FV15" s="66"/>
      <c r="FW15" s="66"/>
      <c r="FX15" s="66"/>
      <c r="FY15" s="66"/>
      <c r="FZ15" s="66"/>
      <c r="GA15" s="66"/>
      <c r="GB15" s="66"/>
      <c r="GC15" s="66"/>
      <c r="GD15" s="66"/>
      <c r="GE15" s="66"/>
      <c r="GF15" s="66"/>
      <c r="GG15" s="66"/>
      <c r="GH15" s="66"/>
      <c r="GI15" s="66"/>
      <c r="GJ15" s="66"/>
      <c r="GK15" s="66"/>
      <c r="GL15" s="66"/>
      <c r="GM15" s="66"/>
      <c r="GN15" s="66"/>
      <c r="GO15" s="66"/>
      <c r="GP15" s="66"/>
      <c r="GQ15" s="66"/>
      <c r="GR15" s="66"/>
      <c r="GS15" s="66"/>
      <c r="GT15" s="66"/>
      <c r="GU15" s="66"/>
      <c r="GV15" s="66"/>
      <c r="GW15" s="66"/>
      <c r="GX15" s="66"/>
      <c r="GY15" s="66"/>
      <c r="GZ15" s="66"/>
      <c r="HA15" s="66"/>
      <c r="HB15" s="66"/>
      <c r="HC15" s="66"/>
      <c r="HD15" s="66"/>
      <c r="HE15" s="66"/>
      <c r="HF15" s="66"/>
      <c r="HG15" s="66"/>
      <c r="HH15" s="66"/>
      <c r="HI15" s="66"/>
      <c r="HJ15" s="66"/>
      <c r="HK15" s="66"/>
      <c r="HL15" s="66"/>
      <c r="HM15" s="66"/>
      <c r="HN15" s="66"/>
      <c r="HO15" s="66"/>
      <c r="HP15" s="66"/>
      <c r="HQ15" s="66"/>
      <c r="HR15" s="66"/>
      <c r="HS15" s="66"/>
      <c r="HT15" s="66"/>
      <c r="HU15" s="66"/>
      <c r="HV15" s="66"/>
      <c r="HW15" s="66"/>
      <c r="HX15" s="66"/>
      <c r="HY15" s="66"/>
      <c r="HZ15" s="66"/>
      <c r="IA15" s="66"/>
      <c r="IB15" s="66"/>
      <c r="IC15" s="66"/>
      <c r="ID15" s="66"/>
      <c r="IE15" s="66"/>
      <c r="IF15" s="66"/>
      <c r="IG15" s="66"/>
      <c r="IH15" s="66"/>
      <c r="II15" s="66"/>
      <c r="IJ15" s="66"/>
      <c r="IK15" s="66"/>
      <c r="IL15" s="66"/>
      <c r="IM15" s="66"/>
      <c r="IN15" s="66"/>
      <c r="IO15" s="66"/>
      <c r="IP15" s="66"/>
      <c r="IQ15" s="66"/>
      <c r="IR15" s="66"/>
      <c r="IS15" s="66"/>
      <c r="IT15" s="66"/>
      <c r="IU15" s="66"/>
      <c r="IV15" s="66"/>
      <c r="IW15" s="66"/>
    </row>
    <row r="16" spans="1:257" s="111" customFormat="1" ht="18" customHeight="1" thickBot="1">
      <c r="A16" s="66"/>
      <c r="B16" s="1494" t="s">
        <v>1090</v>
      </c>
      <c r="C16" s="1495"/>
      <c r="D16" s="1502" t="s">
        <v>1091</v>
      </c>
      <c r="E16" s="1502"/>
      <c r="F16" s="1502"/>
      <c r="G16" s="1502"/>
      <c r="H16" s="1502"/>
      <c r="I16" s="1502"/>
      <c r="J16" s="1502"/>
      <c r="K16" s="1502"/>
      <c r="L16" s="1502"/>
      <c r="M16" s="1502"/>
      <c r="N16" s="1502"/>
      <c r="O16" s="1502"/>
      <c r="P16" s="1502"/>
      <c r="Q16" s="1502"/>
      <c r="R16" s="1502"/>
      <c r="S16" s="1503"/>
      <c r="X16" s="66"/>
      <c r="Y16" s="66"/>
      <c r="Z16" s="66"/>
      <c r="AA16" s="66"/>
      <c r="AB16" s="66"/>
      <c r="AC16" s="66"/>
      <c r="AD16" s="66"/>
      <c r="AE16" s="66"/>
      <c r="AF16" s="66"/>
      <c r="AG16" s="66"/>
      <c r="AH16" s="66"/>
      <c r="AI16" s="66"/>
      <c r="AJ16" s="66"/>
      <c r="AK16" s="66"/>
      <c r="AL16" s="66"/>
      <c r="AM16" s="66"/>
      <c r="AN16" s="66"/>
      <c r="AO16" s="66"/>
      <c r="AP16" s="66"/>
      <c r="AQ16" s="66"/>
      <c r="AR16" s="66"/>
      <c r="AS16" s="66"/>
      <c r="AT16" s="66"/>
      <c r="AU16" s="66"/>
      <c r="AV16" s="66"/>
      <c r="AW16" s="66"/>
      <c r="AX16" s="66"/>
      <c r="AY16" s="66"/>
      <c r="AZ16" s="66"/>
      <c r="BA16" s="66"/>
      <c r="BB16" s="66"/>
      <c r="BC16" s="66"/>
      <c r="BD16" s="66"/>
      <c r="BE16" s="66"/>
      <c r="BF16" s="66"/>
      <c r="BG16" s="66"/>
      <c r="BH16" s="66"/>
      <c r="BI16" s="66"/>
      <c r="BJ16" s="66"/>
      <c r="BK16" s="66"/>
      <c r="BL16" s="66"/>
      <c r="BM16" s="66"/>
      <c r="BN16" s="66"/>
      <c r="BO16" s="66"/>
      <c r="BP16" s="66"/>
      <c r="BQ16" s="66"/>
      <c r="BR16" s="66"/>
      <c r="BS16" s="66"/>
      <c r="BT16" s="66"/>
      <c r="BU16" s="66"/>
      <c r="BV16" s="66"/>
      <c r="BW16" s="66"/>
      <c r="BX16" s="66"/>
      <c r="BY16" s="66"/>
      <c r="BZ16" s="66"/>
      <c r="CA16" s="66"/>
      <c r="CB16" s="66"/>
      <c r="CC16" s="66"/>
      <c r="CD16" s="66"/>
      <c r="CE16" s="66"/>
      <c r="CF16" s="66"/>
      <c r="CG16" s="66"/>
      <c r="CH16" s="66"/>
      <c r="CI16" s="66"/>
      <c r="CJ16" s="66"/>
      <c r="CK16" s="66"/>
      <c r="CL16" s="66"/>
      <c r="CM16" s="66"/>
      <c r="CN16" s="66"/>
      <c r="CO16" s="66"/>
      <c r="CP16" s="66"/>
      <c r="CQ16" s="66"/>
      <c r="CR16" s="66"/>
      <c r="CS16" s="66"/>
      <c r="CT16" s="66"/>
      <c r="CU16" s="66"/>
      <c r="CV16" s="66"/>
      <c r="CW16" s="66"/>
      <c r="CX16" s="66"/>
      <c r="CY16" s="66"/>
      <c r="CZ16" s="66"/>
      <c r="DA16" s="66"/>
      <c r="DB16" s="66"/>
      <c r="DC16" s="66"/>
      <c r="DD16" s="66"/>
      <c r="DE16" s="66"/>
      <c r="DF16" s="66"/>
      <c r="DG16" s="66"/>
      <c r="DH16" s="66"/>
      <c r="DI16" s="66"/>
      <c r="DJ16" s="66"/>
      <c r="DK16" s="66"/>
      <c r="DL16" s="66"/>
      <c r="DM16" s="66"/>
      <c r="DN16" s="66"/>
      <c r="DO16" s="66"/>
      <c r="DP16" s="66"/>
      <c r="DQ16" s="66"/>
      <c r="DR16" s="66"/>
      <c r="DS16" s="66"/>
      <c r="DT16" s="66"/>
      <c r="DU16" s="66"/>
      <c r="DV16" s="66"/>
      <c r="DW16" s="66"/>
      <c r="DX16" s="66"/>
      <c r="DY16" s="66"/>
      <c r="DZ16" s="66"/>
      <c r="EA16" s="66"/>
      <c r="EB16" s="66"/>
      <c r="EC16" s="66"/>
      <c r="ED16" s="66"/>
      <c r="EE16" s="66"/>
      <c r="EF16" s="66"/>
      <c r="EG16" s="66"/>
      <c r="EH16" s="66"/>
      <c r="EI16" s="66"/>
      <c r="EJ16" s="66"/>
      <c r="EK16" s="66"/>
      <c r="EL16" s="66"/>
      <c r="EM16" s="66"/>
      <c r="EN16" s="66"/>
      <c r="EO16" s="66"/>
      <c r="EP16" s="66"/>
      <c r="EQ16" s="66"/>
      <c r="ER16" s="66"/>
      <c r="ES16" s="66"/>
      <c r="ET16" s="66"/>
      <c r="EU16" s="66"/>
      <c r="EV16" s="66"/>
      <c r="EW16" s="66"/>
      <c r="EX16" s="66"/>
      <c r="EY16" s="66"/>
      <c r="EZ16" s="66"/>
      <c r="FA16" s="66"/>
      <c r="FB16" s="66"/>
      <c r="FC16" s="66"/>
      <c r="FD16" s="66"/>
      <c r="FE16" s="66"/>
      <c r="FF16" s="66"/>
      <c r="FG16" s="66"/>
      <c r="FH16" s="66"/>
      <c r="FI16" s="66"/>
      <c r="FJ16" s="66"/>
      <c r="FK16" s="66"/>
      <c r="FL16" s="66"/>
      <c r="FM16" s="66"/>
      <c r="FN16" s="66"/>
      <c r="FO16" s="66"/>
      <c r="FP16" s="66"/>
      <c r="FQ16" s="66"/>
      <c r="FR16" s="66"/>
      <c r="FS16" s="66"/>
      <c r="FT16" s="66"/>
      <c r="FU16" s="66"/>
      <c r="FV16" s="66"/>
      <c r="FW16" s="66"/>
      <c r="FX16" s="66"/>
      <c r="FY16" s="66"/>
      <c r="FZ16" s="66"/>
      <c r="GA16" s="66"/>
      <c r="GB16" s="66"/>
      <c r="GC16" s="66"/>
      <c r="GD16" s="66"/>
      <c r="GE16" s="66"/>
      <c r="GF16" s="66"/>
      <c r="GG16" s="66"/>
      <c r="GH16" s="66"/>
      <c r="GI16" s="66"/>
      <c r="GJ16" s="66"/>
      <c r="GK16" s="66"/>
      <c r="GL16" s="66"/>
      <c r="GM16" s="66"/>
      <c r="GN16" s="66"/>
      <c r="GO16" s="66"/>
      <c r="GP16" s="66"/>
      <c r="GQ16" s="66"/>
      <c r="GR16" s="66"/>
      <c r="GS16" s="66"/>
      <c r="GT16" s="66"/>
      <c r="GU16" s="66"/>
      <c r="GV16" s="66"/>
      <c r="GW16" s="66"/>
      <c r="GX16" s="66"/>
      <c r="GY16" s="66"/>
      <c r="GZ16" s="66"/>
      <c r="HA16" s="66"/>
      <c r="HB16" s="66"/>
      <c r="HC16" s="66"/>
      <c r="HD16" s="66"/>
      <c r="HE16" s="66"/>
      <c r="HF16" s="66"/>
      <c r="HG16" s="66"/>
      <c r="HH16" s="66"/>
      <c r="HI16" s="66"/>
      <c r="HJ16" s="66"/>
      <c r="HK16" s="66"/>
      <c r="HL16" s="66"/>
      <c r="HM16" s="66"/>
      <c r="HN16" s="66"/>
      <c r="HO16" s="66"/>
      <c r="HP16" s="66"/>
      <c r="HQ16" s="66"/>
      <c r="HR16" s="66"/>
      <c r="HS16" s="66"/>
      <c r="HT16" s="66"/>
      <c r="HU16" s="66"/>
      <c r="HV16" s="66"/>
      <c r="HW16" s="66"/>
      <c r="HX16" s="66"/>
      <c r="HY16" s="66"/>
      <c r="HZ16" s="66"/>
      <c r="IA16" s="66"/>
      <c r="IB16" s="66"/>
      <c r="IC16" s="66"/>
      <c r="ID16" s="66"/>
      <c r="IE16" s="66"/>
      <c r="IF16" s="66"/>
      <c r="IG16" s="66"/>
      <c r="IH16" s="66"/>
      <c r="II16" s="66"/>
      <c r="IJ16" s="66"/>
      <c r="IK16" s="66"/>
      <c r="IL16" s="66"/>
      <c r="IM16" s="66"/>
      <c r="IN16" s="66"/>
      <c r="IO16" s="66"/>
      <c r="IP16" s="66"/>
      <c r="IQ16" s="66"/>
      <c r="IR16" s="66"/>
      <c r="IS16" s="66"/>
      <c r="IT16" s="66"/>
      <c r="IU16" s="66"/>
      <c r="IV16" s="66"/>
      <c r="IW16" s="66"/>
    </row>
    <row r="17" spans="1:257" s="111" customFormat="1" ht="18" customHeight="1">
      <c r="A17" s="66"/>
      <c r="B17" s="502"/>
      <c r="C17" s="502"/>
      <c r="D17" s="502"/>
      <c r="E17" s="502"/>
      <c r="F17" s="502"/>
      <c r="G17" s="502"/>
      <c r="H17" s="502"/>
      <c r="I17" s="502"/>
      <c r="J17" s="502"/>
      <c r="K17" s="502"/>
      <c r="L17" s="502"/>
      <c r="M17" s="967"/>
      <c r="N17" s="967"/>
      <c r="O17" s="967"/>
      <c r="P17" s="967"/>
      <c r="Q17" s="967"/>
      <c r="R17" s="66"/>
      <c r="S17" s="66"/>
      <c r="T17" s="66"/>
      <c r="U17" s="66"/>
      <c r="V17" s="66"/>
      <c r="W17" s="66"/>
      <c r="X17" s="66"/>
      <c r="Y17" s="66"/>
      <c r="Z17" s="66"/>
      <c r="AA17" s="66"/>
      <c r="AB17" s="66"/>
      <c r="AC17" s="66"/>
      <c r="AD17" s="66"/>
      <c r="AE17" s="66"/>
      <c r="AF17" s="66"/>
      <c r="AG17" s="66"/>
      <c r="AH17" s="66"/>
      <c r="AI17" s="66"/>
      <c r="AJ17" s="66"/>
      <c r="AK17" s="66"/>
      <c r="AL17" s="66"/>
      <c r="AM17" s="66"/>
      <c r="AN17" s="66"/>
      <c r="AO17" s="66"/>
      <c r="AP17" s="66"/>
      <c r="AQ17" s="66"/>
      <c r="AR17" s="66"/>
      <c r="AS17" s="66"/>
      <c r="AT17" s="66"/>
      <c r="AU17" s="66"/>
      <c r="AV17" s="66"/>
      <c r="AW17" s="66"/>
      <c r="AX17" s="66"/>
      <c r="AY17" s="66"/>
      <c r="AZ17" s="66"/>
      <c r="BA17" s="66"/>
      <c r="BB17" s="66"/>
      <c r="BC17" s="66"/>
      <c r="BD17" s="66"/>
      <c r="BE17" s="66"/>
      <c r="BF17" s="66"/>
      <c r="BG17" s="66"/>
      <c r="BH17" s="66"/>
      <c r="BI17" s="66"/>
      <c r="BJ17" s="66"/>
      <c r="BK17" s="66"/>
      <c r="BL17" s="66"/>
      <c r="BM17" s="66"/>
      <c r="BN17" s="66"/>
      <c r="BO17" s="66"/>
      <c r="BP17" s="66"/>
      <c r="BQ17" s="66"/>
      <c r="BR17" s="66"/>
      <c r="BS17" s="66"/>
      <c r="BT17" s="66"/>
      <c r="BU17" s="66"/>
      <c r="BV17" s="66"/>
      <c r="BW17" s="66"/>
      <c r="BX17" s="66"/>
      <c r="BY17" s="66"/>
      <c r="BZ17" s="66"/>
      <c r="CA17" s="66"/>
      <c r="CB17" s="66"/>
      <c r="CC17" s="66"/>
      <c r="CD17" s="66"/>
      <c r="CE17" s="66"/>
      <c r="CF17" s="66"/>
      <c r="CG17" s="66"/>
      <c r="CH17" s="66"/>
      <c r="CI17" s="66"/>
      <c r="CJ17" s="66"/>
      <c r="CK17" s="66"/>
      <c r="CL17" s="66"/>
      <c r="CM17" s="66"/>
      <c r="CN17" s="66"/>
      <c r="CO17" s="66"/>
      <c r="CP17" s="66"/>
      <c r="CQ17" s="66"/>
      <c r="CR17" s="66"/>
      <c r="CS17" s="66"/>
      <c r="CT17" s="66"/>
      <c r="CU17" s="66"/>
      <c r="CV17" s="66"/>
      <c r="CW17" s="66"/>
      <c r="CX17" s="66"/>
      <c r="CY17" s="66"/>
      <c r="CZ17" s="66"/>
      <c r="DA17" s="66"/>
      <c r="DB17" s="66"/>
      <c r="DC17" s="66"/>
      <c r="DD17" s="66"/>
      <c r="DE17" s="66"/>
      <c r="DF17" s="66"/>
      <c r="DG17" s="66"/>
      <c r="DH17" s="66"/>
      <c r="DI17" s="66"/>
      <c r="DJ17" s="66"/>
      <c r="DK17" s="66"/>
      <c r="DL17" s="66"/>
      <c r="DM17" s="66"/>
      <c r="DN17" s="66"/>
      <c r="DO17" s="66"/>
      <c r="DP17" s="66"/>
      <c r="DQ17" s="66"/>
      <c r="DR17" s="66"/>
      <c r="DS17" s="66"/>
      <c r="DT17" s="66"/>
      <c r="DU17" s="66"/>
      <c r="DV17" s="66"/>
      <c r="DW17" s="66"/>
      <c r="DX17" s="66"/>
      <c r="DY17" s="66"/>
      <c r="DZ17" s="66"/>
      <c r="EA17" s="66"/>
      <c r="EB17" s="66"/>
      <c r="EC17" s="66"/>
      <c r="ED17" s="66"/>
      <c r="EE17" s="66"/>
      <c r="EF17" s="66"/>
      <c r="EG17" s="66"/>
      <c r="EH17" s="66"/>
      <c r="EI17" s="66"/>
      <c r="EJ17" s="66"/>
      <c r="EK17" s="66"/>
      <c r="EL17" s="66"/>
      <c r="EM17" s="66"/>
      <c r="EN17" s="66"/>
      <c r="EO17" s="66"/>
      <c r="EP17" s="66"/>
      <c r="EQ17" s="66"/>
      <c r="ER17" s="66"/>
      <c r="ES17" s="66"/>
      <c r="ET17" s="66"/>
      <c r="EU17" s="66"/>
      <c r="EV17" s="66"/>
      <c r="EW17" s="66"/>
      <c r="EX17" s="66"/>
      <c r="EY17" s="66"/>
      <c r="EZ17" s="66"/>
      <c r="FA17" s="66"/>
      <c r="FB17" s="66"/>
      <c r="FC17" s="66"/>
      <c r="FD17" s="66"/>
      <c r="FE17" s="66"/>
      <c r="FF17" s="66"/>
      <c r="FG17" s="66"/>
      <c r="FH17" s="66"/>
      <c r="FI17" s="66"/>
      <c r="FJ17" s="66"/>
      <c r="FK17" s="66"/>
      <c r="FL17" s="66"/>
      <c r="FM17" s="66"/>
      <c r="FN17" s="66"/>
      <c r="FO17" s="66"/>
      <c r="FP17" s="66"/>
      <c r="FQ17" s="66"/>
      <c r="FR17" s="66"/>
      <c r="FS17" s="66"/>
      <c r="FT17" s="66"/>
      <c r="FU17" s="66"/>
      <c r="FV17" s="66"/>
      <c r="FW17" s="66"/>
      <c r="FX17" s="66"/>
      <c r="FY17" s="66"/>
      <c r="FZ17" s="66"/>
      <c r="GA17" s="66"/>
      <c r="GB17" s="66"/>
      <c r="GC17" s="66"/>
      <c r="GD17" s="66"/>
      <c r="GE17" s="66"/>
      <c r="GF17" s="66"/>
      <c r="GG17" s="66"/>
      <c r="GH17" s="66"/>
      <c r="GI17" s="66"/>
      <c r="GJ17" s="66"/>
      <c r="GK17" s="66"/>
      <c r="GL17" s="66"/>
      <c r="GM17" s="66"/>
      <c r="GN17" s="66"/>
      <c r="GO17" s="66"/>
      <c r="GP17" s="66"/>
      <c r="GQ17" s="66"/>
      <c r="GR17" s="66"/>
      <c r="GS17" s="66"/>
      <c r="GT17" s="66"/>
      <c r="GU17" s="66"/>
      <c r="GV17" s="66"/>
      <c r="GW17" s="66"/>
      <c r="GX17" s="66"/>
      <c r="GY17" s="66"/>
      <c r="GZ17" s="66"/>
      <c r="HA17" s="66"/>
      <c r="HB17" s="66"/>
      <c r="HC17" s="66"/>
      <c r="HD17" s="66"/>
      <c r="HE17" s="66"/>
      <c r="HF17" s="66"/>
      <c r="HG17" s="66"/>
      <c r="HH17" s="66"/>
      <c r="HI17" s="66"/>
      <c r="HJ17" s="66"/>
      <c r="HK17" s="66"/>
      <c r="HL17" s="66"/>
      <c r="HM17" s="66"/>
      <c r="HN17" s="66"/>
      <c r="HO17" s="66"/>
      <c r="HP17" s="66"/>
      <c r="HQ17" s="66"/>
      <c r="HR17" s="66"/>
      <c r="HS17" s="66"/>
      <c r="HT17" s="66"/>
      <c r="HU17" s="66"/>
      <c r="HV17" s="66"/>
      <c r="HW17" s="66"/>
      <c r="HX17" s="66"/>
      <c r="HY17" s="66"/>
      <c r="HZ17" s="66"/>
      <c r="IA17" s="66"/>
      <c r="IB17" s="66"/>
      <c r="IC17" s="66"/>
      <c r="ID17" s="66"/>
      <c r="IE17" s="66"/>
      <c r="IF17" s="66"/>
      <c r="IG17" s="66"/>
      <c r="IH17" s="66"/>
      <c r="II17" s="66"/>
      <c r="IJ17" s="66"/>
      <c r="IK17" s="66"/>
      <c r="IL17" s="66"/>
      <c r="IM17" s="66"/>
      <c r="IN17" s="66"/>
      <c r="IO17" s="66"/>
      <c r="IP17" s="66"/>
      <c r="IQ17" s="66"/>
      <c r="IR17" s="66"/>
      <c r="IS17" s="66"/>
      <c r="IT17" s="66"/>
      <c r="IU17" s="66"/>
      <c r="IV17" s="66"/>
      <c r="IW17" s="66"/>
    </row>
    <row r="18" spans="1:257" s="110" customFormat="1" ht="18" customHeight="1" thickBot="1">
      <c r="A18" s="65"/>
      <c r="B18" s="67" t="s">
        <v>1092</v>
      </c>
      <c r="C18" s="67"/>
      <c r="D18" s="65"/>
      <c r="E18" s="65"/>
      <c r="F18" s="65"/>
      <c r="G18" s="66"/>
      <c r="H18" s="66"/>
      <c r="I18" s="66"/>
      <c r="J18" s="66"/>
      <c r="K18" s="66"/>
      <c r="L18" s="66"/>
      <c r="M18" s="65"/>
      <c r="N18" s="65"/>
      <c r="O18" s="65"/>
      <c r="P18" s="65"/>
      <c r="Q18" s="65"/>
      <c r="R18" s="65"/>
      <c r="S18" s="65"/>
      <c r="T18" s="65"/>
      <c r="U18" s="65"/>
      <c r="V18" s="65"/>
      <c r="W18" s="65"/>
      <c r="X18" s="65"/>
      <c r="Y18" s="65"/>
      <c r="Z18" s="65"/>
      <c r="AA18" s="65"/>
      <c r="AB18" s="65"/>
      <c r="AC18" s="65"/>
      <c r="AD18" s="65"/>
      <c r="AE18" s="65"/>
      <c r="AF18" s="65"/>
      <c r="AG18" s="65"/>
      <c r="AH18" s="65"/>
      <c r="AI18" s="65"/>
      <c r="AJ18" s="65"/>
      <c r="AK18" s="65"/>
      <c r="AL18" s="65"/>
      <c r="AM18" s="65"/>
      <c r="AN18" s="65"/>
      <c r="AO18" s="65"/>
      <c r="AP18" s="65"/>
      <c r="AQ18" s="65"/>
      <c r="AR18" s="65"/>
      <c r="AS18" s="65"/>
      <c r="AT18" s="65"/>
      <c r="AU18" s="65"/>
      <c r="AV18" s="65"/>
      <c r="AW18" s="65"/>
      <c r="AX18" s="65"/>
      <c r="AY18" s="65"/>
      <c r="AZ18" s="65"/>
      <c r="BA18" s="65"/>
      <c r="BB18" s="65"/>
      <c r="BC18" s="65"/>
      <c r="BD18" s="65"/>
      <c r="BE18" s="65"/>
      <c r="BF18" s="65"/>
      <c r="BG18" s="65"/>
      <c r="BH18" s="65"/>
      <c r="BI18" s="65"/>
      <c r="BJ18" s="65"/>
      <c r="BK18" s="65"/>
      <c r="BL18" s="65"/>
      <c r="BM18" s="65"/>
      <c r="BN18" s="65"/>
      <c r="BO18" s="65"/>
      <c r="BP18" s="65"/>
      <c r="BQ18" s="65"/>
      <c r="BR18" s="65"/>
      <c r="BS18" s="65"/>
      <c r="BT18" s="65"/>
      <c r="BU18" s="65"/>
      <c r="BV18" s="65"/>
      <c r="BW18" s="65"/>
      <c r="BX18" s="65"/>
      <c r="BY18" s="65"/>
      <c r="BZ18" s="65"/>
      <c r="CA18" s="65"/>
      <c r="CB18" s="65"/>
      <c r="CC18" s="65"/>
      <c r="CD18" s="65"/>
      <c r="CE18" s="65"/>
      <c r="CF18" s="65"/>
      <c r="CG18" s="65"/>
      <c r="CH18" s="65"/>
      <c r="CI18" s="65"/>
      <c r="CJ18" s="65"/>
      <c r="CK18" s="65"/>
      <c r="CL18" s="65"/>
      <c r="CM18" s="65"/>
      <c r="CN18" s="65"/>
      <c r="CO18" s="65"/>
      <c r="CP18" s="65"/>
      <c r="CQ18" s="65"/>
      <c r="CR18" s="65"/>
      <c r="CS18" s="65"/>
      <c r="CT18" s="65"/>
      <c r="CU18" s="65"/>
      <c r="CV18" s="65"/>
      <c r="CW18" s="65"/>
      <c r="CX18" s="65"/>
      <c r="CY18" s="65"/>
      <c r="CZ18" s="65"/>
      <c r="DA18" s="65"/>
      <c r="DB18" s="65"/>
      <c r="DC18" s="65"/>
      <c r="DD18" s="65"/>
      <c r="DE18" s="65"/>
      <c r="DF18" s="65"/>
      <c r="DG18" s="65"/>
      <c r="DH18" s="65"/>
      <c r="DI18" s="65"/>
      <c r="DJ18" s="65"/>
      <c r="DK18" s="65"/>
      <c r="DL18" s="65"/>
      <c r="DM18" s="65"/>
      <c r="DN18" s="65"/>
      <c r="DO18" s="65"/>
      <c r="DP18" s="65"/>
      <c r="DQ18" s="65"/>
      <c r="DR18" s="65"/>
      <c r="DS18" s="65"/>
      <c r="DT18" s="65"/>
      <c r="DU18" s="65"/>
      <c r="DV18" s="65"/>
      <c r="DW18" s="65"/>
      <c r="DX18" s="65"/>
      <c r="DY18" s="65"/>
      <c r="DZ18" s="65"/>
      <c r="EA18" s="65"/>
      <c r="EB18" s="65"/>
      <c r="EC18" s="65"/>
      <c r="ED18" s="65"/>
      <c r="EE18" s="65"/>
      <c r="EF18" s="65"/>
      <c r="EG18" s="65"/>
      <c r="EH18" s="65"/>
      <c r="EI18" s="65"/>
      <c r="EJ18" s="65"/>
      <c r="EK18" s="65"/>
      <c r="EL18" s="65"/>
      <c r="EM18" s="65"/>
      <c r="EN18" s="65"/>
      <c r="EO18" s="65"/>
      <c r="EP18" s="65"/>
      <c r="EQ18" s="65"/>
      <c r="ER18" s="65"/>
      <c r="ES18" s="65"/>
      <c r="ET18" s="65"/>
      <c r="EU18" s="65"/>
      <c r="EV18" s="65"/>
      <c r="EW18" s="65"/>
      <c r="EX18" s="65"/>
      <c r="EY18" s="65"/>
      <c r="EZ18" s="65"/>
      <c r="FA18" s="65"/>
      <c r="FB18" s="65"/>
      <c r="FC18" s="65"/>
      <c r="FD18" s="65"/>
      <c r="FE18" s="65"/>
      <c r="FF18" s="65"/>
      <c r="FG18" s="65"/>
      <c r="FH18" s="65"/>
      <c r="FI18" s="65"/>
      <c r="FJ18" s="65"/>
      <c r="FK18" s="65"/>
      <c r="FL18" s="65"/>
      <c r="FM18" s="65"/>
      <c r="FN18" s="65"/>
      <c r="FO18" s="65"/>
      <c r="FP18" s="65"/>
      <c r="FQ18" s="65"/>
      <c r="FR18" s="65"/>
      <c r="FS18" s="65"/>
      <c r="FT18" s="65"/>
      <c r="FU18" s="65"/>
      <c r="FV18" s="65"/>
      <c r="FW18" s="65"/>
      <c r="FX18" s="65"/>
      <c r="FY18" s="65"/>
      <c r="FZ18" s="65"/>
      <c r="GA18" s="65"/>
      <c r="GB18" s="65"/>
      <c r="GC18" s="65"/>
      <c r="GD18" s="65"/>
      <c r="GE18" s="65"/>
      <c r="GF18" s="65"/>
      <c r="GG18" s="65"/>
      <c r="GH18" s="65"/>
      <c r="GI18" s="65"/>
      <c r="GJ18" s="65"/>
      <c r="GK18" s="65"/>
      <c r="GL18" s="65"/>
      <c r="GM18" s="65"/>
      <c r="GN18" s="65"/>
      <c r="GO18" s="65"/>
      <c r="GP18" s="65"/>
      <c r="GQ18" s="65"/>
      <c r="GR18" s="65"/>
      <c r="GS18" s="65"/>
      <c r="GT18" s="65"/>
      <c r="GU18" s="65"/>
      <c r="GV18" s="65"/>
      <c r="GW18" s="65"/>
      <c r="GX18" s="65"/>
      <c r="GY18" s="65"/>
      <c r="GZ18" s="65"/>
      <c r="HA18" s="65"/>
      <c r="HB18" s="65"/>
      <c r="HC18" s="65"/>
      <c r="HD18" s="65"/>
      <c r="HE18" s="65"/>
      <c r="HF18" s="65"/>
      <c r="HG18" s="65"/>
      <c r="HH18" s="65"/>
      <c r="HI18" s="65"/>
      <c r="HJ18" s="65"/>
      <c r="HK18" s="65"/>
      <c r="HL18" s="65"/>
      <c r="HM18" s="65"/>
      <c r="HN18" s="65"/>
      <c r="HO18" s="65"/>
      <c r="HP18" s="65"/>
      <c r="HQ18" s="65"/>
      <c r="HR18" s="65"/>
      <c r="HS18" s="65"/>
      <c r="HT18" s="65"/>
      <c r="HU18" s="65"/>
      <c r="HV18" s="65"/>
      <c r="HW18" s="65"/>
      <c r="HX18" s="65"/>
      <c r="HY18" s="65"/>
      <c r="HZ18" s="65"/>
      <c r="IA18" s="65"/>
      <c r="IB18" s="65"/>
      <c r="IC18" s="65"/>
      <c r="ID18" s="65"/>
      <c r="IE18" s="65"/>
      <c r="IF18" s="65"/>
      <c r="IG18" s="65"/>
      <c r="IH18" s="65"/>
      <c r="II18" s="65"/>
      <c r="IJ18" s="65"/>
      <c r="IK18" s="65"/>
      <c r="IL18" s="65"/>
      <c r="IM18" s="65"/>
      <c r="IN18" s="65"/>
      <c r="IO18" s="65"/>
      <c r="IP18" s="65"/>
      <c r="IQ18" s="65"/>
      <c r="IR18" s="65"/>
      <c r="IS18" s="65"/>
      <c r="IT18" s="65"/>
      <c r="IU18" s="65"/>
      <c r="IV18" s="65"/>
      <c r="IW18" s="65"/>
    </row>
    <row r="19" spans="1:257" s="110" customFormat="1" ht="18" customHeight="1" thickBot="1">
      <c r="A19" s="65"/>
      <c r="B19" s="1468" t="s">
        <v>1093</v>
      </c>
      <c r="C19" s="1469"/>
      <c r="D19" s="1294" t="s">
        <v>1094</v>
      </c>
      <c r="E19" s="1169"/>
      <c r="F19" s="1169"/>
      <c r="G19" s="1169"/>
      <c r="H19" s="1169"/>
      <c r="I19" s="1169"/>
      <c r="J19" s="1169"/>
      <c r="K19" s="1169"/>
      <c r="L19" s="1170"/>
      <c r="M19" s="1469" t="s">
        <v>1095</v>
      </c>
      <c r="N19" s="1469"/>
      <c r="O19" s="1469"/>
      <c r="P19" s="1469"/>
      <c r="Q19" s="1469"/>
      <c r="R19" s="1469"/>
      <c r="S19" s="1470"/>
      <c r="T19" s="65"/>
      <c r="U19" s="65"/>
      <c r="V19" s="65"/>
      <c r="W19" s="65"/>
      <c r="X19" s="65"/>
      <c r="Y19" s="65"/>
      <c r="Z19" s="65"/>
      <c r="AA19" s="65"/>
      <c r="AB19" s="65"/>
      <c r="AC19" s="65"/>
      <c r="AD19" s="65"/>
      <c r="AE19" s="65"/>
      <c r="AF19" s="65"/>
      <c r="AG19" s="65"/>
      <c r="AH19" s="65"/>
      <c r="AI19" s="65"/>
      <c r="AJ19" s="65"/>
      <c r="AK19" s="65"/>
      <c r="AL19" s="65"/>
      <c r="AM19" s="65"/>
      <c r="AN19" s="65"/>
      <c r="AO19" s="65"/>
      <c r="AP19" s="65"/>
      <c r="AQ19" s="65"/>
      <c r="AR19" s="65"/>
      <c r="AS19" s="65"/>
      <c r="AT19" s="65"/>
      <c r="AU19" s="65"/>
      <c r="AV19" s="65"/>
      <c r="AW19" s="65"/>
      <c r="AX19" s="65"/>
      <c r="AY19" s="65"/>
      <c r="AZ19" s="65"/>
      <c r="BA19" s="65"/>
      <c r="BB19" s="65"/>
      <c r="BC19" s="65"/>
      <c r="BD19" s="65"/>
      <c r="BE19" s="65"/>
      <c r="BF19" s="65"/>
      <c r="BG19" s="65"/>
      <c r="BH19" s="65"/>
      <c r="BI19" s="65"/>
      <c r="BJ19" s="65"/>
      <c r="BK19" s="65"/>
      <c r="BL19" s="65"/>
      <c r="BM19" s="65"/>
      <c r="BN19" s="65"/>
      <c r="BO19" s="65"/>
      <c r="BP19" s="65"/>
      <c r="BQ19" s="65"/>
      <c r="BR19" s="65"/>
      <c r="BS19" s="65"/>
      <c r="BT19" s="65"/>
      <c r="BU19" s="65"/>
      <c r="BV19" s="65"/>
      <c r="BW19" s="65"/>
      <c r="BX19" s="65"/>
      <c r="BY19" s="65"/>
      <c r="BZ19" s="65"/>
      <c r="CA19" s="65"/>
      <c r="CB19" s="65"/>
      <c r="CC19" s="65"/>
      <c r="CD19" s="65"/>
      <c r="CE19" s="65"/>
      <c r="CF19" s="65"/>
      <c r="CG19" s="65"/>
      <c r="CH19" s="65"/>
      <c r="CI19" s="65"/>
      <c r="CJ19" s="65"/>
      <c r="CK19" s="65"/>
      <c r="CL19" s="65"/>
      <c r="CM19" s="65"/>
      <c r="CN19" s="65"/>
      <c r="CO19" s="65"/>
      <c r="CP19" s="65"/>
      <c r="CQ19" s="65"/>
      <c r="CR19" s="65"/>
      <c r="CS19" s="65"/>
      <c r="CT19" s="65"/>
      <c r="CU19" s="65"/>
      <c r="CV19" s="65"/>
      <c r="CW19" s="65"/>
      <c r="CX19" s="65"/>
      <c r="CY19" s="65"/>
      <c r="CZ19" s="65"/>
      <c r="DA19" s="65"/>
      <c r="DB19" s="65"/>
      <c r="DC19" s="65"/>
      <c r="DD19" s="65"/>
      <c r="DE19" s="65"/>
      <c r="DF19" s="65"/>
      <c r="DG19" s="65"/>
      <c r="DH19" s="65"/>
      <c r="DI19" s="65"/>
      <c r="DJ19" s="65"/>
      <c r="DK19" s="65"/>
      <c r="DL19" s="65"/>
      <c r="DM19" s="65"/>
      <c r="DN19" s="65"/>
      <c r="DO19" s="65"/>
      <c r="DP19" s="65"/>
      <c r="DQ19" s="65"/>
      <c r="DR19" s="65"/>
      <c r="DS19" s="65"/>
      <c r="DT19" s="65"/>
      <c r="DU19" s="65"/>
      <c r="DV19" s="65"/>
      <c r="DW19" s="65"/>
      <c r="DX19" s="65"/>
      <c r="DY19" s="65"/>
      <c r="DZ19" s="65"/>
      <c r="EA19" s="65"/>
      <c r="EB19" s="65"/>
      <c r="EC19" s="65"/>
      <c r="ED19" s="65"/>
      <c r="EE19" s="65"/>
      <c r="EF19" s="65"/>
      <c r="EG19" s="65"/>
      <c r="EH19" s="65"/>
      <c r="EI19" s="65"/>
      <c r="EJ19" s="65"/>
      <c r="EK19" s="65"/>
      <c r="EL19" s="65"/>
      <c r="EM19" s="65"/>
      <c r="EN19" s="65"/>
      <c r="EO19" s="65"/>
      <c r="EP19" s="65"/>
      <c r="EQ19" s="65"/>
      <c r="ER19" s="65"/>
      <c r="ES19" s="65"/>
      <c r="ET19" s="65"/>
      <c r="EU19" s="65"/>
      <c r="EV19" s="65"/>
      <c r="EW19" s="65"/>
      <c r="EX19" s="65"/>
      <c r="EY19" s="65"/>
      <c r="EZ19" s="65"/>
      <c r="FA19" s="65"/>
      <c r="FB19" s="65"/>
      <c r="FC19" s="65"/>
      <c r="FD19" s="65"/>
      <c r="FE19" s="65"/>
      <c r="FF19" s="65"/>
      <c r="FG19" s="65"/>
      <c r="FH19" s="65"/>
      <c r="FI19" s="65"/>
      <c r="FJ19" s="65"/>
      <c r="FK19" s="65"/>
      <c r="FL19" s="65"/>
      <c r="FM19" s="65"/>
      <c r="FN19" s="65"/>
      <c r="FO19" s="65"/>
      <c r="FP19" s="65"/>
      <c r="FQ19" s="65"/>
      <c r="FR19" s="65"/>
      <c r="FS19" s="65"/>
      <c r="FT19" s="65"/>
      <c r="FU19" s="65"/>
      <c r="FV19" s="65"/>
      <c r="FW19" s="65"/>
      <c r="FX19" s="65"/>
      <c r="FY19" s="65"/>
      <c r="FZ19" s="65"/>
      <c r="GA19" s="65"/>
      <c r="GB19" s="65"/>
      <c r="GC19" s="65"/>
      <c r="GD19" s="65"/>
      <c r="GE19" s="65"/>
      <c r="GF19" s="65"/>
      <c r="GG19" s="65"/>
      <c r="GH19" s="65"/>
      <c r="GI19" s="65"/>
      <c r="GJ19" s="65"/>
      <c r="GK19" s="65"/>
      <c r="GL19" s="65"/>
      <c r="GM19" s="65"/>
      <c r="GN19" s="65"/>
      <c r="GO19" s="65"/>
      <c r="GP19" s="65"/>
      <c r="GQ19" s="65"/>
      <c r="GR19" s="65"/>
      <c r="GS19" s="65"/>
      <c r="GT19" s="65"/>
      <c r="GU19" s="65"/>
      <c r="GV19" s="65"/>
      <c r="GW19" s="65"/>
      <c r="GX19" s="65"/>
      <c r="GY19" s="65"/>
      <c r="GZ19" s="65"/>
      <c r="HA19" s="65"/>
      <c r="HB19" s="65"/>
      <c r="HC19" s="65"/>
      <c r="HD19" s="65"/>
      <c r="HE19" s="65"/>
      <c r="HF19" s="65"/>
      <c r="HG19" s="65"/>
      <c r="HH19" s="65"/>
      <c r="HI19" s="65"/>
      <c r="HJ19" s="65"/>
      <c r="HK19" s="65"/>
      <c r="HL19" s="65"/>
      <c r="HM19" s="65"/>
      <c r="HN19" s="65"/>
      <c r="HO19" s="65"/>
      <c r="HP19" s="65"/>
      <c r="HQ19" s="65"/>
      <c r="HR19" s="65"/>
      <c r="HS19" s="65"/>
      <c r="HT19" s="65"/>
      <c r="HU19" s="65"/>
      <c r="HV19" s="65"/>
      <c r="HW19" s="65"/>
      <c r="HX19" s="65"/>
      <c r="HY19" s="65"/>
      <c r="HZ19" s="65"/>
      <c r="IA19" s="65"/>
      <c r="IB19" s="65"/>
      <c r="IC19" s="65"/>
      <c r="ID19" s="65"/>
      <c r="IE19" s="65"/>
      <c r="IF19" s="65"/>
      <c r="IG19" s="65"/>
      <c r="IH19" s="65"/>
      <c r="II19" s="65"/>
      <c r="IJ19" s="65"/>
      <c r="IK19" s="65"/>
      <c r="IL19" s="65"/>
      <c r="IM19" s="65"/>
      <c r="IN19" s="65"/>
      <c r="IO19" s="65"/>
      <c r="IP19" s="65"/>
      <c r="IQ19" s="65"/>
      <c r="IR19" s="65"/>
      <c r="IS19" s="65"/>
      <c r="IT19" s="65"/>
      <c r="IU19" s="65"/>
      <c r="IV19" s="65"/>
      <c r="IW19" s="65"/>
    </row>
    <row r="20" spans="1:257" s="110" customFormat="1" ht="18" customHeight="1">
      <c r="A20" s="65"/>
      <c r="B20" s="1265" t="s">
        <v>1096</v>
      </c>
      <c r="C20" s="1266"/>
      <c r="D20" s="1471" t="s">
        <v>1097</v>
      </c>
      <c r="E20" s="1472"/>
      <c r="F20" s="1472"/>
      <c r="G20" s="1472"/>
      <c r="H20" s="1472"/>
      <c r="I20" s="1472"/>
      <c r="J20" s="1472"/>
      <c r="K20" s="1472"/>
      <c r="L20" s="1473"/>
      <c r="M20" s="1474" t="s">
        <v>1098</v>
      </c>
      <c r="N20" s="1475"/>
      <c r="O20" s="1274"/>
      <c r="P20" s="963" t="s">
        <v>1099</v>
      </c>
      <c r="Q20" s="963" t="s">
        <v>1100</v>
      </c>
      <c r="R20" s="196" t="s">
        <v>1101</v>
      </c>
      <c r="S20" s="197" t="s">
        <v>1102</v>
      </c>
      <c r="T20" s="980"/>
      <c r="U20" s="65"/>
      <c r="V20" s="65"/>
      <c r="W20" s="65"/>
      <c r="X20" s="65"/>
      <c r="Y20" s="65"/>
      <c r="Z20" s="65"/>
      <c r="AA20" s="65"/>
      <c r="AB20" s="65"/>
      <c r="AC20" s="65"/>
      <c r="AD20" s="65"/>
      <c r="AE20" s="65"/>
      <c r="AF20" s="65"/>
      <c r="AG20" s="65"/>
      <c r="AH20" s="65"/>
      <c r="AI20" s="65"/>
      <c r="AJ20" s="65"/>
      <c r="AK20" s="65"/>
      <c r="AL20" s="65"/>
      <c r="AM20" s="65"/>
      <c r="AN20" s="65"/>
      <c r="AO20" s="65"/>
      <c r="AP20" s="65"/>
      <c r="AQ20" s="65"/>
      <c r="AR20" s="65"/>
      <c r="AS20" s="65"/>
      <c r="AT20" s="65"/>
      <c r="AU20" s="65"/>
      <c r="AV20" s="65"/>
      <c r="AW20" s="65"/>
      <c r="AX20" s="65"/>
      <c r="AY20" s="65"/>
      <c r="AZ20" s="65"/>
      <c r="BA20" s="65"/>
      <c r="BB20" s="65"/>
      <c r="BC20" s="65"/>
      <c r="BD20" s="65"/>
      <c r="BE20" s="65"/>
      <c r="BF20" s="65"/>
      <c r="BG20" s="65"/>
      <c r="BH20" s="65"/>
      <c r="BI20" s="65"/>
      <c r="BJ20" s="65"/>
      <c r="BK20" s="65"/>
      <c r="BL20" s="65"/>
      <c r="BM20" s="65"/>
      <c r="BN20" s="65"/>
      <c r="BO20" s="65"/>
      <c r="BP20" s="65"/>
      <c r="BQ20" s="65"/>
      <c r="BR20" s="65"/>
      <c r="BS20" s="65"/>
      <c r="BT20" s="65"/>
      <c r="BU20" s="65"/>
      <c r="BV20" s="65"/>
      <c r="BW20" s="65"/>
      <c r="BX20" s="65"/>
      <c r="BY20" s="65"/>
      <c r="BZ20" s="65"/>
      <c r="CA20" s="65"/>
      <c r="CB20" s="65"/>
      <c r="CC20" s="65"/>
      <c r="CD20" s="65"/>
      <c r="CE20" s="65"/>
      <c r="CF20" s="65"/>
      <c r="CG20" s="65"/>
      <c r="CH20" s="65"/>
      <c r="CI20" s="65"/>
      <c r="CJ20" s="65"/>
      <c r="CK20" s="65"/>
      <c r="CL20" s="65"/>
      <c r="CM20" s="65"/>
      <c r="CN20" s="65"/>
      <c r="CO20" s="65"/>
      <c r="CP20" s="65"/>
      <c r="CQ20" s="65"/>
      <c r="CR20" s="65"/>
      <c r="CS20" s="65"/>
      <c r="CT20" s="65"/>
      <c r="CU20" s="65"/>
      <c r="CV20" s="65"/>
      <c r="CW20" s="65"/>
      <c r="CX20" s="65"/>
      <c r="CY20" s="65"/>
      <c r="CZ20" s="65"/>
      <c r="DA20" s="65"/>
      <c r="DB20" s="65"/>
      <c r="DC20" s="65"/>
      <c r="DD20" s="65"/>
      <c r="DE20" s="65"/>
      <c r="DF20" s="65"/>
      <c r="DG20" s="65"/>
      <c r="DH20" s="65"/>
      <c r="DI20" s="65"/>
      <c r="DJ20" s="65"/>
      <c r="DK20" s="65"/>
      <c r="DL20" s="65"/>
      <c r="DM20" s="65"/>
      <c r="DN20" s="65"/>
      <c r="DO20" s="65"/>
      <c r="DP20" s="65"/>
      <c r="DQ20" s="65"/>
      <c r="DR20" s="65"/>
      <c r="DS20" s="65"/>
      <c r="DT20" s="65"/>
      <c r="DU20" s="65"/>
      <c r="DV20" s="65"/>
      <c r="DW20" s="65"/>
      <c r="DX20" s="65"/>
      <c r="DY20" s="65"/>
      <c r="DZ20" s="65"/>
      <c r="EA20" s="65"/>
      <c r="EB20" s="65"/>
      <c r="EC20" s="65"/>
      <c r="ED20" s="65"/>
      <c r="EE20" s="65"/>
      <c r="EF20" s="65"/>
      <c r="EG20" s="65"/>
      <c r="EH20" s="65"/>
      <c r="EI20" s="65"/>
      <c r="EJ20" s="65"/>
      <c r="EK20" s="65"/>
      <c r="EL20" s="65"/>
      <c r="EM20" s="65"/>
      <c r="EN20" s="65"/>
      <c r="EO20" s="65"/>
      <c r="EP20" s="65"/>
      <c r="EQ20" s="65"/>
      <c r="ER20" s="65"/>
      <c r="ES20" s="65"/>
      <c r="ET20" s="65"/>
      <c r="EU20" s="65"/>
      <c r="EV20" s="65"/>
      <c r="EW20" s="65"/>
      <c r="EX20" s="65"/>
      <c r="EY20" s="65"/>
      <c r="EZ20" s="65"/>
      <c r="FA20" s="65"/>
      <c r="FB20" s="65"/>
      <c r="FC20" s="65"/>
      <c r="FD20" s="65"/>
      <c r="FE20" s="65"/>
      <c r="FF20" s="65"/>
      <c r="FG20" s="65"/>
      <c r="FH20" s="65"/>
      <c r="FI20" s="65"/>
      <c r="FJ20" s="65"/>
      <c r="FK20" s="65"/>
      <c r="FL20" s="65"/>
      <c r="FM20" s="65"/>
      <c r="FN20" s="65"/>
      <c r="FO20" s="65"/>
      <c r="FP20" s="65"/>
      <c r="FQ20" s="65"/>
      <c r="FR20" s="65"/>
      <c r="FS20" s="65"/>
      <c r="FT20" s="65"/>
      <c r="FU20" s="65"/>
      <c r="FV20" s="65"/>
      <c r="FW20" s="65"/>
      <c r="FX20" s="65"/>
      <c r="FY20" s="65"/>
      <c r="FZ20" s="65"/>
      <c r="GA20" s="65"/>
      <c r="GB20" s="65"/>
      <c r="GC20" s="65"/>
      <c r="GD20" s="65"/>
      <c r="GE20" s="65"/>
      <c r="GF20" s="65"/>
      <c r="GG20" s="65"/>
      <c r="GH20" s="65"/>
      <c r="GI20" s="65"/>
      <c r="GJ20" s="65"/>
      <c r="GK20" s="65"/>
      <c r="GL20" s="65"/>
      <c r="GM20" s="65"/>
      <c r="GN20" s="65"/>
      <c r="GO20" s="65"/>
      <c r="GP20" s="65"/>
      <c r="GQ20" s="65"/>
      <c r="GR20" s="65"/>
      <c r="GS20" s="65"/>
      <c r="GT20" s="65"/>
      <c r="GU20" s="65"/>
      <c r="GV20" s="65"/>
      <c r="GW20" s="65"/>
      <c r="GX20" s="65"/>
      <c r="GY20" s="65"/>
      <c r="GZ20" s="65"/>
      <c r="HA20" s="65"/>
      <c r="HB20" s="65"/>
      <c r="HC20" s="65"/>
      <c r="HD20" s="65"/>
      <c r="HE20" s="65"/>
      <c r="HF20" s="65"/>
      <c r="HG20" s="65"/>
      <c r="HH20" s="65"/>
      <c r="HI20" s="65"/>
      <c r="HJ20" s="65"/>
      <c r="HK20" s="65"/>
      <c r="HL20" s="65"/>
      <c r="HM20" s="65"/>
      <c r="HN20" s="65"/>
      <c r="HO20" s="65"/>
      <c r="HP20" s="65"/>
      <c r="HQ20" s="65"/>
      <c r="HR20" s="65"/>
      <c r="HS20" s="65"/>
      <c r="HT20" s="65"/>
      <c r="HU20" s="65"/>
      <c r="HV20" s="65"/>
      <c r="HW20" s="65"/>
      <c r="HX20" s="65"/>
      <c r="HY20" s="65"/>
      <c r="HZ20" s="65"/>
      <c r="IA20" s="65"/>
      <c r="IB20" s="65"/>
      <c r="IC20" s="65"/>
      <c r="ID20" s="65"/>
      <c r="IE20" s="65"/>
      <c r="IF20" s="65"/>
      <c r="IG20" s="65"/>
      <c r="IH20" s="65"/>
      <c r="II20" s="65"/>
      <c r="IJ20" s="65"/>
      <c r="IK20" s="65"/>
      <c r="IL20" s="65"/>
      <c r="IM20" s="65"/>
      <c r="IN20" s="65"/>
      <c r="IO20" s="65"/>
      <c r="IP20" s="65"/>
      <c r="IQ20" s="65"/>
      <c r="IR20" s="65"/>
      <c r="IS20" s="65"/>
      <c r="IT20" s="65"/>
      <c r="IU20" s="65"/>
      <c r="IV20" s="65"/>
      <c r="IW20" s="65"/>
    </row>
    <row r="21" spans="1:257" s="110" customFormat="1" ht="18" customHeight="1" thickBot="1">
      <c r="A21" s="65"/>
      <c r="B21" s="1267"/>
      <c r="C21" s="1268"/>
      <c r="D21" s="1271"/>
      <c r="E21" s="1161"/>
      <c r="F21" s="1161"/>
      <c r="G21" s="1161"/>
      <c r="H21" s="1161"/>
      <c r="I21" s="1161"/>
      <c r="J21" s="1161"/>
      <c r="K21" s="1161"/>
      <c r="L21" s="1403"/>
      <c r="M21" s="1476" t="s">
        <v>1103</v>
      </c>
      <c r="N21" s="1476"/>
      <c r="O21" s="1476"/>
      <c r="P21" s="1017">
        <v>2.6</v>
      </c>
      <c r="Q21" s="1017">
        <v>3.6</v>
      </c>
      <c r="R21" s="1018">
        <v>3.8</v>
      </c>
      <c r="S21" s="725">
        <v>4</v>
      </c>
      <c r="T21" s="980"/>
      <c r="U21" s="65"/>
      <c r="V21" s="65"/>
      <c r="W21" s="65"/>
      <c r="X21" s="65"/>
      <c r="Y21" s="65"/>
      <c r="Z21" s="65"/>
      <c r="AA21" s="65"/>
      <c r="AB21" s="65"/>
      <c r="AC21" s="65"/>
      <c r="AD21" s="65"/>
      <c r="AE21" s="65"/>
      <c r="AF21" s="65"/>
      <c r="AG21" s="65"/>
      <c r="AH21" s="65"/>
      <c r="AI21" s="65"/>
      <c r="AJ21" s="65"/>
      <c r="AK21" s="65"/>
      <c r="AL21" s="65"/>
      <c r="AM21" s="65"/>
      <c r="AN21" s="65"/>
      <c r="AO21" s="65"/>
      <c r="AP21" s="65"/>
      <c r="AQ21" s="65"/>
      <c r="AR21" s="65"/>
      <c r="AS21" s="65"/>
      <c r="AT21" s="65"/>
      <c r="AU21" s="65"/>
      <c r="AV21" s="65"/>
      <c r="AW21" s="65"/>
      <c r="AX21" s="65"/>
      <c r="AY21" s="65"/>
      <c r="AZ21" s="65"/>
      <c r="BA21" s="65"/>
      <c r="BB21" s="65"/>
      <c r="BC21" s="65"/>
      <c r="BD21" s="65"/>
      <c r="BE21" s="65"/>
      <c r="BF21" s="65"/>
      <c r="BG21" s="65"/>
      <c r="BH21" s="65"/>
      <c r="BI21" s="65"/>
      <c r="BJ21" s="65"/>
      <c r="BK21" s="65"/>
      <c r="BL21" s="65"/>
      <c r="BM21" s="65"/>
      <c r="BN21" s="65"/>
      <c r="BO21" s="65"/>
      <c r="BP21" s="65"/>
      <c r="BQ21" s="65"/>
      <c r="BR21" s="65"/>
      <c r="BS21" s="65"/>
      <c r="BT21" s="65"/>
      <c r="BU21" s="65"/>
      <c r="BV21" s="65"/>
      <c r="BW21" s="65"/>
      <c r="BX21" s="65"/>
      <c r="BY21" s="65"/>
      <c r="BZ21" s="65"/>
      <c r="CA21" s="65"/>
      <c r="CB21" s="65"/>
      <c r="CC21" s="65"/>
      <c r="CD21" s="65"/>
      <c r="CE21" s="65"/>
      <c r="CF21" s="65"/>
      <c r="CG21" s="65"/>
      <c r="CH21" s="65"/>
      <c r="CI21" s="65"/>
      <c r="CJ21" s="65"/>
      <c r="CK21" s="65"/>
      <c r="CL21" s="65"/>
      <c r="CM21" s="65"/>
      <c r="CN21" s="65"/>
      <c r="CO21" s="65"/>
      <c r="CP21" s="65"/>
      <c r="CQ21" s="65"/>
      <c r="CR21" s="65"/>
      <c r="CS21" s="65"/>
      <c r="CT21" s="65"/>
      <c r="CU21" s="65"/>
      <c r="CV21" s="65"/>
      <c r="CW21" s="65"/>
      <c r="CX21" s="65"/>
      <c r="CY21" s="65"/>
      <c r="CZ21" s="65"/>
      <c r="DA21" s="65"/>
      <c r="DB21" s="65"/>
      <c r="DC21" s="65"/>
      <c r="DD21" s="65"/>
      <c r="DE21" s="65"/>
      <c r="DF21" s="65"/>
      <c r="DG21" s="65"/>
      <c r="DH21" s="65"/>
      <c r="DI21" s="65"/>
      <c r="DJ21" s="65"/>
      <c r="DK21" s="65"/>
      <c r="DL21" s="65"/>
      <c r="DM21" s="65"/>
      <c r="DN21" s="65"/>
      <c r="DO21" s="65"/>
      <c r="DP21" s="65"/>
      <c r="DQ21" s="65"/>
      <c r="DR21" s="65"/>
      <c r="DS21" s="65"/>
      <c r="DT21" s="65"/>
      <c r="DU21" s="65"/>
      <c r="DV21" s="65"/>
      <c r="DW21" s="65"/>
      <c r="DX21" s="65"/>
      <c r="DY21" s="65"/>
      <c r="DZ21" s="65"/>
      <c r="EA21" s="65"/>
      <c r="EB21" s="65"/>
      <c r="EC21" s="65"/>
      <c r="ED21" s="65"/>
      <c r="EE21" s="65"/>
      <c r="EF21" s="65"/>
      <c r="EG21" s="65"/>
      <c r="EH21" s="65"/>
      <c r="EI21" s="65"/>
      <c r="EJ21" s="65"/>
      <c r="EK21" s="65"/>
      <c r="EL21" s="65"/>
      <c r="EM21" s="65"/>
      <c r="EN21" s="65"/>
      <c r="EO21" s="65"/>
      <c r="EP21" s="65"/>
      <c r="EQ21" s="65"/>
      <c r="ER21" s="65"/>
      <c r="ES21" s="65"/>
      <c r="ET21" s="65"/>
      <c r="EU21" s="65"/>
      <c r="EV21" s="65"/>
      <c r="EW21" s="65"/>
      <c r="EX21" s="65"/>
      <c r="EY21" s="65"/>
      <c r="EZ21" s="65"/>
      <c r="FA21" s="65"/>
      <c r="FB21" s="65"/>
      <c r="FC21" s="65"/>
      <c r="FD21" s="65"/>
      <c r="FE21" s="65"/>
      <c r="FF21" s="65"/>
      <c r="FG21" s="65"/>
      <c r="FH21" s="65"/>
      <c r="FI21" s="65"/>
      <c r="FJ21" s="65"/>
      <c r="FK21" s="65"/>
      <c r="FL21" s="65"/>
      <c r="FM21" s="65"/>
      <c r="FN21" s="65"/>
      <c r="FO21" s="65"/>
      <c r="FP21" s="65"/>
      <c r="FQ21" s="65"/>
      <c r="FR21" s="65"/>
      <c r="FS21" s="65"/>
      <c r="FT21" s="65"/>
      <c r="FU21" s="65"/>
      <c r="FV21" s="65"/>
      <c r="FW21" s="65"/>
      <c r="FX21" s="65"/>
      <c r="FY21" s="65"/>
      <c r="FZ21" s="65"/>
      <c r="GA21" s="65"/>
      <c r="GB21" s="65"/>
      <c r="GC21" s="65"/>
      <c r="GD21" s="65"/>
      <c r="GE21" s="65"/>
      <c r="GF21" s="65"/>
      <c r="GG21" s="65"/>
      <c r="GH21" s="65"/>
      <c r="GI21" s="65"/>
      <c r="GJ21" s="65"/>
      <c r="GK21" s="65"/>
      <c r="GL21" s="65"/>
      <c r="GM21" s="65"/>
      <c r="GN21" s="65"/>
      <c r="GO21" s="65"/>
      <c r="GP21" s="65"/>
      <c r="GQ21" s="65"/>
      <c r="GR21" s="65"/>
      <c r="GS21" s="65"/>
      <c r="GT21" s="65"/>
      <c r="GU21" s="65"/>
      <c r="GV21" s="65"/>
      <c r="GW21" s="65"/>
      <c r="GX21" s="65"/>
      <c r="GY21" s="65"/>
      <c r="GZ21" s="65"/>
      <c r="HA21" s="65"/>
      <c r="HB21" s="65"/>
      <c r="HC21" s="65"/>
      <c r="HD21" s="65"/>
      <c r="HE21" s="65"/>
      <c r="HF21" s="65"/>
      <c r="HG21" s="65"/>
      <c r="HH21" s="65"/>
      <c r="HI21" s="65"/>
      <c r="HJ21" s="65"/>
      <c r="HK21" s="65"/>
      <c r="HL21" s="65"/>
      <c r="HM21" s="65"/>
      <c r="HN21" s="65"/>
      <c r="HO21" s="65"/>
      <c r="HP21" s="65"/>
      <c r="HQ21" s="65"/>
      <c r="HR21" s="65"/>
      <c r="HS21" s="65"/>
      <c r="HT21" s="65"/>
      <c r="HU21" s="65"/>
      <c r="HV21" s="65"/>
      <c r="HW21" s="65"/>
      <c r="HX21" s="65"/>
      <c r="HY21" s="65"/>
      <c r="HZ21" s="65"/>
      <c r="IA21" s="65"/>
      <c r="IB21" s="65"/>
      <c r="IC21" s="65"/>
      <c r="ID21" s="65"/>
      <c r="IE21" s="65"/>
      <c r="IF21" s="65"/>
      <c r="IG21" s="65"/>
      <c r="IH21" s="65"/>
      <c r="II21" s="65"/>
      <c r="IJ21" s="65"/>
      <c r="IK21" s="65"/>
      <c r="IL21" s="65"/>
      <c r="IM21" s="65"/>
      <c r="IN21" s="65"/>
      <c r="IO21" s="65"/>
      <c r="IP21" s="65"/>
      <c r="IQ21" s="65"/>
      <c r="IR21" s="65"/>
      <c r="IS21" s="65"/>
      <c r="IT21" s="65"/>
      <c r="IU21" s="65"/>
      <c r="IV21" s="65"/>
      <c r="IW21" s="65"/>
    </row>
    <row r="22" spans="1:257" s="110" customFormat="1" ht="18" customHeight="1" thickBot="1">
      <c r="A22" s="65"/>
      <c r="B22" s="1267"/>
      <c r="C22" s="1268"/>
      <c r="D22" s="1271"/>
      <c r="E22" s="1161"/>
      <c r="F22" s="1161"/>
      <c r="G22" s="1161"/>
      <c r="H22" s="1161"/>
      <c r="I22" s="1161"/>
      <c r="J22" s="1161"/>
      <c r="K22" s="1161"/>
      <c r="L22" s="1403"/>
      <c r="M22" s="1477"/>
      <c r="N22" s="1478"/>
      <c r="O22" s="1478"/>
      <c r="P22" s="1478"/>
      <c r="Q22" s="1478"/>
      <c r="R22" s="1478"/>
      <c r="S22" s="1479"/>
      <c r="T22" s="65"/>
      <c r="U22" s="142"/>
      <c r="V22" s="142"/>
      <c r="W22" s="142"/>
      <c r="X22" s="65"/>
      <c r="Y22" s="65"/>
      <c r="Z22" s="65"/>
      <c r="AA22" s="65"/>
      <c r="AB22" s="65"/>
      <c r="AC22" s="65"/>
      <c r="AD22" s="65"/>
      <c r="AE22" s="65"/>
      <c r="AF22" s="65"/>
      <c r="AG22" s="65"/>
      <c r="AH22" s="65"/>
      <c r="AI22" s="65"/>
      <c r="AJ22" s="65"/>
      <c r="AK22" s="65"/>
      <c r="AL22" s="65"/>
      <c r="AM22" s="65"/>
      <c r="AN22" s="65"/>
      <c r="AO22" s="65"/>
      <c r="AP22" s="65"/>
      <c r="AQ22" s="65"/>
      <c r="AR22" s="65"/>
      <c r="AS22" s="65"/>
      <c r="AT22" s="65"/>
      <c r="AU22" s="65"/>
      <c r="AV22" s="65"/>
      <c r="AW22" s="65"/>
      <c r="AX22" s="65"/>
      <c r="AY22" s="65"/>
      <c r="AZ22" s="65"/>
      <c r="BA22" s="65"/>
      <c r="BB22" s="65"/>
      <c r="BC22" s="65"/>
      <c r="BD22" s="65"/>
      <c r="BE22" s="65"/>
      <c r="BF22" s="65"/>
      <c r="BG22" s="65"/>
      <c r="BH22" s="65"/>
      <c r="BI22" s="65"/>
      <c r="BJ22" s="65"/>
      <c r="BK22" s="65"/>
      <c r="BL22" s="65"/>
      <c r="BM22" s="65"/>
      <c r="BN22" s="65"/>
      <c r="BO22" s="65"/>
      <c r="BP22" s="65"/>
      <c r="BQ22" s="65"/>
      <c r="BR22" s="65"/>
      <c r="BS22" s="65"/>
      <c r="BT22" s="65"/>
      <c r="BU22" s="65"/>
      <c r="BV22" s="65"/>
      <c r="BW22" s="65"/>
      <c r="BX22" s="65"/>
      <c r="BY22" s="65"/>
      <c r="BZ22" s="65"/>
      <c r="CA22" s="65"/>
      <c r="CB22" s="65"/>
      <c r="CC22" s="65"/>
      <c r="CD22" s="65"/>
      <c r="CE22" s="65"/>
      <c r="CF22" s="65"/>
      <c r="CG22" s="65"/>
      <c r="CH22" s="65"/>
      <c r="CI22" s="65"/>
      <c r="CJ22" s="65"/>
      <c r="CK22" s="65"/>
      <c r="CL22" s="65"/>
      <c r="CM22" s="65"/>
      <c r="CN22" s="65"/>
      <c r="CO22" s="65"/>
      <c r="CP22" s="65"/>
      <c r="CQ22" s="65"/>
      <c r="CR22" s="65"/>
      <c r="CS22" s="65"/>
      <c r="CT22" s="65"/>
      <c r="CU22" s="65"/>
      <c r="CV22" s="65"/>
      <c r="CW22" s="65"/>
      <c r="CX22" s="65"/>
      <c r="CY22" s="65"/>
      <c r="CZ22" s="65"/>
      <c r="DA22" s="65"/>
      <c r="DB22" s="65"/>
      <c r="DC22" s="65"/>
      <c r="DD22" s="65"/>
      <c r="DE22" s="65"/>
      <c r="DF22" s="65"/>
      <c r="DG22" s="65"/>
      <c r="DH22" s="65"/>
      <c r="DI22" s="65"/>
      <c r="DJ22" s="65"/>
      <c r="DK22" s="65"/>
      <c r="DL22" s="65"/>
      <c r="DM22" s="65"/>
      <c r="DN22" s="65"/>
      <c r="DO22" s="65"/>
      <c r="DP22" s="65"/>
      <c r="DQ22" s="65"/>
      <c r="DR22" s="65"/>
      <c r="DS22" s="65"/>
      <c r="DT22" s="65"/>
      <c r="DU22" s="65"/>
      <c r="DV22" s="65"/>
      <c r="DW22" s="65"/>
      <c r="DX22" s="65"/>
      <c r="DY22" s="65"/>
      <c r="DZ22" s="65"/>
      <c r="EA22" s="65"/>
      <c r="EB22" s="65"/>
      <c r="EC22" s="65"/>
      <c r="ED22" s="65"/>
      <c r="EE22" s="65"/>
      <c r="EF22" s="65"/>
      <c r="EG22" s="65"/>
      <c r="EH22" s="65"/>
      <c r="EI22" s="65"/>
      <c r="EJ22" s="65"/>
      <c r="EK22" s="65"/>
      <c r="EL22" s="65"/>
      <c r="EM22" s="65"/>
      <c r="EN22" s="65"/>
      <c r="EO22" s="65"/>
      <c r="EP22" s="65"/>
      <c r="EQ22" s="65"/>
      <c r="ER22" s="65"/>
      <c r="ES22" s="65"/>
      <c r="ET22" s="65"/>
      <c r="EU22" s="65"/>
      <c r="EV22" s="65"/>
      <c r="EW22" s="65"/>
      <c r="EX22" s="65"/>
      <c r="EY22" s="65"/>
      <c r="EZ22" s="65"/>
      <c r="FA22" s="65"/>
      <c r="FB22" s="65"/>
      <c r="FC22" s="65"/>
      <c r="FD22" s="65"/>
      <c r="FE22" s="65"/>
      <c r="FF22" s="65"/>
      <c r="FG22" s="65"/>
      <c r="FH22" s="65"/>
      <c r="FI22" s="65"/>
      <c r="FJ22" s="65"/>
      <c r="FK22" s="65"/>
      <c r="FL22" s="65"/>
      <c r="FM22" s="65"/>
      <c r="FN22" s="65"/>
      <c r="FO22" s="65"/>
      <c r="FP22" s="65"/>
      <c r="FQ22" s="65"/>
      <c r="FR22" s="65"/>
      <c r="FS22" s="65"/>
      <c r="FT22" s="65"/>
      <c r="FU22" s="65"/>
      <c r="FV22" s="65"/>
      <c r="FW22" s="65"/>
      <c r="FX22" s="65"/>
      <c r="FY22" s="65"/>
      <c r="FZ22" s="65"/>
      <c r="GA22" s="65"/>
      <c r="GB22" s="65"/>
      <c r="GC22" s="65"/>
      <c r="GD22" s="65"/>
      <c r="GE22" s="65"/>
      <c r="GF22" s="65"/>
      <c r="GG22" s="65"/>
      <c r="GH22" s="65"/>
      <c r="GI22" s="65"/>
      <c r="GJ22" s="65"/>
      <c r="GK22" s="65"/>
      <c r="GL22" s="65"/>
      <c r="GM22" s="65"/>
      <c r="GN22" s="65"/>
      <c r="GO22" s="65"/>
      <c r="GP22" s="65"/>
      <c r="GQ22" s="65"/>
      <c r="GR22" s="65"/>
      <c r="GS22" s="65"/>
      <c r="GT22" s="65"/>
      <c r="GU22" s="65"/>
      <c r="GV22" s="65"/>
      <c r="GW22" s="65"/>
      <c r="GX22" s="65"/>
      <c r="GY22" s="65"/>
      <c r="GZ22" s="65"/>
      <c r="HA22" s="65"/>
      <c r="HB22" s="65"/>
      <c r="HC22" s="65"/>
      <c r="HD22" s="65"/>
      <c r="HE22" s="65"/>
      <c r="HF22" s="65"/>
      <c r="HG22" s="65"/>
      <c r="HH22" s="65"/>
      <c r="HI22" s="65"/>
      <c r="HJ22" s="65"/>
      <c r="HK22" s="65"/>
      <c r="HL22" s="65"/>
      <c r="HM22" s="65"/>
      <c r="HN22" s="65"/>
      <c r="HO22" s="65"/>
      <c r="HP22" s="65"/>
      <c r="HQ22" s="65"/>
      <c r="HR22" s="65"/>
      <c r="HS22" s="65"/>
      <c r="HT22" s="65"/>
      <c r="HU22" s="65"/>
      <c r="HV22" s="65"/>
      <c r="HW22" s="65"/>
      <c r="HX22" s="65"/>
      <c r="HY22" s="65"/>
      <c r="HZ22" s="65"/>
      <c r="IA22" s="65"/>
      <c r="IB22" s="65"/>
      <c r="IC22" s="65"/>
      <c r="ID22" s="65"/>
      <c r="IE22" s="65"/>
      <c r="IF22" s="65"/>
      <c r="IG22" s="65"/>
      <c r="IH22" s="65"/>
      <c r="II22" s="65"/>
      <c r="IJ22" s="65"/>
      <c r="IK22" s="65"/>
      <c r="IL22" s="65"/>
      <c r="IM22" s="65"/>
      <c r="IN22" s="65"/>
      <c r="IO22" s="65"/>
      <c r="IP22" s="65"/>
      <c r="IQ22" s="65"/>
      <c r="IR22" s="65"/>
      <c r="IS22" s="65"/>
      <c r="IT22" s="65"/>
      <c r="IU22" s="65"/>
      <c r="IV22" s="65"/>
      <c r="IW22" s="65"/>
    </row>
    <row r="23" spans="1:257" ht="18" customHeight="1">
      <c r="B23" s="1267"/>
      <c r="C23" s="1268"/>
      <c r="D23" s="1271"/>
      <c r="E23" s="1161"/>
      <c r="F23" s="1161"/>
      <c r="G23" s="1161"/>
      <c r="H23" s="1161"/>
      <c r="I23" s="1161"/>
      <c r="J23" s="1161"/>
      <c r="K23" s="1161"/>
      <c r="L23" s="1403"/>
      <c r="M23" s="1480" t="s">
        <v>1104</v>
      </c>
      <c r="N23" s="1480"/>
      <c r="O23" s="1480"/>
      <c r="P23" s="1019" t="s">
        <v>1105</v>
      </c>
      <c r="Q23" s="1020" t="s">
        <v>1106</v>
      </c>
      <c r="R23" s="1020" t="s">
        <v>1107</v>
      </c>
      <c r="S23" s="1021" t="s">
        <v>1108</v>
      </c>
    </row>
    <row r="24" spans="1:257" ht="18" customHeight="1">
      <c r="B24" s="1267"/>
      <c r="C24" s="1268"/>
      <c r="D24" s="1271"/>
      <c r="E24" s="1161"/>
      <c r="F24" s="1161"/>
      <c r="G24" s="1161"/>
      <c r="H24" s="1161"/>
      <c r="I24" s="1161"/>
      <c r="J24" s="1161"/>
      <c r="K24" s="1161"/>
      <c r="L24" s="1403"/>
      <c r="M24" s="1481" t="s">
        <v>1109</v>
      </c>
      <c r="N24" s="1482"/>
      <c r="O24" s="970" t="s">
        <v>1110</v>
      </c>
      <c r="P24" s="1022" t="s">
        <v>1111</v>
      </c>
      <c r="Q24" s="1023" t="s">
        <v>1112</v>
      </c>
      <c r="R24" s="726" t="s">
        <v>1113</v>
      </c>
      <c r="S24" s="727" t="s">
        <v>1114</v>
      </c>
    </row>
    <row r="25" spans="1:257" ht="18" customHeight="1">
      <c r="B25" s="1267"/>
      <c r="C25" s="1268"/>
      <c r="D25" s="1271"/>
      <c r="E25" s="1161"/>
      <c r="F25" s="1161"/>
      <c r="G25" s="1161"/>
      <c r="H25" s="1161"/>
      <c r="I25" s="1161"/>
      <c r="J25" s="1161"/>
      <c r="K25" s="1161"/>
      <c r="L25" s="1403"/>
      <c r="M25" s="1483"/>
      <c r="N25" s="1484"/>
      <c r="O25" s="970" t="s">
        <v>1115</v>
      </c>
      <c r="P25" s="1022" t="s">
        <v>1112</v>
      </c>
      <c r="Q25" s="1023" t="s">
        <v>1113</v>
      </c>
      <c r="R25" s="726" t="s">
        <v>1116</v>
      </c>
      <c r="S25" s="727" t="s">
        <v>1117</v>
      </c>
    </row>
    <row r="26" spans="1:257" ht="18" customHeight="1" thickBot="1">
      <c r="B26" s="1267"/>
      <c r="C26" s="1268"/>
      <c r="D26" s="1271"/>
      <c r="E26" s="1161"/>
      <c r="F26" s="1161"/>
      <c r="G26" s="1161"/>
      <c r="H26" s="1161"/>
      <c r="I26" s="1161"/>
      <c r="J26" s="1161"/>
      <c r="K26" s="1161"/>
      <c r="L26" s="1403"/>
      <c r="M26" s="1458"/>
      <c r="N26" s="1485"/>
      <c r="O26" s="971" t="s">
        <v>1118</v>
      </c>
      <c r="P26" s="1024" t="s">
        <v>1113</v>
      </c>
      <c r="Q26" s="1025" t="s">
        <v>1116</v>
      </c>
      <c r="R26" s="1026" t="s">
        <v>1119</v>
      </c>
      <c r="S26" s="1027" t="s">
        <v>1120</v>
      </c>
    </row>
    <row r="27" spans="1:257" s="110" customFormat="1" ht="18" customHeight="1" thickBot="1">
      <c r="A27" s="65"/>
      <c r="B27" s="1267"/>
      <c r="C27" s="1268"/>
      <c r="D27" s="1486" t="s">
        <v>1121</v>
      </c>
      <c r="E27" s="1486"/>
      <c r="F27" s="1486"/>
      <c r="G27" s="1486"/>
      <c r="H27" s="1486"/>
      <c r="I27" s="1486"/>
      <c r="J27" s="1486"/>
      <c r="K27" s="1486"/>
      <c r="L27" s="1486"/>
      <c r="M27" s="1487"/>
      <c r="N27" s="1488"/>
      <c r="O27" s="1488"/>
      <c r="P27" s="1489"/>
      <c r="Q27" s="1490"/>
      <c r="R27" s="1488"/>
      <c r="S27" s="1491"/>
      <c r="T27" s="65"/>
      <c r="U27" s="65"/>
      <c r="V27" s="65"/>
      <c r="W27" s="65"/>
      <c r="X27" s="65"/>
      <c r="Y27" s="65"/>
      <c r="Z27" s="65"/>
      <c r="AA27" s="65"/>
      <c r="AB27" s="65"/>
      <c r="AC27" s="65"/>
      <c r="AD27" s="65"/>
      <c r="AE27" s="65"/>
      <c r="AF27" s="65"/>
      <c r="AG27" s="65"/>
      <c r="AH27" s="65"/>
      <c r="AI27" s="65"/>
      <c r="AJ27" s="65"/>
      <c r="AK27" s="65"/>
      <c r="AL27" s="65"/>
      <c r="AM27" s="65"/>
      <c r="AN27" s="65"/>
      <c r="AO27" s="65"/>
      <c r="AP27" s="65"/>
      <c r="AQ27" s="65"/>
      <c r="AR27" s="65"/>
      <c r="AS27" s="65"/>
      <c r="AT27" s="65"/>
      <c r="AU27" s="65"/>
      <c r="AV27" s="65"/>
      <c r="AW27" s="65"/>
      <c r="AX27" s="65"/>
      <c r="AY27" s="65"/>
      <c r="AZ27" s="65"/>
      <c r="BA27" s="65"/>
      <c r="BB27" s="65"/>
      <c r="BC27" s="65"/>
      <c r="BD27" s="65"/>
      <c r="BE27" s="65"/>
      <c r="BF27" s="65"/>
      <c r="BG27" s="65"/>
      <c r="BH27" s="65"/>
      <c r="BI27" s="65"/>
      <c r="BJ27" s="65"/>
      <c r="BK27" s="65"/>
      <c r="BL27" s="65"/>
      <c r="BM27" s="65"/>
      <c r="BN27" s="65"/>
      <c r="BO27" s="65"/>
      <c r="BP27" s="65"/>
      <c r="BQ27" s="65"/>
      <c r="BR27" s="65"/>
      <c r="BS27" s="65"/>
      <c r="BT27" s="65"/>
      <c r="BU27" s="65"/>
      <c r="BV27" s="65"/>
      <c r="BW27" s="65"/>
      <c r="BX27" s="65"/>
      <c r="BY27" s="65"/>
      <c r="BZ27" s="65"/>
      <c r="CA27" s="65"/>
      <c r="CB27" s="65"/>
      <c r="CC27" s="65"/>
      <c r="CD27" s="65"/>
      <c r="CE27" s="65"/>
      <c r="CF27" s="65"/>
      <c r="CG27" s="65"/>
      <c r="CH27" s="65"/>
      <c r="CI27" s="65"/>
      <c r="CJ27" s="65"/>
      <c r="CK27" s="65"/>
      <c r="CL27" s="65"/>
      <c r="CM27" s="65"/>
      <c r="CN27" s="65"/>
      <c r="CO27" s="65"/>
      <c r="CP27" s="65"/>
      <c r="CQ27" s="65"/>
      <c r="CR27" s="65"/>
      <c r="CS27" s="65"/>
      <c r="CT27" s="65"/>
      <c r="CU27" s="65"/>
      <c r="CV27" s="65"/>
      <c r="CW27" s="65"/>
      <c r="CX27" s="65"/>
      <c r="CY27" s="65"/>
      <c r="CZ27" s="65"/>
      <c r="DA27" s="65"/>
      <c r="DB27" s="65"/>
      <c r="DC27" s="65"/>
      <c r="DD27" s="65"/>
      <c r="DE27" s="65"/>
      <c r="DF27" s="65"/>
      <c r="DG27" s="65"/>
      <c r="DH27" s="65"/>
      <c r="DI27" s="65"/>
      <c r="DJ27" s="65"/>
      <c r="DK27" s="65"/>
      <c r="DL27" s="65"/>
      <c r="DM27" s="65"/>
      <c r="DN27" s="65"/>
      <c r="DO27" s="65"/>
      <c r="DP27" s="65"/>
      <c r="DQ27" s="65"/>
      <c r="DR27" s="65"/>
      <c r="DS27" s="65"/>
      <c r="DT27" s="65"/>
      <c r="DU27" s="65"/>
      <c r="DV27" s="65"/>
      <c r="DW27" s="65"/>
      <c r="DX27" s="65"/>
      <c r="DY27" s="65"/>
      <c r="DZ27" s="65"/>
      <c r="EA27" s="65"/>
      <c r="EB27" s="65"/>
      <c r="EC27" s="65"/>
      <c r="ED27" s="65"/>
      <c r="EE27" s="65"/>
      <c r="EF27" s="65"/>
      <c r="EG27" s="65"/>
      <c r="EH27" s="65"/>
      <c r="EI27" s="65"/>
      <c r="EJ27" s="65"/>
      <c r="EK27" s="65"/>
      <c r="EL27" s="65"/>
      <c r="EM27" s="65"/>
      <c r="EN27" s="65"/>
      <c r="EO27" s="65"/>
      <c r="EP27" s="65"/>
      <c r="EQ27" s="65"/>
      <c r="ER27" s="65"/>
      <c r="ES27" s="65"/>
      <c r="ET27" s="65"/>
      <c r="EU27" s="65"/>
      <c r="EV27" s="65"/>
      <c r="EW27" s="65"/>
      <c r="EX27" s="65"/>
      <c r="EY27" s="65"/>
      <c r="EZ27" s="65"/>
      <c r="FA27" s="65"/>
      <c r="FB27" s="65"/>
      <c r="FC27" s="65"/>
      <c r="FD27" s="65"/>
      <c r="FE27" s="65"/>
      <c r="FF27" s="65"/>
      <c r="FG27" s="65"/>
      <c r="FH27" s="65"/>
      <c r="FI27" s="65"/>
      <c r="FJ27" s="65"/>
      <c r="FK27" s="65"/>
      <c r="FL27" s="65"/>
      <c r="FM27" s="65"/>
      <c r="FN27" s="65"/>
      <c r="FO27" s="65"/>
      <c r="FP27" s="65"/>
      <c r="FQ27" s="65"/>
      <c r="FR27" s="65"/>
      <c r="FS27" s="65"/>
      <c r="FT27" s="65"/>
      <c r="FU27" s="65"/>
      <c r="FV27" s="65"/>
      <c r="FW27" s="65"/>
      <c r="FX27" s="65"/>
      <c r="FY27" s="65"/>
      <c r="FZ27" s="65"/>
      <c r="GA27" s="65"/>
      <c r="GB27" s="65"/>
      <c r="GC27" s="65"/>
      <c r="GD27" s="65"/>
      <c r="GE27" s="65"/>
      <c r="GF27" s="65"/>
      <c r="GG27" s="65"/>
      <c r="GH27" s="65"/>
      <c r="GI27" s="65"/>
      <c r="GJ27" s="65"/>
      <c r="GK27" s="65"/>
      <c r="GL27" s="65"/>
      <c r="GM27" s="65"/>
      <c r="GN27" s="65"/>
      <c r="GO27" s="65"/>
      <c r="GP27" s="65"/>
      <c r="GQ27" s="65"/>
      <c r="GR27" s="65"/>
      <c r="GS27" s="65"/>
      <c r="GT27" s="65"/>
      <c r="GU27" s="65"/>
      <c r="GV27" s="65"/>
      <c r="GW27" s="65"/>
      <c r="GX27" s="65"/>
      <c r="GY27" s="65"/>
      <c r="GZ27" s="65"/>
      <c r="HA27" s="65"/>
      <c r="HB27" s="65"/>
      <c r="HC27" s="65"/>
      <c r="HD27" s="65"/>
      <c r="HE27" s="65"/>
      <c r="HF27" s="65"/>
      <c r="HG27" s="65"/>
      <c r="HH27" s="65"/>
      <c r="HI27" s="65"/>
      <c r="HJ27" s="65"/>
      <c r="HK27" s="65"/>
      <c r="HL27" s="65"/>
      <c r="HM27" s="65"/>
      <c r="HN27" s="65"/>
      <c r="HO27" s="65"/>
      <c r="HP27" s="65"/>
      <c r="HQ27" s="65"/>
      <c r="HR27" s="65"/>
      <c r="HS27" s="65"/>
      <c r="HT27" s="65"/>
      <c r="HU27" s="65"/>
      <c r="HV27" s="65"/>
      <c r="HW27" s="65"/>
      <c r="HX27" s="65"/>
      <c r="HY27" s="65"/>
      <c r="HZ27" s="65"/>
      <c r="IA27" s="65"/>
      <c r="IB27" s="65"/>
      <c r="IC27" s="65"/>
      <c r="ID27" s="65"/>
      <c r="IE27" s="65"/>
      <c r="IF27" s="65"/>
      <c r="IG27" s="65"/>
      <c r="IH27" s="65"/>
      <c r="II27" s="65"/>
      <c r="IJ27" s="65"/>
      <c r="IK27" s="65"/>
      <c r="IL27" s="65"/>
      <c r="IM27" s="65"/>
      <c r="IN27" s="65"/>
      <c r="IO27" s="65"/>
      <c r="IP27" s="65"/>
      <c r="IQ27" s="65"/>
      <c r="IR27" s="65"/>
      <c r="IS27" s="65"/>
      <c r="IT27" s="65"/>
      <c r="IU27" s="65"/>
      <c r="IV27" s="65"/>
      <c r="IW27" s="65"/>
    </row>
    <row r="28" spans="1:257" s="110" customFormat="1" ht="18" customHeight="1">
      <c r="A28" s="65"/>
      <c r="B28" s="1265" t="s">
        <v>1122</v>
      </c>
      <c r="C28" s="1266"/>
      <c r="D28" s="1456" t="s">
        <v>1123</v>
      </c>
      <c r="E28" s="1284"/>
      <c r="F28" s="1284"/>
      <c r="G28" s="1284"/>
      <c r="H28" s="1284"/>
      <c r="I28" s="1284"/>
      <c r="J28" s="1284"/>
      <c r="K28" s="1284"/>
      <c r="L28" s="1401"/>
      <c r="M28" s="969" t="s">
        <v>1124</v>
      </c>
      <c r="N28" s="1458" t="s">
        <v>1125</v>
      </c>
      <c r="O28" s="1459"/>
      <c r="P28" s="1460" t="s">
        <v>1126</v>
      </c>
      <c r="Q28" s="1461"/>
      <c r="R28" s="1462" t="s">
        <v>1127</v>
      </c>
      <c r="S28" s="1462"/>
      <c r="T28" s="1028"/>
      <c r="U28" s="65"/>
      <c r="V28" s="65"/>
      <c r="W28" s="65"/>
      <c r="X28" s="65"/>
      <c r="Y28" s="65"/>
      <c r="Z28" s="65"/>
      <c r="AA28" s="65"/>
      <c r="AB28" s="65"/>
      <c r="AC28" s="65"/>
      <c r="AD28" s="65"/>
      <c r="AE28" s="65"/>
      <c r="AF28" s="65"/>
      <c r="AG28" s="65"/>
      <c r="AH28" s="65"/>
      <c r="AI28" s="65"/>
      <c r="AJ28" s="65"/>
      <c r="AK28" s="65"/>
      <c r="AL28" s="65"/>
      <c r="AM28" s="65"/>
      <c r="AN28" s="65"/>
      <c r="AO28" s="65"/>
      <c r="AP28" s="65"/>
      <c r="AQ28" s="65"/>
      <c r="AR28" s="65"/>
      <c r="AS28" s="65"/>
      <c r="AT28" s="65"/>
      <c r="AU28" s="65"/>
      <c r="AV28" s="65"/>
      <c r="AW28" s="65"/>
      <c r="AX28" s="65"/>
      <c r="AY28" s="65"/>
      <c r="AZ28" s="65"/>
      <c r="BA28" s="65"/>
      <c r="BB28" s="65"/>
      <c r="BC28" s="65"/>
      <c r="BD28" s="65"/>
      <c r="BE28" s="65"/>
      <c r="BF28" s="65"/>
      <c r="BG28" s="65"/>
      <c r="BH28" s="65"/>
      <c r="BI28" s="65"/>
      <c r="BJ28" s="65"/>
      <c r="BK28" s="65"/>
      <c r="BL28" s="65"/>
      <c r="BM28" s="65"/>
      <c r="BN28" s="65"/>
      <c r="BO28" s="65"/>
      <c r="BP28" s="65"/>
      <c r="BQ28" s="65"/>
      <c r="BR28" s="65"/>
      <c r="BS28" s="65"/>
      <c r="BT28" s="65"/>
      <c r="BU28" s="65"/>
      <c r="BV28" s="65"/>
      <c r="BW28" s="65"/>
      <c r="BX28" s="65"/>
      <c r="BY28" s="65"/>
      <c r="BZ28" s="65"/>
      <c r="CA28" s="65"/>
      <c r="CB28" s="65"/>
      <c r="CC28" s="65"/>
      <c r="CD28" s="65"/>
      <c r="CE28" s="65"/>
      <c r="CF28" s="65"/>
      <c r="CG28" s="65"/>
      <c r="CH28" s="65"/>
      <c r="CI28" s="65"/>
      <c r="CJ28" s="65"/>
      <c r="CK28" s="65"/>
      <c r="CL28" s="65"/>
      <c r="CM28" s="65"/>
      <c r="CN28" s="65"/>
      <c r="CO28" s="65"/>
      <c r="CP28" s="65"/>
      <c r="CQ28" s="65"/>
      <c r="CR28" s="65"/>
      <c r="CS28" s="65"/>
      <c r="CT28" s="65"/>
      <c r="CU28" s="65"/>
      <c r="CV28" s="65"/>
      <c r="CW28" s="65"/>
      <c r="CX28" s="65"/>
      <c r="CY28" s="65"/>
      <c r="CZ28" s="65"/>
      <c r="DA28" s="65"/>
      <c r="DB28" s="65"/>
      <c r="DC28" s="65"/>
      <c r="DD28" s="65"/>
      <c r="DE28" s="65"/>
      <c r="DF28" s="65"/>
      <c r="DG28" s="65"/>
      <c r="DH28" s="65"/>
      <c r="DI28" s="65"/>
      <c r="DJ28" s="65"/>
      <c r="DK28" s="65"/>
      <c r="DL28" s="65"/>
      <c r="DM28" s="65"/>
      <c r="DN28" s="65"/>
      <c r="DO28" s="65"/>
      <c r="DP28" s="65"/>
      <c r="DQ28" s="65"/>
      <c r="DR28" s="65"/>
      <c r="DS28" s="65"/>
      <c r="DT28" s="65"/>
      <c r="DU28" s="65"/>
      <c r="DV28" s="65"/>
      <c r="DW28" s="65"/>
      <c r="DX28" s="65"/>
      <c r="DY28" s="65"/>
      <c r="DZ28" s="65"/>
      <c r="EA28" s="65"/>
      <c r="EB28" s="65"/>
      <c r="EC28" s="65"/>
      <c r="ED28" s="65"/>
      <c r="EE28" s="65"/>
      <c r="EF28" s="65"/>
      <c r="EG28" s="65"/>
      <c r="EH28" s="65"/>
      <c r="EI28" s="65"/>
      <c r="EJ28" s="65"/>
      <c r="EK28" s="65"/>
      <c r="EL28" s="65"/>
      <c r="EM28" s="65"/>
      <c r="EN28" s="65"/>
      <c r="EO28" s="65"/>
      <c r="EP28" s="65"/>
      <c r="EQ28" s="65"/>
      <c r="ER28" s="65"/>
      <c r="ES28" s="65"/>
      <c r="ET28" s="65"/>
      <c r="EU28" s="65"/>
      <c r="EV28" s="65"/>
      <c r="EW28" s="65"/>
      <c r="EX28" s="65"/>
      <c r="EY28" s="65"/>
      <c r="EZ28" s="65"/>
      <c r="FA28" s="65"/>
      <c r="FB28" s="65"/>
      <c r="FC28" s="65"/>
      <c r="FD28" s="65"/>
      <c r="FE28" s="65"/>
      <c r="FF28" s="65"/>
      <c r="FG28" s="65"/>
      <c r="FH28" s="65"/>
      <c r="FI28" s="65"/>
      <c r="FJ28" s="65"/>
      <c r="FK28" s="65"/>
      <c r="FL28" s="65"/>
      <c r="FM28" s="65"/>
      <c r="FN28" s="65"/>
      <c r="FO28" s="65"/>
      <c r="FP28" s="65"/>
      <c r="FQ28" s="65"/>
      <c r="FR28" s="65"/>
      <c r="FS28" s="65"/>
      <c r="FT28" s="65"/>
      <c r="FU28" s="65"/>
      <c r="FV28" s="65"/>
      <c r="FW28" s="65"/>
      <c r="FX28" s="65"/>
      <c r="FY28" s="65"/>
      <c r="FZ28" s="65"/>
      <c r="GA28" s="65"/>
      <c r="GB28" s="65"/>
      <c r="GC28" s="65"/>
      <c r="GD28" s="65"/>
      <c r="GE28" s="65"/>
      <c r="GF28" s="65"/>
      <c r="GG28" s="65"/>
      <c r="GH28" s="65"/>
      <c r="GI28" s="65"/>
      <c r="GJ28" s="65"/>
      <c r="GK28" s="65"/>
      <c r="GL28" s="65"/>
      <c r="GM28" s="65"/>
      <c r="GN28" s="65"/>
      <c r="GO28" s="65"/>
      <c r="GP28" s="65"/>
      <c r="GQ28" s="65"/>
      <c r="GR28" s="65"/>
      <c r="GS28" s="65"/>
      <c r="GT28" s="65"/>
      <c r="GU28" s="65"/>
      <c r="GV28" s="65"/>
      <c r="GW28" s="65"/>
      <c r="GX28" s="65"/>
      <c r="GY28" s="65"/>
      <c r="GZ28" s="65"/>
      <c r="HA28" s="65"/>
      <c r="HB28" s="65"/>
      <c r="HC28" s="65"/>
      <c r="HD28" s="65"/>
      <c r="HE28" s="65"/>
      <c r="HF28" s="65"/>
      <c r="HG28" s="65"/>
      <c r="HH28" s="65"/>
      <c r="HI28" s="65"/>
      <c r="HJ28" s="65"/>
      <c r="HK28" s="65"/>
      <c r="HL28" s="65"/>
      <c r="HM28" s="65"/>
      <c r="HN28" s="65"/>
      <c r="HO28" s="65"/>
      <c r="HP28" s="65"/>
      <c r="HQ28" s="65"/>
      <c r="HR28" s="65"/>
      <c r="HS28" s="65"/>
      <c r="HT28" s="65"/>
      <c r="HU28" s="65"/>
      <c r="HV28" s="65"/>
      <c r="HW28" s="65"/>
      <c r="HX28" s="65"/>
      <c r="HY28" s="65"/>
      <c r="HZ28" s="65"/>
      <c r="IA28" s="65"/>
      <c r="IB28" s="65"/>
      <c r="IC28" s="65"/>
      <c r="ID28" s="65"/>
      <c r="IE28" s="65"/>
      <c r="IF28" s="65"/>
      <c r="IG28" s="65"/>
      <c r="IH28" s="65"/>
      <c r="II28" s="65"/>
      <c r="IJ28" s="65"/>
      <c r="IK28" s="65"/>
      <c r="IL28" s="65"/>
      <c r="IM28" s="65"/>
      <c r="IN28" s="65"/>
      <c r="IO28" s="65"/>
      <c r="IP28" s="65"/>
      <c r="IQ28" s="65"/>
      <c r="IR28" s="65"/>
      <c r="IS28" s="65"/>
      <c r="IT28" s="65"/>
      <c r="IU28" s="65"/>
      <c r="IV28" s="65"/>
      <c r="IW28" s="65"/>
    </row>
    <row r="29" spans="1:257" s="110" customFormat="1" ht="18" customHeight="1" thickBot="1">
      <c r="A29" s="65"/>
      <c r="B29" s="1267"/>
      <c r="C29" s="1268"/>
      <c r="D29" s="1457"/>
      <c r="E29" s="1405"/>
      <c r="F29" s="1405"/>
      <c r="G29" s="1405"/>
      <c r="H29" s="1405"/>
      <c r="I29" s="1405"/>
      <c r="J29" s="1405"/>
      <c r="K29" s="1405"/>
      <c r="L29" s="1406"/>
      <c r="M29" s="964" t="s">
        <v>1128</v>
      </c>
      <c r="N29" s="1463" t="s">
        <v>1129</v>
      </c>
      <c r="O29" s="1464"/>
      <c r="P29" s="1465" t="s">
        <v>1130</v>
      </c>
      <c r="Q29" s="1466"/>
      <c r="R29" s="1467" t="s">
        <v>1131</v>
      </c>
      <c r="S29" s="1467"/>
      <c r="T29" s="1028"/>
      <c r="U29" s="65"/>
      <c r="V29" s="65"/>
      <c r="W29" s="65"/>
      <c r="X29" s="65"/>
      <c r="Y29" s="65"/>
      <c r="Z29" s="65"/>
      <c r="AA29" s="65"/>
      <c r="AB29" s="65"/>
      <c r="AC29" s="65"/>
      <c r="AD29" s="65"/>
      <c r="AE29" s="65"/>
      <c r="AF29" s="65"/>
      <c r="AG29" s="65"/>
      <c r="AH29" s="65"/>
      <c r="AI29" s="65"/>
      <c r="AJ29" s="65"/>
      <c r="AK29" s="65"/>
      <c r="AL29" s="65"/>
      <c r="AM29" s="65"/>
      <c r="AN29" s="65"/>
      <c r="AO29" s="65"/>
      <c r="AP29" s="65"/>
      <c r="AQ29" s="65"/>
      <c r="AR29" s="65"/>
      <c r="AS29" s="65"/>
      <c r="AT29" s="65"/>
      <c r="AU29" s="65"/>
      <c r="AV29" s="65"/>
      <c r="AW29" s="65"/>
      <c r="AX29" s="65"/>
      <c r="AY29" s="65"/>
      <c r="AZ29" s="65"/>
      <c r="BA29" s="65"/>
      <c r="BB29" s="65"/>
      <c r="BC29" s="65"/>
      <c r="BD29" s="65"/>
      <c r="BE29" s="65"/>
      <c r="BF29" s="65"/>
      <c r="BG29" s="65"/>
      <c r="BH29" s="65"/>
      <c r="BI29" s="65"/>
      <c r="BJ29" s="65"/>
      <c r="BK29" s="65"/>
      <c r="BL29" s="65"/>
      <c r="BM29" s="65"/>
      <c r="BN29" s="65"/>
      <c r="BO29" s="65"/>
      <c r="BP29" s="65"/>
      <c r="BQ29" s="65"/>
      <c r="BR29" s="65"/>
      <c r="BS29" s="65"/>
      <c r="BT29" s="65"/>
      <c r="BU29" s="65"/>
      <c r="BV29" s="65"/>
      <c r="BW29" s="65"/>
      <c r="BX29" s="65"/>
      <c r="BY29" s="65"/>
      <c r="BZ29" s="65"/>
      <c r="CA29" s="65"/>
      <c r="CB29" s="65"/>
      <c r="CC29" s="65"/>
      <c r="CD29" s="65"/>
      <c r="CE29" s="65"/>
      <c r="CF29" s="65"/>
      <c r="CG29" s="65"/>
      <c r="CH29" s="65"/>
      <c r="CI29" s="65"/>
      <c r="CJ29" s="65"/>
      <c r="CK29" s="65"/>
      <c r="CL29" s="65"/>
      <c r="CM29" s="65"/>
      <c r="CN29" s="65"/>
      <c r="CO29" s="65"/>
      <c r="CP29" s="65"/>
      <c r="CQ29" s="65"/>
      <c r="CR29" s="65"/>
      <c r="CS29" s="65"/>
      <c r="CT29" s="65"/>
      <c r="CU29" s="65"/>
      <c r="CV29" s="65"/>
      <c r="CW29" s="65"/>
      <c r="CX29" s="65"/>
      <c r="CY29" s="65"/>
      <c r="CZ29" s="65"/>
      <c r="DA29" s="65"/>
      <c r="DB29" s="65"/>
      <c r="DC29" s="65"/>
      <c r="DD29" s="65"/>
      <c r="DE29" s="65"/>
      <c r="DF29" s="65"/>
      <c r="DG29" s="65"/>
      <c r="DH29" s="65"/>
      <c r="DI29" s="65"/>
      <c r="DJ29" s="65"/>
      <c r="DK29" s="65"/>
      <c r="DL29" s="65"/>
      <c r="DM29" s="65"/>
      <c r="DN29" s="65"/>
      <c r="DO29" s="65"/>
      <c r="DP29" s="65"/>
      <c r="DQ29" s="65"/>
      <c r="DR29" s="65"/>
      <c r="DS29" s="65"/>
      <c r="DT29" s="65"/>
      <c r="DU29" s="65"/>
      <c r="DV29" s="65"/>
      <c r="DW29" s="65"/>
      <c r="DX29" s="65"/>
      <c r="DY29" s="65"/>
      <c r="DZ29" s="65"/>
      <c r="EA29" s="65"/>
      <c r="EB29" s="65"/>
      <c r="EC29" s="65"/>
      <c r="ED29" s="65"/>
      <c r="EE29" s="65"/>
      <c r="EF29" s="65"/>
      <c r="EG29" s="65"/>
      <c r="EH29" s="65"/>
      <c r="EI29" s="65"/>
      <c r="EJ29" s="65"/>
      <c r="EK29" s="65"/>
      <c r="EL29" s="65"/>
      <c r="EM29" s="65"/>
      <c r="EN29" s="65"/>
      <c r="EO29" s="65"/>
      <c r="EP29" s="65"/>
      <c r="EQ29" s="65"/>
      <c r="ER29" s="65"/>
      <c r="ES29" s="65"/>
      <c r="ET29" s="65"/>
      <c r="EU29" s="65"/>
      <c r="EV29" s="65"/>
      <c r="EW29" s="65"/>
      <c r="EX29" s="65"/>
      <c r="EY29" s="65"/>
      <c r="EZ29" s="65"/>
      <c r="FA29" s="65"/>
      <c r="FB29" s="65"/>
      <c r="FC29" s="65"/>
      <c r="FD29" s="65"/>
      <c r="FE29" s="65"/>
      <c r="FF29" s="65"/>
      <c r="FG29" s="65"/>
      <c r="FH29" s="65"/>
      <c r="FI29" s="65"/>
      <c r="FJ29" s="65"/>
      <c r="FK29" s="65"/>
      <c r="FL29" s="65"/>
      <c r="FM29" s="65"/>
      <c r="FN29" s="65"/>
      <c r="FO29" s="65"/>
      <c r="FP29" s="65"/>
      <c r="FQ29" s="65"/>
      <c r="FR29" s="65"/>
      <c r="FS29" s="65"/>
      <c r="FT29" s="65"/>
      <c r="FU29" s="65"/>
      <c r="FV29" s="65"/>
      <c r="FW29" s="65"/>
      <c r="FX29" s="65"/>
      <c r="FY29" s="65"/>
      <c r="FZ29" s="65"/>
      <c r="GA29" s="65"/>
      <c r="GB29" s="65"/>
      <c r="GC29" s="65"/>
      <c r="GD29" s="65"/>
      <c r="GE29" s="65"/>
      <c r="GF29" s="65"/>
      <c r="GG29" s="65"/>
      <c r="GH29" s="65"/>
      <c r="GI29" s="65"/>
      <c r="GJ29" s="65"/>
      <c r="GK29" s="65"/>
      <c r="GL29" s="65"/>
      <c r="GM29" s="65"/>
      <c r="GN29" s="65"/>
      <c r="GO29" s="65"/>
      <c r="GP29" s="65"/>
      <c r="GQ29" s="65"/>
      <c r="GR29" s="65"/>
      <c r="GS29" s="65"/>
      <c r="GT29" s="65"/>
      <c r="GU29" s="65"/>
      <c r="GV29" s="65"/>
      <c r="GW29" s="65"/>
      <c r="GX29" s="65"/>
      <c r="GY29" s="65"/>
      <c r="GZ29" s="65"/>
      <c r="HA29" s="65"/>
      <c r="HB29" s="65"/>
      <c r="HC29" s="65"/>
      <c r="HD29" s="65"/>
      <c r="HE29" s="65"/>
      <c r="HF29" s="65"/>
      <c r="HG29" s="65"/>
      <c r="HH29" s="65"/>
      <c r="HI29" s="65"/>
      <c r="HJ29" s="65"/>
      <c r="HK29" s="65"/>
      <c r="HL29" s="65"/>
      <c r="HM29" s="65"/>
      <c r="HN29" s="65"/>
      <c r="HO29" s="65"/>
      <c r="HP29" s="65"/>
      <c r="HQ29" s="65"/>
      <c r="HR29" s="65"/>
      <c r="HS29" s="65"/>
      <c r="HT29" s="65"/>
      <c r="HU29" s="65"/>
      <c r="HV29" s="65"/>
      <c r="HW29" s="65"/>
      <c r="HX29" s="65"/>
      <c r="HY29" s="65"/>
      <c r="HZ29" s="65"/>
      <c r="IA29" s="65"/>
      <c r="IB29" s="65"/>
      <c r="IC29" s="65"/>
      <c r="ID29" s="65"/>
      <c r="IE29" s="65"/>
      <c r="IF29" s="65"/>
      <c r="IG29" s="65"/>
      <c r="IH29" s="65"/>
      <c r="II29" s="65"/>
      <c r="IJ29" s="65"/>
      <c r="IK29" s="65"/>
      <c r="IL29" s="65"/>
      <c r="IM29" s="65"/>
      <c r="IN29" s="65"/>
      <c r="IO29" s="65"/>
      <c r="IP29" s="65"/>
      <c r="IQ29" s="65"/>
      <c r="IR29" s="65"/>
      <c r="IS29" s="65"/>
      <c r="IT29" s="65"/>
      <c r="IU29" s="65"/>
      <c r="IV29" s="65"/>
      <c r="IW29" s="65"/>
    </row>
    <row r="30" spans="1:257" s="110" customFormat="1" ht="18" customHeight="1">
      <c r="A30" s="65"/>
      <c r="B30" s="1265" t="s">
        <v>1132</v>
      </c>
      <c r="C30" s="1266"/>
      <c r="D30" s="1456" t="s">
        <v>1133</v>
      </c>
      <c r="E30" s="1284"/>
      <c r="F30" s="1284"/>
      <c r="G30" s="1284"/>
      <c r="H30" s="1284"/>
      <c r="I30" s="1284"/>
      <c r="J30" s="1284"/>
      <c r="K30" s="1284"/>
      <c r="L30" s="1401"/>
      <c r="M30" s="964" t="s">
        <v>1134</v>
      </c>
      <c r="N30" s="962" t="s">
        <v>1135</v>
      </c>
      <c r="O30" s="964" t="s">
        <v>1136</v>
      </c>
      <c r="P30" s="1029" t="s">
        <v>1137</v>
      </c>
      <c r="Q30" s="1029" t="s">
        <v>1138</v>
      </c>
      <c r="R30" s="968" t="s">
        <v>1139</v>
      </c>
      <c r="S30" s="455" t="s">
        <v>1140</v>
      </c>
      <c r="T30" s="138"/>
      <c r="U30" s="65"/>
      <c r="V30" s="65"/>
      <c r="W30" s="65"/>
      <c r="X30" s="65"/>
      <c r="Y30" s="65"/>
      <c r="Z30" s="1030"/>
      <c r="AA30" s="65"/>
      <c r="AB30" s="65"/>
      <c r="AC30" s="65"/>
      <c r="AD30" s="65"/>
      <c r="AE30" s="65"/>
      <c r="AF30" s="65"/>
      <c r="AG30" s="65"/>
      <c r="AH30" s="65"/>
      <c r="AI30" s="65"/>
      <c r="AJ30" s="65"/>
      <c r="AK30" s="65"/>
      <c r="AL30" s="65"/>
      <c r="AM30" s="65"/>
      <c r="AN30" s="65"/>
      <c r="AO30" s="65"/>
      <c r="AP30" s="65"/>
      <c r="AQ30" s="65"/>
      <c r="AR30" s="65"/>
      <c r="AS30" s="65"/>
      <c r="AT30" s="65"/>
      <c r="AU30" s="65"/>
      <c r="AV30" s="65"/>
      <c r="AW30" s="65"/>
      <c r="AX30" s="65"/>
      <c r="AY30" s="65"/>
      <c r="AZ30" s="65"/>
      <c r="BA30" s="65"/>
      <c r="BB30" s="65"/>
      <c r="BC30" s="65"/>
      <c r="BD30" s="65"/>
      <c r="BE30" s="65"/>
      <c r="BF30" s="65"/>
      <c r="BG30" s="65"/>
      <c r="BH30" s="65"/>
      <c r="BI30" s="65"/>
      <c r="BJ30" s="65"/>
      <c r="BK30" s="65"/>
      <c r="BL30" s="65"/>
      <c r="BM30" s="65"/>
      <c r="BN30" s="65"/>
      <c r="BO30" s="65"/>
      <c r="BP30" s="65"/>
      <c r="BQ30" s="65"/>
      <c r="BR30" s="65"/>
      <c r="BS30" s="65"/>
      <c r="BT30" s="65"/>
      <c r="BU30" s="65"/>
      <c r="BV30" s="65"/>
      <c r="BW30" s="65"/>
      <c r="BX30" s="65"/>
      <c r="BY30" s="65"/>
      <c r="BZ30" s="65"/>
      <c r="CA30" s="65"/>
      <c r="CB30" s="65"/>
      <c r="CC30" s="65"/>
      <c r="CD30" s="65"/>
      <c r="CE30" s="65"/>
      <c r="CF30" s="65"/>
      <c r="CG30" s="65"/>
      <c r="CH30" s="65"/>
      <c r="CI30" s="65"/>
      <c r="CJ30" s="65"/>
      <c r="CK30" s="65"/>
      <c r="CL30" s="65"/>
      <c r="CM30" s="65"/>
      <c r="CN30" s="65"/>
      <c r="CO30" s="65"/>
      <c r="CP30" s="65"/>
      <c r="CQ30" s="65"/>
      <c r="CR30" s="65"/>
      <c r="CS30" s="65"/>
      <c r="CT30" s="65"/>
      <c r="CU30" s="65"/>
      <c r="CV30" s="65"/>
      <c r="CW30" s="65"/>
      <c r="CX30" s="65"/>
      <c r="CY30" s="65"/>
      <c r="CZ30" s="65"/>
      <c r="DA30" s="65"/>
      <c r="DB30" s="65"/>
      <c r="DC30" s="65"/>
      <c r="DD30" s="65"/>
      <c r="DE30" s="65"/>
      <c r="DF30" s="65"/>
      <c r="DG30" s="65"/>
      <c r="DH30" s="65"/>
      <c r="DI30" s="65"/>
      <c r="DJ30" s="65"/>
      <c r="DK30" s="65"/>
      <c r="DL30" s="65"/>
      <c r="DM30" s="65"/>
      <c r="DN30" s="65"/>
      <c r="DO30" s="65"/>
      <c r="DP30" s="65"/>
      <c r="DQ30" s="65"/>
      <c r="DR30" s="65"/>
      <c r="DS30" s="65"/>
      <c r="DT30" s="65"/>
      <c r="DU30" s="65"/>
      <c r="DV30" s="65"/>
      <c r="DW30" s="65"/>
      <c r="DX30" s="65"/>
      <c r="DY30" s="65"/>
      <c r="DZ30" s="65"/>
      <c r="EA30" s="65"/>
      <c r="EB30" s="65"/>
      <c r="EC30" s="65"/>
      <c r="ED30" s="65"/>
      <c r="EE30" s="65"/>
      <c r="EF30" s="65"/>
      <c r="EG30" s="65"/>
      <c r="EH30" s="65"/>
      <c r="EI30" s="65"/>
      <c r="EJ30" s="65"/>
      <c r="EK30" s="65"/>
      <c r="EL30" s="65"/>
      <c r="EM30" s="65"/>
      <c r="EN30" s="65"/>
      <c r="EO30" s="65"/>
      <c r="EP30" s="65"/>
      <c r="EQ30" s="65"/>
      <c r="ER30" s="65"/>
      <c r="ES30" s="65"/>
      <c r="ET30" s="65"/>
      <c r="EU30" s="65"/>
      <c r="EV30" s="65"/>
      <c r="EW30" s="65"/>
      <c r="EX30" s="65"/>
      <c r="EY30" s="65"/>
      <c r="EZ30" s="65"/>
      <c r="FA30" s="65"/>
      <c r="FB30" s="65"/>
      <c r="FC30" s="65"/>
      <c r="FD30" s="65"/>
      <c r="FE30" s="65"/>
      <c r="FF30" s="65"/>
      <c r="FG30" s="65"/>
      <c r="FH30" s="65"/>
      <c r="FI30" s="65"/>
      <c r="FJ30" s="65"/>
      <c r="FK30" s="65"/>
      <c r="FL30" s="65"/>
      <c r="FM30" s="65"/>
      <c r="FN30" s="65"/>
      <c r="FO30" s="65"/>
      <c r="FP30" s="65"/>
      <c r="FQ30" s="65"/>
      <c r="FR30" s="65"/>
      <c r="FS30" s="65"/>
      <c r="FT30" s="65"/>
      <c r="FU30" s="65"/>
      <c r="FV30" s="65"/>
      <c r="FW30" s="65"/>
      <c r="FX30" s="65"/>
      <c r="FY30" s="65"/>
      <c r="FZ30" s="65"/>
      <c r="GA30" s="65"/>
      <c r="GB30" s="65"/>
      <c r="GC30" s="65"/>
      <c r="GD30" s="65"/>
      <c r="GE30" s="65"/>
      <c r="GF30" s="65"/>
      <c r="GG30" s="65"/>
      <c r="GH30" s="65"/>
      <c r="GI30" s="65"/>
      <c r="GJ30" s="65"/>
      <c r="GK30" s="65"/>
      <c r="GL30" s="65"/>
      <c r="GM30" s="65"/>
      <c r="GN30" s="65"/>
      <c r="GO30" s="65"/>
      <c r="GP30" s="65"/>
      <c r="GQ30" s="65"/>
      <c r="GR30" s="65"/>
      <c r="GS30" s="65"/>
      <c r="GT30" s="65"/>
      <c r="GU30" s="65"/>
      <c r="GV30" s="65"/>
      <c r="GW30" s="65"/>
      <c r="GX30" s="65"/>
      <c r="GY30" s="65"/>
      <c r="GZ30" s="65"/>
      <c r="HA30" s="65"/>
      <c r="HB30" s="65"/>
      <c r="HC30" s="65"/>
      <c r="HD30" s="65"/>
      <c r="HE30" s="65"/>
      <c r="HF30" s="65"/>
      <c r="HG30" s="65"/>
      <c r="HH30" s="65"/>
      <c r="HI30" s="65"/>
      <c r="HJ30" s="65"/>
      <c r="HK30" s="65"/>
      <c r="HL30" s="65"/>
      <c r="HM30" s="65"/>
      <c r="HN30" s="65"/>
      <c r="HO30" s="65"/>
      <c r="HP30" s="65"/>
      <c r="HQ30" s="65"/>
      <c r="HR30" s="65"/>
      <c r="HS30" s="65"/>
      <c r="HT30" s="65"/>
      <c r="HU30" s="65"/>
      <c r="HV30" s="65"/>
      <c r="HW30" s="65"/>
      <c r="HX30" s="65"/>
      <c r="HY30" s="65"/>
      <c r="HZ30" s="65"/>
      <c r="IA30" s="65"/>
      <c r="IB30" s="65"/>
      <c r="IC30" s="65"/>
      <c r="ID30" s="65"/>
      <c r="IE30" s="65"/>
      <c r="IF30" s="65"/>
      <c r="IG30" s="65"/>
      <c r="IH30" s="65"/>
      <c r="II30" s="65"/>
      <c r="IJ30" s="65"/>
      <c r="IK30" s="65"/>
      <c r="IL30" s="65"/>
      <c r="IM30" s="65"/>
      <c r="IN30" s="65"/>
      <c r="IO30" s="65"/>
      <c r="IP30" s="65"/>
      <c r="IQ30" s="65"/>
      <c r="IR30" s="65"/>
      <c r="IS30" s="65"/>
      <c r="IT30" s="65"/>
      <c r="IU30" s="65"/>
      <c r="IV30" s="65"/>
      <c r="IW30" s="65"/>
    </row>
    <row r="31" spans="1:257" s="110" customFormat="1" ht="18" customHeight="1">
      <c r="A31" s="65"/>
      <c r="B31" s="1267"/>
      <c r="C31" s="1268"/>
      <c r="D31" s="1271"/>
      <c r="E31" s="1161"/>
      <c r="F31" s="1161"/>
      <c r="G31" s="1161"/>
      <c r="H31" s="1161"/>
      <c r="I31" s="1161"/>
      <c r="J31" s="1161"/>
      <c r="K31" s="1161"/>
      <c r="L31" s="1403"/>
      <c r="M31" s="964" t="s">
        <v>1141</v>
      </c>
      <c r="N31" s="1031">
        <v>1.5</v>
      </c>
      <c r="O31" s="1032" t="s">
        <v>1142</v>
      </c>
      <c r="P31" s="1032" t="s">
        <v>1142</v>
      </c>
      <c r="Q31" s="1033">
        <v>0.4</v>
      </c>
      <c r="R31" s="1277">
        <v>0.3</v>
      </c>
      <c r="S31" s="1518">
        <v>0.3</v>
      </c>
      <c r="T31" s="138"/>
      <c r="U31" s="65"/>
      <c r="V31" s="65"/>
      <c r="W31" s="65"/>
      <c r="X31" s="65"/>
      <c r="Y31" s="65"/>
      <c r="Z31" s="65"/>
      <c r="AA31" s="65"/>
      <c r="AB31" s="65"/>
      <c r="AC31" s="65"/>
      <c r="AD31" s="65"/>
      <c r="AE31" s="65"/>
      <c r="AF31" s="65"/>
      <c r="AG31" s="65"/>
      <c r="AH31" s="65"/>
      <c r="AI31" s="65"/>
      <c r="AJ31" s="65"/>
      <c r="AK31" s="65"/>
      <c r="AL31" s="65"/>
      <c r="AM31" s="65"/>
      <c r="AN31" s="65"/>
      <c r="AO31" s="65"/>
      <c r="AP31" s="65"/>
      <c r="AQ31" s="65"/>
      <c r="AR31" s="65"/>
      <c r="AS31" s="65"/>
      <c r="AT31" s="65"/>
      <c r="AU31" s="65"/>
      <c r="AV31" s="65"/>
      <c r="AW31" s="65"/>
      <c r="AX31" s="65"/>
      <c r="AY31" s="65"/>
      <c r="AZ31" s="65"/>
      <c r="BA31" s="65"/>
      <c r="BB31" s="65"/>
      <c r="BC31" s="65"/>
      <c r="BD31" s="65"/>
      <c r="BE31" s="65"/>
      <c r="BF31" s="65"/>
      <c r="BG31" s="65"/>
      <c r="BH31" s="65"/>
      <c r="BI31" s="65"/>
      <c r="BJ31" s="65"/>
      <c r="BK31" s="65"/>
      <c r="BL31" s="65"/>
      <c r="BM31" s="65"/>
      <c r="BN31" s="65"/>
      <c r="BO31" s="65"/>
      <c r="BP31" s="65"/>
      <c r="BQ31" s="65"/>
      <c r="BR31" s="65"/>
      <c r="BS31" s="65"/>
      <c r="BT31" s="65"/>
      <c r="BU31" s="65"/>
      <c r="BV31" s="65"/>
      <c r="BW31" s="65"/>
      <c r="BX31" s="65"/>
      <c r="BY31" s="65"/>
      <c r="BZ31" s="65"/>
      <c r="CA31" s="65"/>
      <c r="CB31" s="65"/>
      <c r="CC31" s="65"/>
      <c r="CD31" s="65"/>
      <c r="CE31" s="65"/>
      <c r="CF31" s="65"/>
      <c r="CG31" s="65"/>
      <c r="CH31" s="65"/>
      <c r="CI31" s="65"/>
      <c r="CJ31" s="65"/>
      <c r="CK31" s="65"/>
      <c r="CL31" s="65"/>
      <c r="CM31" s="65"/>
      <c r="CN31" s="65"/>
      <c r="CO31" s="65"/>
      <c r="CP31" s="65"/>
      <c r="CQ31" s="65"/>
      <c r="CR31" s="65"/>
      <c r="CS31" s="65"/>
      <c r="CT31" s="65"/>
      <c r="CU31" s="65"/>
      <c r="CV31" s="65"/>
      <c r="CW31" s="65"/>
      <c r="CX31" s="65"/>
      <c r="CY31" s="65"/>
      <c r="CZ31" s="65"/>
      <c r="DA31" s="65"/>
      <c r="DB31" s="65"/>
      <c r="DC31" s="65"/>
      <c r="DD31" s="65"/>
      <c r="DE31" s="65"/>
      <c r="DF31" s="65"/>
      <c r="DG31" s="65"/>
      <c r="DH31" s="65"/>
      <c r="DI31" s="65"/>
      <c r="DJ31" s="65"/>
      <c r="DK31" s="65"/>
      <c r="DL31" s="65"/>
      <c r="DM31" s="65"/>
      <c r="DN31" s="65"/>
      <c r="DO31" s="65"/>
      <c r="DP31" s="65"/>
      <c r="DQ31" s="65"/>
      <c r="DR31" s="65"/>
      <c r="DS31" s="65"/>
      <c r="DT31" s="65"/>
      <c r="DU31" s="65"/>
      <c r="DV31" s="65"/>
      <c r="DW31" s="65"/>
      <c r="DX31" s="65"/>
      <c r="DY31" s="65"/>
      <c r="DZ31" s="65"/>
      <c r="EA31" s="65"/>
      <c r="EB31" s="65"/>
      <c r="EC31" s="65"/>
      <c r="ED31" s="65"/>
      <c r="EE31" s="65"/>
      <c r="EF31" s="65"/>
      <c r="EG31" s="65"/>
      <c r="EH31" s="65"/>
      <c r="EI31" s="65"/>
      <c r="EJ31" s="65"/>
      <c r="EK31" s="65"/>
      <c r="EL31" s="65"/>
      <c r="EM31" s="65"/>
      <c r="EN31" s="65"/>
      <c r="EO31" s="65"/>
      <c r="EP31" s="65"/>
      <c r="EQ31" s="65"/>
      <c r="ER31" s="65"/>
      <c r="ES31" s="65"/>
      <c r="ET31" s="65"/>
      <c r="EU31" s="65"/>
      <c r="EV31" s="65"/>
      <c r="EW31" s="65"/>
      <c r="EX31" s="65"/>
      <c r="EY31" s="65"/>
      <c r="EZ31" s="65"/>
      <c r="FA31" s="65"/>
      <c r="FB31" s="65"/>
      <c r="FC31" s="65"/>
      <c r="FD31" s="65"/>
      <c r="FE31" s="65"/>
      <c r="FF31" s="65"/>
      <c r="FG31" s="65"/>
      <c r="FH31" s="65"/>
      <c r="FI31" s="65"/>
      <c r="FJ31" s="65"/>
      <c r="FK31" s="65"/>
      <c r="FL31" s="65"/>
      <c r="FM31" s="65"/>
      <c r="FN31" s="65"/>
      <c r="FO31" s="65"/>
      <c r="FP31" s="65"/>
      <c r="FQ31" s="65"/>
      <c r="FR31" s="65"/>
      <c r="FS31" s="65"/>
      <c r="FT31" s="65"/>
      <c r="FU31" s="65"/>
      <c r="FV31" s="65"/>
      <c r="FW31" s="65"/>
      <c r="FX31" s="65"/>
      <c r="FY31" s="65"/>
      <c r="FZ31" s="65"/>
      <c r="GA31" s="65"/>
      <c r="GB31" s="65"/>
      <c r="GC31" s="65"/>
      <c r="GD31" s="65"/>
      <c r="GE31" s="65"/>
      <c r="GF31" s="65"/>
      <c r="GG31" s="65"/>
      <c r="GH31" s="65"/>
      <c r="GI31" s="65"/>
      <c r="GJ31" s="65"/>
      <c r="GK31" s="65"/>
      <c r="GL31" s="65"/>
      <c r="GM31" s="65"/>
      <c r="GN31" s="65"/>
      <c r="GO31" s="65"/>
      <c r="GP31" s="65"/>
      <c r="GQ31" s="65"/>
      <c r="GR31" s="65"/>
      <c r="GS31" s="65"/>
      <c r="GT31" s="65"/>
      <c r="GU31" s="65"/>
      <c r="GV31" s="65"/>
      <c r="GW31" s="65"/>
      <c r="GX31" s="65"/>
      <c r="GY31" s="65"/>
      <c r="GZ31" s="65"/>
      <c r="HA31" s="65"/>
      <c r="HB31" s="65"/>
      <c r="HC31" s="65"/>
      <c r="HD31" s="65"/>
      <c r="HE31" s="65"/>
      <c r="HF31" s="65"/>
      <c r="HG31" s="65"/>
      <c r="HH31" s="65"/>
      <c r="HI31" s="65"/>
      <c r="HJ31" s="65"/>
      <c r="HK31" s="65"/>
      <c r="HL31" s="65"/>
      <c r="HM31" s="65"/>
      <c r="HN31" s="65"/>
      <c r="HO31" s="65"/>
      <c r="HP31" s="65"/>
      <c r="HQ31" s="65"/>
      <c r="HR31" s="65"/>
      <c r="HS31" s="65"/>
      <c r="HT31" s="65"/>
      <c r="HU31" s="65"/>
      <c r="HV31" s="65"/>
      <c r="HW31" s="65"/>
      <c r="HX31" s="65"/>
      <c r="HY31" s="65"/>
      <c r="HZ31" s="65"/>
      <c r="IA31" s="65"/>
      <c r="IB31" s="65"/>
      <c r="IC31" s="65"/>
      <c r="ID31" s="65"/>
      <c r="IE31" s="65"/>
      <c r="IF31" s="65"/>
      <c r="IG31" s="65"/>
      <c r="IH31" s="65"/>
      <c r="II31" s="65"/>
      <c r="IJ31" s="65"/>
      <c r="IK31" s="65"/>
      <c r="IL31" s="65"/>
      <c r="IM31" s="65"/>
      <c r="IN31" s="65"/>
      <c r="IO31" s="65"/>
      <c r="IP31" s="65"/>
      <c r="IQ31" s="65"/>
      <c r="IR31" s="65"/>
      <c r="IS31" s="65"/>
      <c r="IT31" s="65"/>
      <c r="IU31" s="65"/>
      <c r="IV31" s="65"/>
      <c r="IW31" s="65"/>
    </row>
    <row r="32" spans="1:257" s="110" customFormat="1" ht="18" customHeight="1">
      <c r="A32" s="65"/>
      <c r="B32" s="1267"/>
      <c r="C32" s="1268"/>
      <c r="D32" s="1271"/>
      <c r="E32" s="1161"/>
      <c r="F32" s="1161"/>
      <c r="G32" s="1161"/>
      <c r="H32" s="1161"/>
      <c r="I32" s="1161"/>
      <c r="J32" s="1161"/>
      <c r="K32" s="1161"/>
      <c r="L32" s="1403"/>
      <c r="M32" s="964" t="s">
        <v>1143</v>
      </c>
      <c r="N32" s="1032" t="s">
        <v>1142</v>
      </c>
      <c r="O32" s="1031">
        <v>0.3</v>
      </c>
      <c r="P32" s="1033">
        <v>0.3</v>
      </c>
      <c r="Q32" s="1033">
        <v>0.3</v>
      </c>
      <c r="R32" s="1516"/>
      <c r="S32" s="1519"/>
      <c r="T32" s="138"/>
      <c r="U32" s="65"/>
      <c r="V32" s="65"/>
      <c r="W32" s="65"/>
      <c r="X32" s="65"/>
      <c r="Y32" s="65"/>
      <c r="Z32" s="65"/>
      <c r="AA32" s="65"/>
      <c r="AB32" s="65"/>
      <c r="AC32" s="65"/>
      <c r="AD32" s="65"/>
      <c r="AE32" s="65"/>
      <c r="AF32" s="65"/>
      <c r="AG32" s="65"/>
      <c r="AH32" s="65"/>
      <c r="AI32" s="65"/>
      <c r="AJ32" s="65"/>
      <c r="AK32" s="65"/>
      <c r="AL32" s="65"/>
      <c r="AM32" s="65"/>
      <c r="AN32" s="65"/>
      <c r="AO32" s="65"/>
      <c r="AP32" s="65"/>
      <c r="AQ32" s="65"/>
      <c r="AR32" s="65"/>
      <c r="AS32" s="65"/>
      <c r="AT32" s="65"/>
      <c r="AU32" s="65"/>
      <c r="AV32" s="65"/>
      <c r="AW32" s="65"/>
      <c r="AX32" s="65"/>
      <c r="AY32" s="65"/>
      <c r="AZ32" s="65"/>
      <c r="BA32" s="65"/>
      <c r="BB32" s="65"/>
      <c r="BC32" s="65"/>
      <c r="BD32" s="65"/>
      <c r="BE32" s="65"/>
      <c r="BF32" s="65"/>
      <c r="BG32" s="65"/>
      <c r="BH32" s="65"/>
      <c r="BI32" s="65"/>
      <c r="BJ32" s="65"/>
      <c r="BK32" s="65"/>
      <c r="BL32" s="65"/>
      <c r="BM32" s="65"/>
      <c r="BN32" s="65"/>
      <c r="BO32" s="65"/>
      <c r="BP32" s="65"/>
      <c r="BQ32" s="65"/>
      <c r="BR32" s="65"/>
      <c r="BS32" s="65"/>
      <c r="BT32" s="65"/>
      <c r="BU32" s="65"/>
      <c r="BV32" s="65"/>
      <c r="BW32" s="65"/>
      <c r="BX32" s="65"/>
      <c r="BY32" s="65"/>
      <c r="BZ32" s="65"/>
      <c r="CA32" s="65"/>
      <c r="CB32" s="65"/>
      <c r="CC32" s="65"/>
      <c r="CD32" s="65"/>
      <c r="CE32" s="65"/>
      <c r="CF32" s="65"/>
      <c r="CG32" s="65"/>
      <c r="CH32" s="65"/>
      <c r="CI32" s="65"/>
      <c r="CJ32" s="65"/>
      <c r="CK32" s="65"/>
      <c r="CL32" s="65"/>
      <c r="CM32" s="65"/>
      <c r="CN32" s="65"/>
      <c r="CO32" s="65"/>
      <c r="CP32" s="65"/>
      <c r="CQ32" s="65"/>
      <c r="CR32" s="65"/>
      <c r="CS32" s="65"/>
      <c r="CT32" s="65"/>
      <c r="CU32" s="65"/>
      <c r="CV32" s="65"/>
      <c r="CW32" s="65"/>
      <c r="CX32" s="65"/>
      <c r="CY32" s="65"/>
      <c r="CZ32" s="65"/>
      <c r="DA32" s="65"/>
      <c r="DB32" s="65"/>
      <c r="DC32" s="65"/>
      <c r="DD32" s="65"/>
      <c r="DE32" s="65"/>
      <c r="DF32" s="65"/>
      <c r="DG32" s="65"/>
      <c r="DH32" s="65"/>
      <c r="DI32" s="65"/>
      <c r="DJ32" s="65"/>
      <c r="DK32" s="65"/>
      <c r="DL32" s="65"/>
      <c r="DM32" s="65"/>
      <c r="DN32" s="65"/>
      <c r="DO32" s="65"/>
      <c r="DP32" s="65"/>
      <c r="DQ32" s="65"/>
      <c r="DR32" s="65"/>
      <c r="DS32" s="65"/>
      <c r="DT32" s="65"/>
      <c r="DU32" s="65"/>
      <c r="DV32" s="65"/>
      <c r="DW32" s="65"/>
      <c r="DX32" s="65"/>
      <c r="DY32" s="65"/>
      <c r="DZ32" s="65"/>
      <c r="EA32" s="65"/>
      <c r="EB32" s="65"/>
      <c r="EC32" s="65"/>
      <c r="ED32" s="65"/>
      <c r="EE32" s="65"/>
      <c r="EF32" s="65"/>
      <c r="EG32" s="65"/>
      <c r="EH32" s="65"/>
      <c r="EI32" s="65"/>
      <c r="EJ32" s="65"/>
      <c r="EK32" s="65"/>
      <c r="EL32" s="65"/>
      <c r="EM32" s="65"/>
      <c r="EN32" s="65"/>
      <c r="EO32" s="65"/>
      <c r="EP32" s="65"/>
      <c r="EQ32" s="65"/>
      <c r="ER32" s="65"/>
      <c r="ES32" s="65"/>
      <c r="ET32" s="65"/>
      <c r="EU32" s="65"/>
      <c r="EV32" s="65"/>
      <c r="EW32" s="65"/>
      <c r="EX32" s="65"/>
      <c r="EY32" s="65"/>
      <c r="EZ32" s="65"/>
      <c r="FA32" s="65"/>
      <c r="FB32" s="65"/>
      <c r="FC32" s="65"/>
      <c r="FD32" s="65"/>
      <c r="FE32" s="65"/>
      <c r="FF32" s="65"/>
      <c r="FG32" s="65"/>
      <c r="FH32" s="65"/>
      <c r="FI32" s="65"/>
      <c r="FJ32" s="65"/>
      <c r="FK32" s="65"/>
      <c r="FL32" s="65"/>
      <c r="FM32" s="65"/>
      <c r="FN32" s="65"/>
      <c r="FO32" s="65"/>
      <c r="FP32" s="65"/>
      <c r="FQ32" s="65"/>
      <c r="FR32" s="65"/>
      <c r="FS32" s="65"/>
      <c r="FT32" s="65"/>
      <c r="FU32" s="65"/>
      <c r="FV32" s="65"/>
      <c r="FW32" s="65"/>
      <c r="FX32" s="65"/>
      <c r="FY32" s="65"/>
      <c r="FZ32" s="65"/>
      <c r="GA32" s="65"/>
      <c r="GB32" s="65"/>
      <c r="GC32" s="65"/>
      <c r="GD32" s="65"/>
      <c r="GE32" s="65"/>
      <c r="GF32" s="65"/>
      <c r="GG32" s="65"/>
      <c r="GH32" s="65"/>
      <c r="GI32" s="65"/>
      <c r="GJ32" s="65"/>
      <c r="GK32" s="65"/>
      <c r="GL32" s="65"/>
      <c r="GM32" s="65"/>
      <c r="GN32" s="65"/>
      <c r="GO32" s="65"/>
      <c r="GP32" s="65"/>
      <c r="GQ32" s="65"/>
      <c r="GR32" s="65"/>
      <c r="GS32" s="65"/>
      <c r="GT32" s="65"/>
      <c r="GU32" s="65"/>
      <c r="GV32" s="65"/>
      <c r="GW32" s="65"/>
      <c r="GX32" s="65"/>
      <c r="GY32" s="65"/>
      <c r="GZ32" s="65"/>
      <c r="HA32" s="65"/>
      <c r="HB32" s="65"/>
      <c r="HC32" s="65"/>
      <c r="HD32" s="65"/>
      <c r="HE32" s="65"/>
      <c r="HF32" s="65"/>
      <c r="HG32" s="65"/>
      <c r="HH32" s="65"/>
      <c r="HI32" s="65"/>
      <c r="HJ32" s="65"/>
      <c r="HK32" s="65"/>
      <c r="HL32" s="65"/>
      <c r="HM32" s="65"/>
      <c r="HN32" s="65"/>
      <c r="HO32" s="65"/>
      <c r="HP32" s="65"/>
      <c r="HQ32" s="65"/>
      <c r="HR32" s="65"/>
      <c r="HS32" s="65"/>
      <c r="HT32" s="65"/>
      <c r="HU32" s="65"/>
      <c r="HV32" s="65"/>
      <c r="HW32" s="65"/>
      <c r="HX32" s="65"/>
      <c r="HY32" s="65"/>
      <c r="HZ32" s="65"/>
      <c r="IA32" s="65"/>
      <c r="IB32" s="65"/>
      <c r="IC32" s="65"/>
      <c r="ID32" s="65"/>
      <c r="IE32" s="65"/>
      <c r="IF32" s="65"/>
      <c r="IG32" s="65"/>
      <c r="IH32" s="65"/>
      <c r="II32" s="65"/>
      <c r="IJ32" s="65"/>
      <c r="IK32" s="65"/>
      <c r="IL32" s="65"/>
      <c r="IM32" s="65"/>
      <c r="IN32" s="65"/>
      <c r="IO32" s="65"/>
      <c r="IP32" s="65"/>
      <c r="IQ32" s="65"/>
      <c r="IR32" s="65"/>
      <c r="IS32" s="65"/>
      <c r="IT32" s="65"/>
      <c r="IU32" s="65"/>
      <c r="IV32" s="65"/>
      <c r="IW32" s="65"/>
    </row>
    <row r="33" spans="1:257" s="110" customFormat="1" ht="18" customHeight="1">
      <c r="A33" s="65"/>
      <c r="B33" s="1267"/>
      <c r="C33" s="1268"/>
      <c r="D33" s="1271"/>
      <c r="E33" s="1161"/>
      <c r="F33" s="1161"/>
      <c r="G33" s="1161"/>
      <c r="H33" s="1161"/>
      <c r="I33" s="1161"/>
      <c r="J33" s="1161"/>
      <c r="K33" s="1161"/>
      <c r="L33" s="1403"/>
      <c r="M33" s="964" t="s">
        <v>1144</v>
      </c>
      <c r="N33" s="1031">
        <v>0.3</v>
      </c>
      <c r="O33" s="1032" t="s">
        <v>1142</v>
      </c>
      <c r="P33" s="1033">
        <v>0.2</v>
      </c>
      <c r="Q33" s="1033">
        <v>0.2</v>
      </c>
      <c r="R33" s="1516"/>
      <c r="S33" s="1519"/>
      <c r="T33" s="138"/>
      <c r="U33" s="65"/>
      <c r="V33" s="65"/>
      <c r="W33" s="65"/>
      <c r="X33" s="65"/>
      <c r="Y33" s="65"/>
      <c r="Z33" s="65"/>
      <c r="AA33" s="65"/>
      <c r="AB33" s="65"/>
      <c r="AC33" s="65"/>
      <c r="AD33" s="65"/>
      <c r="AE33" s="65"/>
      <c r="AF33" s="65"/>
      <c r="AG33" s="65"/>
      <c r="AH33" s="65"/>
      <c r="AI33" s="65"/>
      <c r="AJ33" s="65"/>
      <c r="AK33" s="65"/>
      <c r="AL33" s="65"/>
      <c r="AM33" s="65"/>
      <c r="AN33" s="65"/>
      <c r="AO33" s="65"/>
      <c r="AP33" s="65"/>
      <c r="AQ33" s="65"/>
      <c r="AR33" s="65"/>
      <c r="AS33" s="65"/>
      <c r="AT33" s="65"/>
      <c r="AU33" s="65"/>
      <c r="AV33" s="65"/>
      <c r="AW33" s="65"/>
      <c r="AX33" s="65"/>
      <c r="AY33" s="65"/>
      <c r="AZ33" s="65"/>
      <c r="BA33" s="65"/>
      <c r="BB33" s="65"/>
      <c r="BC33" s="65"/>
      <c r="BD33" s="65"/>
      <c r="BE33" s="65"/>
      <c r="BF33" s="65"/>
      <c r="BG33" s="65"/>
      <c r="BH33" s="65"/>
      <c r="BI33" s="65"/>
      <c r="BJ33" s="65"/>
      <c r="BK33" s="65"/>
      <c r="BL33" s="65"/>
      <c r="BM33" s="65"/>
      <c r="BN33" s="65"/>
      <c r="BO33" s="65"/>
      <c r="BP33" s="65"/>
      <c r="BQ33" s="65"/>
      <c r="BR33" s="65"/>
      <c r="BS33" s="65"/>
      <c r="BT33" s="65"/>
      <c r="BU33" s="65"/>
      <c r="BV33" s="65"/>
      <c r="BW33" s="65"/>
      <c r="BX33" s="65"/>
      <c r="BY33" s="65"/>
      <c r="BZ33" s="65"/>
      <c r="CA33" s="65"/>
      <c r="CB33" s="65"/>
      <c r="CC33" s="65"/>
      <c r="CD33" s="65"/>
      <c r="CE33" s="65"/>
      <c r="CF33" s="65"/>
      <c r="CG33" s="65"/>
      <c r="CH33" s="65"/>
      <c r="CI33" s="65"/>
      <c r="CJ33" s="65"/>
      <c r="CK33" s="65"/>
      <c r="CL33" s="65"/>
      <c r="CM33" s="65"/>
      <c r="CN33" s="65"/>
      <c r="CO33" s="65"/>
      <c r="CP33" s="65"/>
      <c r="CQ33" s="65"/>
      <c r="CR33" s="65"/>
      <c r="CS33" s="65"/>
      <c r="CT33" s="65"/>
      <c r="CU33" s="65"/>
      <c r="CV33" s="65"/>
      <c r="CW33" s="65"/>
      <c r="CX33" s="65"/>
      <c r="CY33" s="65"/>
      <c r="CZ33" s="65"/>
      <c r="DA33" s="65"/>
      <c r="DB33" s="65"/>
      <c r="DC33" s="65"/>
      <c r="DD33" s="65"/>
      <c r="DE33" s="65"/>
      <c r="DF33" s="65"/>
      <c r="DG33" s="65"/>
      <c r="DH33" s="65"/>
      <c r="DI33" s="65"/>
      <c r="DJ33" s="65"/>
      <c r="DK33" s="65"/>
      <c r="DL33" s="65"/>
      <c r="DM33" s="65"/>
      <c r="DN33" s="65"/>
      <c r="DO33" s="65"/>
      <c r="DP33" s="65"/>
      <c r="DQ33" s="65"/>
      <c r="DR33" s="65"/>
      <c r="DS33" s="65"/>
      <c r="DT33" s="65"/>
      <c r="DU33" s="65"/>
      <c r="DV33" s="65"/>
      <c r="DW33" s="65"/>
      <c r="DX33" s="65"/>
      <c r="DY33" s="65"/>
      <c r="DZ33" s="65"/>
      <c r="EA33" s="65"/>
      <c r="EB33" s="65"/>
      <c r="EC33" s="65"/>
      <c r="ED33" s="65"/>
      <c r="EE33" s="65"/>
      <c r="EF33" s="65"/>
      <c r="EG33" s="65"/>
      <c r="EH33" s="65"/>
      <c r="EI33" s="65"/>
      <c r="EJ33" s="65"/>
      <c r="EK33" s="65"/>
      <c r="EL33" s="65"/>
      <c r="EM33" s="65"/>
      <c r="EN33" s="65"/>
      <c r="EO33" s="65"/>
      <c r="EP33" s="65"/>
      <c r="EQ33" s="65"/>
      <c r="ER33" s="65"/>
      <c r="ES33" s="65"/>
      <c r="ET33" s="65"/>
      <c r="EU33" s="65"/>
      <c r="EV33" s="65"/>
      <c r="EW33" s="65"/>
      <c r="EX33" s="65"/>
      <c r="EY33" s="65"/>
      <c r="EZ33" s="65"/>
      <c r="FA33" s="65"/>
      <c r="FB33" s="65"/>
      <c r="FC33" s="65"/>
      <c r="FD33" s="65"/>
      <c r="FE33" s="65"/>
      <c r="FF33" s="65"/>
      <c r="FG33" s="65"/>
      <c r="FH33" s="65"/>
      <c r="FI33" s="65"/>
      <c r="FJ33" s="65"/>
      <c r="FK33" s="65"/>
      <c r="FL33" s="65"/>
      <c r="FM33" s="65"/>
      <c r="FN33" s="65"/>
      <c r="FO33" s="65"/>
      <c r="FP33" s="65"/>
      <c r="FQ33" s="65"/>
      <c r="FR33" s="65"/>
      <c r="FS33" s="65"/>
      <c r="FT33" s="65"/>
      <c r="FU33" s="65"/>
      <c r="FV33" s="65"/>
      <c r="FW33" s="65"/>
      <c r="FX33" s="65"/>
      <c r="FY33" s="65"/>
      <c r="FZ33" s="65"/>
      <c r="GA33" s="65"/>
      <c r="GB33" s="65"/>
      <c r="GC33" s="65"/>
      <c r="GD33" s="65"/>
      <c r="GE33" s="65"/>
      <c r="GF33" s="65"/>
      <c r="GG33" s="65"/>
      <c r="GH33" s="65"/>
      <c r="GI33" s="65"/>
      <c r="GJ33" s="65"/>
      <c r="GK33" s="65"/>
      <c r="GL33" s="65"/>
      <c r="GM33" s="65"/>
      <c r="GN33" s="65"/>
      <c r="GO33" s="65"/>
      <c r="GP33" s="65"/>
      <c r="GQ33" s="65"/>
      <c r="GR33" s="65"/>
      <c r="GS33" s="65"/>
      <c r="GT33" s="65"/>
      <c r="GU33" s="65"/>
      <c r="GV33" s="65"/>
      <c r="GW33" s="65"/>
      <c r="GX33" s="65"/>
      <c r="GY33" s="65"/>
      <c r="GZ33" s="65"/>
      <c r="HA33" s="65"/>
      <c r="HB33" s="65"/>
      <c r="HC33" s="65"/>
      <c r="HD33" s="65"/>
      <c r="HE33" s="65"/>
      <c r="HF33" s="65"/>
      <c r="HG33" s="65"/>
      <c r="HH33" s="65"/>
      <c r="HI33" s="65"/>
      <c r="HJ33" s="65"/>
      <c r="HK33" s="65"/>
      <c r="HL33" s="65"/>
      <c r="HM33" s="65"/>
      <c r="HN33" s="65"/>
      <c r="HO33" s="65"/>
      <c r="HP33" s="65"/>
      <c r="HQ33" s="65"/>
      <c r="HR33" s="65"/>
      <c r="HS33" s="65"/>
      <c r="HT33" s="65"/>
      <c r="HU33" s="65"/>
      <c r="HV33" s="65"/>
      <c r="HW33" s="65"/>
      <c r="HX33" s="65"/>
      <c r="HY33" s="65"/>
      <c r="HZ33" s="65"/>
      <c r="IA33" s="65"/>
      <c r="IB33" s="65"/>
      <c r="IC33" s="65"/>
      <c r="ID33" s="65"/>
      <c r="IE33" s="65"/>
      <c r="IF33" s="65"/>
      <c r="IG33" s="65"/>
      <c r="IH33" s="65"/>
      <c r="II33" s="65"/>
      <c r="IJ33" s="65"/>
      <c r="IK33" s="65"/>
      <c r="IL33" s="65"/>
      <c r="IM33" s="65"/>
      <c r="IN33" s="65"/>
      <c r="IO33" s="65"/>
      <c r="IP33" s="65"/>
      <c r="IQ33" s="65"/>
      <c r="IR33" s="65"/>
      <c r="IS33" s="65"/>
      <c r="IT33" s="65"/>
      <c r="IU33" s="65"/>
      <c r="IV33" s="65"/>
      <c r="IW33" s="65"/>
    </row>
    <row r="34" spans="1:257" s="110" customFormat="1" ht="18" customHeight="1">
      <c r="A34" s="65"/>
      <c r="B34" s="1267"/>
      <c r="C34" s="1268"/>
      <c r="D34" s="1271"/>
      <c r="E34" s="1161"/>
      <c r="F34" s="1161"/>
      <c r="G34" s="1161"/>
      <c r="H34" s="1161"/>
      <c r="I34" s="1161"/>
      <c r="J34" s="1161"/>
      <c r="K34" s="1161"/>
      <c r="L34" s="1403"/>
      <c r="M34" s="964" t="s">
        <v>1145</v>
      </c>
      <c r="N34" s="1032" t="s">
        <v>1142</v>
      </c>
      <c r="O34" s="1031">
        <v>0.1</v>
      </c>
      <c r="P34" s="1033">
        <v>0.2</v>
      </c>
      <c r="Q34" s="1033">
        <v>0.2</v>
      </c>
      <c r="R34" s="1517"/>
      <c r="S34" s="1520"/>
      <c r="T34" s="138"/>
      <c r="U34" s="65"/>
      <c r="V34" s="65"/>
      <c r="W34" s="65"/>
      <c r="X34" s="65"/>
      <c r="Y34" s="65"/>
      <c r="Z34" s="65"/>
      <c r="AA34" s="65"/>
      <c r="AB34" s="65"/>
      <c r="AC34" s="65"/>
      <c r="AD34" s="65"/>
      <c r="AE34" s="65"/>
      <c r="AF34" s="65"/>
      <c r="AG34" s="65"/>
      <c r="AH34" s="65"/>
      <c r="AI34" s="65"/>
      <c r="AJ34" s="65"/>
      <c r="AK34" s="65"/>
      <c r="AL34" s="65"/>
      <c r="AM34" s="65"/>
      <c r="AN34" s="65"/>
      <c r="AO34" s="65"/>
      <c r="AP34" s="65"/>
      <c r="AQ34" s="65"/>
      <c r="AR34" s="65"/>
      <c r="AS34" s="65"/>
      <c r="AT34" s="65"/>
      <c r="AU34" s="65"/>
      <c r="AV34" s="65"/>
      <c r="AW34" s="65"/>
      <c r="AX34" s="65"/>
      <c r="AY34" s="65"/>
      <c r="AZ34" s="65"/>
      <c r="BA34" s="65"/>
      <c r="BB34" s="65"/>
      <c r="BC34" s="65"/>
      <c r="BD34" s="65"/>
      <c r="BE34" s="65"/>
      <c r="BF34" s="65"/>
      <c r="BG34" s="65"/>
      <c r="BH34" s="65"/>
      <c r="BI34" s="65"/>
      <c r="BJ34" s="65"/>
      <c r="BK34" s="65"/>
      <c r="BL34" s="65"/>
      <c r="BM34" s="65"/>
      <c r="BN34" s="65"/>
      <c r="BO34" s="65"/>
      <c r="BP34" s="65"/>
      <c r="BQ34" s="65"/>
      <c r="BR34" s="65"/>
      <c r="BS34" s="65"/>
      <c r="BT34" s="65"/>
      <c r="BU34" s="65"/>
      <c r="BV34" s="65"/>
      <c r="BW34" s="65"/>
      <c r="BX34" s="65"/>
      <c r="BY34" s="65"/>
      <c r="BZ34" s="65"/>
      <c r="CA34" s="65"/>
      <c r="CB34" s="65"/>
      <c r="CC34" s="65"/>
      <c r="CD34" s="65"/>
      <c r="CE34" s="65"/>
      <c r="CF34" s="65"/>
      <c r="CG34" s="65"/>
      <c r="CH34" s="65"/>
      <c r="CI34" s="65"/>
      <c r="CJ34" s="65"/>
      <c r="CK34" s="65"/>
      <c r="CL34" s="65"/>
      <c r="CM34" s="65"/>
      <c r="CN34" s="65"/>
      <c r="CO34" s="65"/>
      <c r="CP34" s="65"/>
      <c r="CQ34" s="65"/>
      <c r="CR34" s="65"/>
      <c r="CS34" s="65"/>
      <c r="CT34" s="65"/>
      <c r="CU34" s="65"/>
      <c r="CV34" s="65"/>
      <c r="CW34" s="65"/>
      <c r="CX34" s="65"/>
      <c r="CY34" s="65"/>
      <c r="CZ34" s="65"/>
      <c r="DA34" s="65"/>
      <c r="DB34" s="65"/>
      <c r="DC34" s="65"/>
      <c r="DD34" s="65"/>
      <c r="DE34" s="65"/>
      <c r="DF34" s="65"/>
      <c r="DG34" s="65"/>
      <c r="DH34" s="65"/>
      <c r="DI34" s="65"/>
      <c r="DJ34" s="65"/>
      <c r="DK34" s="65"/>
      <c r="DL34" s="65"/>
      <c r="DM34" s="65"/>
      <c r="DN34" s="65"/>
      <c r="DO34" s="65"/>
      <c r="DP34" s="65"/>
      <c r="DQ34" s="65"/>
      <c r="DR34" s="65"/>
      <c r="DS34" s="65"/>
      <c r="DT34" s="65"/>
      <c r="DU34" s="65"/>
      <c r="DV34" s="65"/>
      <c r="DW34" s="65"/>
      <c r="DX34" s="65"/>
      <c r="DY34" s="65"/>
      <c r="DZ34" s="65"/>
      <c r="EA34" s="65"/>
      <c r="EB34" s="65"/>
      <c r="EC34" s="65"/>
      <c r="ED34" s="65"/>
      <c r="EE34" s="65"/>
      <c r="EF34" s="65"/>
      <c r="EG34" s="65"/>
      <c r="EH34" s="65"/>
      <c r="EI34" s="65"/>
      <c r="EJ34" s="65"/>
      <c r="EK34" s="65"/>
      <c r="EL34" s="65"/>
      <c r="EM34" s="65"/>
      <c r="EN34" s="65"/>
      <c r="EO34" s="65"/>
      <c r="EP34" s="65"/>
      <c r="EQ34" s="65"/>
      <c r="ER34" s="65"/>
      <c r="ES34" s="65"/>
      <c r="ET34" s="65"/>
      <c r="EU34" s="65"/>
      <c r="EV34" s="65"/>
      <c r="EW34" s="65"/>
      <c r="EX34" s="65"/>
      <c r="EY34" s="65"/>
      <c r="EZ34" s="65"/>
      <c r="FA34" s="65"/>
      <c r="FB34" s="65"/>
      <c r="FC34" s="65"/>
      <c r="FD34" s="65"/>
      <c r="FE34" s="65"/>
      <c r="FF34" s="65"/>
      <c r="FG34" s="65"/>
      <c r="FH34" s="65"/>
      <c r="FI34" s="65"/>
      <c r="FJ34" s="65"/>
      <c r="FK34" s="65"/>
      <c r="FL34" s="65"/>
      <c r="FM34" s="65"/>
      <c r="FN34" s="65"/>
      <c r="FO34" s="65"/>
      <c r="FP34" s="65"/>
      <c r="FQ34" s="65"/>
      <c r="FR34" s="65"/>
      <c r="FS34" s="65"/>
      <c r="FT34" s="65"/>
      <c r="FU34" s="65"/>
      <c r="FV34" s="65"/>
      <c r="FW34" s="65"/>
      <c r="FX34" s="65"/>
      <c r="FY34" s="65"/>
      <c r="FZ34" s="65"/>
      <c r="GA34" s="65"/>
      <c r="GB34" s="65"/>
      <c r="GC34" s="65"/>
      <c r="GD34" s="65"/>
      <c r="GE34" s="65"/>
      <c r="GF34" s="65"/>
      <c r="GG34" s="65"/>
      <c r="GH34" s="65"/>
      <c r="GI34" s="65"/>
      <c r="GJ34" s="65"/>
      <c r="GK34" s="65"/>
      <c r="GL34" s="65"/>
      <c r="GM34" s="65"/>
      <c r="GN34" s="65"/>
      <c r="GO34" s="65"/>
      <c r="GP34" s="65"/>
      <c r="GQ34" s="65"/>
      <c r="GR34" s="65"/>
      <c r="GS34" s="65"/>
      <c r="GT34" s="65"/>
      <c r="GU34" s="65"/>
      <c r="GV34" s="65"/>
      <c r="GW34" s="65"/>
      <c r="GX34" s="65"/>
      <c r="GY34" s="65"/>
      <c r="GZ34" s="65"/>
      <c r="HA34" s="65"/>
      <c r="HB34" s="65"/>
      <c r="HC34" s="65"/>
      <c r="HD34" s="65"/>
      <c r="HE34" s="65"/>
      <c r="HF34" s="65"/>
      <c r="HG34" s="65"/>
      <c r="HH34" s="65"/>
      <c r="HI34" s="65"/>
      <c r="HJ34" s="65"/>
      <c r="HK34" s="65"/>
      <c r="HL34" s="65"/>
      <c r="HM34" s="65"/>
      <c r="HN34" s="65"/>
      <c r="HO34" s="65"/>
      <c r="HP34" s="65"/>
      <c r="HQ34" s="65"/>
      <c r="HR34" s="65"/>
      <c r="HS34" s="65"/>
      <c r="HT34" s="65"/>
      <c r="HU34" s="65"/>
      <c r="HV34" s="65"/>
      <c r="HW34" s="65"/>
      <c r="HX34" s="65"/>
      <c r="HY34" s="65"/>
      <c r="HZ34" s="65"/>
      <c r="IA34" s="65"/>
      <c r="IB34" s="65"/>
      <c r="IC34" s="65"/>
      <c r="ID34" s="65"/>
      <c r="IE34" s="65"/>
      <c r="IF34" s="65"/>
      <c r="IG34" s="65"/>
      <c r="IH34" s="65"/>
      <c r="II34" s="65"/>
      <c r="IJ34" s="65"/>
      <c r="IK34" s="65"/>
      <c r="IL34" s="65"/>
      <c r="IM34" s="65"/>
      <c r="IN34" s="65"/>
      <c r="IO34" s="65"/>
      <c r="IP34" s="65"/>
      <c r="IQ34" s="65"/>
      <c r="IR34" s="65"/>
      <c r="IS34" s="65"/>
      <c r="IT34" s="65"/>
      <c r="IU34" s="65"/>
      <c r="IV34" s="65"/>
      <c r="IW34" s="65"/>
    </row>
    <row r="35" spans="1:257" s="110" customFormat="1" ht="18" customHeight="1">
      <c r="A35" s="65"/>
      <c r="B35" s="1267"/>
      <c r="C35" s="1268"/>
      <c r="D35" s="1271"/>
      <c r="E35" s="1161"/>
      <c r="F35" s="1161"/>
      <c r="G35" s="1161"/>
      <c r="H35" s="1161"/>
      <c r="I35" s="1161"/>
      <c r="J35" s="1161"/>
      <c r="K35" s="1161"/>
      <c r="L35" s="1403"/>
      <c r="M35" s="1521"/>
      <c r="N35" s="1522"/>
      <c r="O35" s="1522"/>
      <c r="P35" s="1522"/>
      <c r="Q35" s="1522"/>
      <c r="R35" s="1522"/>
      <c r="S35" s="1523"/>
      <c r="T35" s="138"/>
      <c r="U35" s="65"/>
      <c r="V35" s="65"/>
      <c r="W35" s="65"/>
      <c r="X35" s="65"/>
      <c r="Y35" s="65"/>
      <c r="Z35" s="65"/>
      <c r="AA35" s="65"/>
      <c r="AB35" s="65"/>
      <c r="AC35" s="65"/>
      <c r="AD35" s="65"/>
      <c r="AE35" s="65"/>
      <c r="AF35" s="65"/>
      <c r="AG35" s="65"/>
      <c r="AH35" s="65"/>
      <c r="AI35" s="65"/>
      <c r="AJ35" s="65"/>
      <c r="AK35" s="65"/>
      <c r="AL35" s="65"/>
      <c r="AM35" s="65"/>
      <c r="AN35" s="65"/>
      <c r="AO35" s="65"/>
      <c r="AP35" s="65"/>
      <c r="AQ35" s="65"/>
      <c r="AR35" s="65"/>
      <c r="AS35" s="65"/>
      <c r="AT35" s="65"/>
      <c r="AU35" s="65"/>
      <c r="AV35" s="65"/>
      <c r="AW35" s="65"/>
      <c r="AX35" s="65"/>
      <c r="AY35" s="65"/>
      <c r="AZ35" s="65"/>
      <c r="BA35" s="65"/>
      <c r="BB35" s="65"/>
      <c r="BC35" s="65"/>
      <c r="BD35" s="65"/>
      <c r="BE35" s="65"/>
      <c r="BF35" s="65"/>
      <c r="BG35" s="65"/>
      <c r="BH35" s="65"/>
      <c r="BI35" s="65"/>
      <c r="BJ35" s="65"/>
      <c r="BK35" s="65"/>
      <c r="BL35" s="65"/>
      <c r="BM35" s="65"/>
      <c r="BN35" s="65"/>
      <c r="BO35" s="65"/>
      <c r="BP35" s="65"/>
      <c r="BQ35" s="65"/>
      <c r="BR35" s="65"/>
      <c r="BS35" s="65"/>
      <c r="BT35" s="65"/>
      <c r="BU35" s="65"/>
      <c r="BV35" s="65"/>
      <c r="BW35" s="65"/>
      <c r="BX35" s="65"/>
      <c r="BY35" s="65"/>
      <c r="BZ35" s="65"/>
      <c r="CA35" s="65"/>
      <c r="CB35" s="65"/>
      <c r="CC35" s="65"/>
      <c r="CD35" s="65"/>
      <c r="CE35" s="65"/>
      <c r="CF35" s="65"/>
      <c r="CG35" s="65"/>
      <c r="CH35" s="65"/>
      <c r="CI35" s="65"/>
      <c r="CJ35" s="65"/>
      <c r="CK35" s="65"/>
      <c r="CL35" s="65"/>
      <c r="CM35" s="65"/>
      <c r="CN35" s="65"/>
      <c r="CO35" s="65"/>
      <c r="CP35" s="65"/>
      <c r="CQ35" s="65"/>
      <c r="CR35" s="65"/>
      <c r="CS35" s="65"/>
      <c r="CT35" s="65"/>
      <c r="CU35" s="65"/>
      <c r="CV35" s="65"/>
      <c r="CW35" s="65"/>
      <c r="CX35" s="65"/>
      <c r="CY35" s="65"/>
      <c r="CZ35" s="65"/>
      <c r="DA35" s="65"/>
      <c r="DB35" s="65"/>
      <c r="DC35" s="65"/>
      <c r="DD35" s="65"/>
      <c r="DE35" s="65"/>
      <c r="DF35" s="65"/>
      <c r="DG35" s="65"/>
      <c r="DH35" s="65"/>
      <c r="DI35" s="65"/>
      <c r="DJ35" s="65"/>
      <c r="DK35" s="65"/>
      <c r="DL35" s="65"/>
      <c r="DM35" s="65"/>
      <c r="DN35" s="65"/>
      <c r="DO35" s="65"/>
      <c r="DP35" s="65"/>
      <c r="DQ35" s="65"/>
      <c r="DR35" s="65"/>
      <c r="DS35" s="65"/>
      <c r="DT35" s="65"/>
      <c r="DU35" s="65"/>
      <c r="DV35" s="65"/>
      <c r="DW35" s="65"/>
      <c r="DX35" s="65"/>
      <c r="DY35" s="65"/>
      <c r="DZ35" s="65"/>
      <c r="EA35" s="65"/>
      <c r="EB35" s="65"/>
      <c r="EC35" s="65"/>
      <c r="ED35" s="65"/>
      <c r="EE35" s="65"/>
      <c r="EF35" s="65"/>
      <c r="EG35" s="65"/>
      <c r="EH35" s="65"/>
      <c r="EI35" s="65"/>
      <c r="EJ35" s="65"/>
      <c r="EK35" s="65"/>
      <c r="EL35" s="65"/>
      <c r="EM35" s="65"/>
      <c r="EN35" s="65"/>
      <c r="EO35" s="65"/>
      <c r="EP35" s="65"/>
      <c r="EQ35" s="65"/>
      <c r="ER35" s="65"/>
      <c r="ES35" s="65"/>
      <c r="ET35" s="65"/>
      <c r="EU35" s="65"/>
      <c r="EV35" s="65"/>
      <c r="EW35" s="65"/>
      <c r="EX35" s="65"/>
      <c r="EY35" s="65"/>
      <c r="EZ35" s="65"/>
      <c r="FA35" s="65"/>
      <c r="FB35" s="65"/>
      <c r="FC35" s="65"/>
      <c r="FD35" s="65"/>
      <c r="FE35" s="65"/>
      <c r="FF35" s="65"/>
      <c r="FG35" s="65"/>
      <c r="FH35" s="65"/>
      <c r="FI35" s="65"/>
      <c r="FJ35" s="65"/>
      <c r="FK35" s="65"/>
      <c r="FL35" s="65"/>
      <c r="FM35" s="65"/>
      <c r="FN35" s="65"/>
      <c r="FO35" s="65"/>
      <c r="FP35" s="65"/>
      <c r="FQ35" s="65"/>
      <c r="FR35" s="65"/>
      <c r="FS35" s="65"/>
      <c r="FT35" s="65"/>
      <c r="FU35" s="65"/>
      <c r="FV35" s="65"/>
      <c r="FW35" s="65"/>
      <c r="FX35" s="65"/>
      <c r="FY35" s="65"/>
      <c r="FZ35" s="65"/>
      <c r="GA35" s="65"/>
      <c r="GB35" s="65"/>
      <c r="GC35" s="65"/>
      <c r="GD35" s="65"/>
      <c r="GE35" s="65"/>
      <c r="GF35" s="65"/>
      <c r="GG35" s="65"/>
      <c r="GH35" s="65"/>
      <c r="GI35" s="65"/>
      <c r="GJ35" s="65"/>
      <c r="GK35" s="65"/>
      <c r="GL35" s="65"/>
      <c r="GM35" s="65"/>
      <c r="GN35" s="65"/>
      <c r="GO35" s="65"/>
      <c r="GP35" s="65"/>
      <c r="GQ35" s="65"/>
      <c r="GR35" s="65"/>
      <c r="GS35" s="65"/>
      <c r="GT35" s="65"/>
      <c r="GU35" s="65"/>
      <c r="GV35" s="65"/>
      <c r="GW35" s="65"/>
      <c r="GX35" s="65"/>
      <c r="GY35" s="65"/>
      <c r="GZ35" s="65"/>
      <c r="HA35" s="65"/>
      <c r="HB35" s="65"/>
      <c r="HC35" s="65"/>
      <c r="HD35" s="65"/>
      <c r="HE35" s="65"/>
      <c r="HF35" s="65"/>
      <c r="HG35" s="65"/>
      <c r="HH35" s="65"/>
      <c r="HI35" s="65"/>
      <c r="HJ35" s="65"/>
      <c r="HK35" s="65"/>
      <c r="HL35" s="65"/>
      <c r="HM35" s="65"/>
      <c r="HN35" s="65"/>
      <c r="HO35" s="65"/>
      <c r="HP35" s="65"/>
      <c r="HQ35" s="65"/>
      <c r="HR35" s="65"/>
      <c r="HS35" s="65"/>
      <c r="HT35" s="65"/>
      <c r="HU35" s="65"/>
      <c r="HV35" s="65"/>
      <c r="HW35" s="65"/>
      <c r="HX35" s="65"/>
      <c r="HY35" s="65"/>
      <c r="HZ35" s="65"/>
      <c r="IA35" s="65"/>
      <c r="IB35" s="65"/>
      <c r="IC35" s="65"/>
      <c r="ID35" s="65"/>
      <c r="IE35" s="65"/>
      <c r="IF35" s="65"/>
      <c r="IG35" s="65"/>
      <c r="IH35" s="65"/>
      <c r="II35" s="65"/>
      <c r="IJ35" s="65"/>
      <c r="IK35" s="65"/>
      <c r="IL35" s="65"/>
      <c r="IM35" s="65"/>
      <c r="IN35" s="65"/>
      <c r="IO35" s="65"/>
      <c r="IP35" s="65"/>
      <c r="IQ35" s="65"/>
      <c r="IR35" s="65"/>
      <c r="IS35" s="65"/>
      <c r="IT35" s="65"/>
      <c r="IU35" s="65"/>
      <c r="IV35" s="65"/>
      <c r="IW35" s="65"/>
    </row>
    <row r="36" spans="1:257" s="110" customFormat="1" ht="18" customHeight="1">
      <c r="A36" s="65"/>
      <c r="B36" s="1454"/>
      <c r="C36" s="1455"/>
      <c r="D36" s="1457"/>
      <c r="E36" s="1405"/>
      <c r="F36" s="1405"/>
      <c r="G36" s="1405"/>
      <c r="H36" s="1405"/>
      <c r="I36" s="1405"/>
      <c r="J36" s="1405"/>
      <c r="K36" s="1405"/>
      <c r="L36" s="1406"/>
      <c r="M36" s="1524"/>
      <c r="N36" s="1525"/>
      <c r="O36" s="1525"/>
      <c r="P36" s="1525"/>
      <c r="Q36" s="1525"/>
      <c r="R36" s="1525"/>
      <c r="S36" s="1526"/>
      <c r="T36" s="138"/>
      <c r="U36" s="65"/>
      <c r="V36" s="65"/>
      <c r="W36" s="65"/>
      <c r="X36" s="65"/>
      <c r="Y36" s="65"/>
      <c r="Z36" s="65"/>
      <c r="AA36" s="65"/>
      <c r="AB36" s="65"/>
      <c r="AC36" s="65"/>
      <c r="AD36" s="65"/>
      <c r="AE36" s="65"/>
      <c r="AF36" s="65"/>
      <c r="AG36" s="65"/>
      <c r="AH36" s="65"/>
      <c r="AI36" s="65"/>
      <c r="AJ36" s="65"/>
      <c r="AK36" s="65"/>
      <c r="AL36" s="65"/>
      <c r="AM36" s="65"/>
      <c r="AN36" s="65"/>
      <c r="AO36" s="65"/>
      <c r="AP36" s="65"/>
      <c r="AQ36" s="65"/>
      <c r="AR36" s="65"/>
      <c r="AS36" s="65"/>
      <c r="AT36" s="65"/>
      <c r="AU36" s="65"/>
      <c r="AV36" s="65"/>
      <c r="AW36" s="65"/>
      <c r="AX36" s="65"/>
      <c r="AY36" s="65"/>
      <c r="AZ36" s="65"/>
      <c r="BA36" s="65"/>
      <c r="BB36" s="65"/>
      <c r="BC36" s="65"/>
      <c r="BD36" s="65"/>
      <c r="BE36" s="65"/>
      <c r="BF36" s="65"/>
      <c r="BG36" s="65"/>
      <c r="BH36" s="65"/>
      <c r="BI36" s="65"/>
      <c r="BJ36" s="65"/>
      <c r="BK36" s="65"/>
      <c r="BL36" s="65"/>
      <c r="BM36" s="65"/>
      <c r="BN36" s="65"/>
      <c r="BO36" s="65"/>
      <c r="BP36" s="65"/>
      <c r="BQ36" s="65"/>
      <c r="BR36" s="65"/>
      <c r="BS36" s="65"/>
      <c r="BT36" s="65"/>
      <c r="BU36" s="65"/>
      <c r="BV36" s="65"/>
      <c r="BW36" s="65"/>
      <c r="BX36" s="65"/>
      <c r="BY36" s="65"/>
      <c r="BZ36" s="65"/>
      <c r="CA36" s="65"/>
      <c r="CB36" s="65"/>
      <c r="CC36" s="65"/>
      <c r="CD36" s="65"/>
      <c r="CE36" s="65"/>
      <c r="CF36" s="65"/>
      <c r="CG36" s="65"/>
      <c r="CH36" s="65"/>
      <c r="CI36" s="65"/>
      <c r="CJ36" s="65"/>
      <c r="CK36" s="65"/>
      <c r="CL36" s="65"/>
      <c r="CM36" s="65"/>
      <c r="CN36" s="65"/>
      <c r="CO36" s="65"/>
      <c r="CP36" s="65"/>
      <c r="CQ36" s="65"/>
      <c r="CR36" s="65"/>
      <c r="CS36" s="65"/>
      <c r="CT36" s="65"/>
      <c r="CU36" s="65"/>
      <c r="CV36" s="65"/>
      <c r="CW36" s="65"/>
      <c r="CX36" s="65"/>
      <c r="CY36" s="65"/>
      <c r="CZ36" s="65"/>
      <c r="DA36" s="65"/>
      <c r="DB36" s="65"/>
      <c r="DC36" s="65"/>
      <c r="DD36" s="65"/>
      <c r="DE36" s="65"/>
      <c r="DF36" s="65"/>
      <c r="DG36" s="65"/>
      <c r="DH36" s="65"/>
      <c r="DI36" s="65"/>
      <c r="DJ36" s="65"/>
      <c r="DK36" s="65"/>
      <c r="DL36" s="65"/>
      <c r="DM36" s="65"/>
      <c r="DN36" s="65"/>
      <c r="DO36" s="65"/>
      <c r="DP36" s="65"/>
      <c r="DQ36" s="65"/>
      <c r="DR36" s="65"/>
      <c r="DS36" s="65"/>
      <c r="DT36" s="65"/>
      <c r="DU36" s="65"/>
      <c r="DV36" s="65"/>
      <c r="DW36" s="65"/>
      <c r="DX36" s="65"/>
      <c r="DY36" s="65"/>
      <c r="DZ36" s="65"/>
      <c r="EA36" s="65"/>
      <c r="EB36" s="65"/>
      <c r="EC36" s="65"/>
      <c r="ED36" s="65"/>
      <c r="EE36" s="65"/>
      <c r="EF36" s="65"/>
      <c r="EG36" s="65"/>
      <c r="EH36" s="65"/>
      <c r="EI36" s="65"/>
      <c r="EJ36" s="65"/>
      <c r="EK36" s="65"/>
      <c r="EL36" s="65"/>
      <c r="EM36" s="65"/>
      <c r="EN36" s="65"/>
      <c r="EO36" s="65"/>
      <c r="EP36" s="65"/>
      <c r="EQ36" s="65"/>
      <c r="ER36" s="65"/>
      <c r="ES36" s="65"/>
      <c r="ET36" s="65"/>
      <c r="EU36" s="65"/>
      <c r="EV36" s="65"/>
      <c r="EW36" s="65"/>
      <c r="EX36" s="65"/>
      <c r="EY36" s="65"/>
      <c r="EZ36" s="65"/>
      <c r="FA36" s="65"/>
      <c r="FB36" s="65"/>
      <c r="FC36" s="65"/>
      <c r="FD36" s="65"/>
      <c r="FE36" s="65"/>
      <c r="FF36" s="65"/>
      <c r="FG36" s="65"/>
      <c r="FH36" s="65"/>
      <c r="FI36" s="65"/>
      <c r="FJ36" s="65"/>
      <c r="FK36" s="65"/>
      <c r="FL36" s="65"/>
      <c r="FM36" s="65"/>
      <c r="FN36" s="65"/>
      <c r="FO36" s="65"/>
      <c r="FP36" s="65"/>
      <c r="FQ36" s="65"/>
      <c r="FR36" s="65"/>
      <c r="FS36" s="65"/>
      <c r="FT36" s="65"/>
      <c r="FU36" s="65"/>
      <c r="FV36" s="65"/>
      <c r="FW36" s="65"/>
      <c r="FX36" s="65"/>
      <c r="FY36" s="65"/>
      <c r="FZ36" s="65"/>
      <c r="GA36" s="65"/>
      <c r="GB36" s="65"/>
      <c r="GC36" s="65"/>
      <c r="GD36" s="65"/>
      <c r="GE36" s="65"/>
      <c r="GF36" s="65"/>
      <c r="GG36" s="65"/>
      <c r="GH36" s="65"/>
      <c r="GI36" s="65"/>
      <c r="GJ36" s="65"/>
      <c r="GK36" s="65"/>
      <c r="GL36" s="65"/>
      <c r="GM36" s="65"/>
      <c r="GN36" s="65"/>
      <c r="GO36" s="65"/>
      <c r="GP36" s="65"/>
      <c r="GQ36" s="65"/>
      <c r="GR36" s="65"/>
      <c r="GS36" s="65"/>
      <c r="GT36" s="65"/>
      <c r="GU36" s="65"/>
      <c r="GV36" s="65"/>
      <c r="GW36" s="65"/>
      <c r="GX36" s="65"/>
      <c r="GY36" s="65"/>
      <c r="GZ36" s="65"/>
      <c r="HA36" s="65"/>
      <c r="HB36" s="65"/>
      <c r="HC36" s="65"/>
      <c r="HD36" s="65"/>
      <c r="HE36" s="65"/>
      <c r="HF36" s="65"/>
      <c r="HG36" s="65"/>
      <c r="HH36" s="65"/>
      <c r="HI36" s="65"/>
      <c r="HJ36" s="65"/>
      <c r="HK36" s="65"/>
      <c r="HL36" s="65"/>
      <c r="HM36" s="65"/>
      <c r="HN36" s="65"/>
      <c r="HO36" s="65"/>
      <c r="HP36" s="65"/>
      <c r="HQ36" s="65"/>
      <c r="HR36" s="65"/>
      <c r="HS36" s="65"/>
      <c r="HT36" s="65"/>
      <c r="HU36" s="65"/>
      <c r="HV36" s="65"/>
      <c r="HW36" s="65"/>
      <c r="HX36" s="65"/>
      <c r="HY36" s="65"/>
      <c r="HZ36" s="65"/>
      <c r="IA36" s="65"/>
      <c r="IB36" s="65"/>
      <c r="IC36" s="65"/>
      <c r="ID36" s="65"/>
      <c r="IE36" s="65"/>
      <c r="IF36" s="65"/>
      <c r="IG36" s="65"/>
      <c r="IH36" s="65"/>
      <c r="II36" s="65"/>
      <c r="IJ36" s="65"/>
      <c r="IK36" s="65"/>
      <c r="IL36" s="65"/>
      <c r="IM36" s="65"/>
      <c r="IN36" s="65"/>
      <c r="IO36" s="65"/>
      <c r="IP36" s="65"/>
      <c r="IQ36" s="65"/>
      <c r="IR36" s="65"/>
      <c r="IS36" s="65"/>
      <c r="IT36" s="65"/>
      <c r="IU36" s="65"/>
      <c r="IV36" s="65"/>
      <c r="IW36" s="65"/>
    </row>
    <row r="37" spans="1:257" s="110" customFormat="1" ht="18" customHeight="1">
      <c r="A37" s="65"/>
      <c r="B37" s="1265" t="s">
        <v>1146</v>
      </c>
      <c r="C37" s="1266"/>
      <c r="D37" s="1456" t="s">
        <v>1147</v>
      </c>
      <c r="E37" s="1284"/>
      <c r="F37" s="1284"/>
      <c r="G37" s="1284"/>
      <c r="H37" s="1284"/>
      <c r="I37" s="1284"/>
      <c r="J37" s="1284"/>
      <c r="K37" s="1284"/>
      <c r="L37" s="1401"/>
      <c r="M37" s="970" t="s">
        <v>1148</v>
      </c>
      <c r="N37" s="1480" t="s">
        <v>1149</v>
      </c>
      <c r="O37" s="1480"/>
      <c r="P37" s="1480" t="s">
        <v>1150</v>
      </c>
      <c r="Q37" s="1528"/>
      <c r="R37" s="1480" t="s">
        <v>1151</v>
      </c>
      <c r="S37" s="1529"/>
      <c r="T37" s="65"/>
      <c r="U37" s="142"/>
      <c r="V37" s="142"/>
      <c r="W37" s="142"/>
      <c r="X37" s="65"/>
      <c r="Y37" s="65"/>
      <c r="Z37" s="65"/>
      <c r="AA37" s="65"/>
      <c r="AB37" s="65"/>
      <c r="AC37" s="65"/>
      <c r="AD37" s="65"/>
      <c r="AE37" s="65"/>
      <c r="AF37" s="65"/>
      <c r="AG37" s="65"/>
      <c r="AH37" s="65"/>
      <c r="AI37" s="65"/>
      <c r="AJ37" s="65"/>
      <c r="AK37" s="65"/>
      <c r="AL37" s="65"/>
      <c r="AM37" s="65"/>
      <c r="AN37" s="65"/>
      <c r="AO37" s="65"/>
      <c r="AP37" s="65"/>
      <c r="AQ37" s="65"/>
      <c r="AR37" s="65"/>
      <c r="AS37" s="65"/>
      <c r="AT37" s="65"/>
      <c r="AU37" s="65"/>
      <c r="AV37" s="65"/>
      <c r="AW37" s="65"/>
      <c r="AX37" s="65"/>
      <c r="AY37" s="65"/>
      <c r="AZ37" s="65"/>
      <c r="BA37" s="65"/>
      <c r="BB37" s="65"/>
      <c r="BC37" s="65"/>
      <c r="BD37" s="65"/>
      <c r="BE37" s="65"/>
      <c r="BF37" s="65"/>
      <c r="BG37" s="65"/>
      <c r="BH37" s="65"/>
      <c r="BI37" s="65"/>
      <c r="BJ37" s="65"/>
      <c r="BK37" s="65"/>
      <c r="BL37" s="65"/>
      <c r="BM37" s="65"/>
      <c r="BN37" s="65"/>
      <c r="BO37" s="65"/>
      <c r="BP37" s="65"/>
      <c r="BQ37" s="65"/>
      <c r="BR37" s="65"/>
      <c r="BS37" s="65"/>
      <c r="BT37" s="65"/>
      <c r="BU37" s="65"/>
      <c r="BV37" s="65"/>
      <c r="BW37" s="65"/>
      <c r="BX37" s="65"/>
      <c r="BY37" s="65"/>
      <c r="BZ37" s="65"/>
      <c r="CA37" s="65"/>
      <c r="CB37" s="65"/>
      <c r="CC37" s="65"/>
      <c r="CD37" s="65"/>
      <c r="CE37" s="65"/>
      <c r="CF37" s="65"/>
      <c r="CG37" s="65"/>
      <c r="CH37" s="65"/>
      <c r="CI37" s="65"/>
      <c r="CJ37" s="65"/>
      <c r="CK37" s="65"/>
      <c r="CL37" s="65"/>
      <c r="CM37" s="65"/>
      <c r="CN37" s="65"/>
      <c r="CO37" s="65"/>
      <c r="CP37" s="65"/>
      <c r="CQ37" s="65"/>
      <c r="CR37" s="65"/>
      <c r="CS37" s="65"/>
      <c r="CT37" s="65"/>
      <c r="CU37" s="65"/>
      <c r="CV37" s="65"/>
      <c r="CW37" s="65"/>
      <c r="CX37" s="65"/>
      <c r="CY37" s="65"/>
      <c r="CZ37" s="65"/>
      <c r="DA37" s="65"/>
      <c r="DB37" s="65"/>
      <c r="DC37" s="65"/>
      <c r="DD37" s="65"/>
      <c r="DE37" s="65"/>
      <c r="DF37" s="65"/>
      <c r="DG37" s="65"/>
      <c r="DH37" s="65"/>
      <c r="DI37" s="65"/>
      <c r="DJ37" s="65"/>
      <c r="DK37" s="65"/>
      <c r="DL37" s="65"/>
      <c r="DM37" s="65"/>
      <c r="DN37" s="65"/>
      <c r="DO37" s="65"/>
      <c r="DP37" s="65"/>
      <c r="DQ37" s="65"/>
      <c r="DR37" s="65"/>
      <c r="DS37" s="65"/>
      <c r="DT37" s="65"/>
      <c r="DU37" s="65"/>
      <c r="DV37" s="65"/>
      <c r="DW37" s="65"/>
      <c r="DX37" s="65"/>
      <c r="DY37" s="65"/>
      <c r="DZ37" s="65"/>
      <c r="EA37" s="65"/>
      <c r="EB37" s="65"/>
      <c r="EC37" s="65"/>
      <c r="ED37" s="65"/>
      <c r="EE37" s="65"/>
      <c r="EF37" s="65"/>
      <c r="EG37" s="65"/>
      <c r="EH37" s="65"/>
      <c r="EI37" s="65"/>
      <c r="EJ37" s="65"/>
      <c r="EK37" s="65"/>
      <c r="EL37" s="65"/>
      <c r="EM37" s="65"/>
      <c r="EN37" s="65"/>
      <c r="EO37" s="65"/>
      <c r="EP37" s="65"/>
      <c r="EQ37" s="65"/>
      <c r="ER37" s="65"/>
      <c r="ES37" s="65"/>
      <c r="ET37" s="65"/>
      <c r="EU37" s="65"/>
      <c r="EV37" s="65"/>
      <c r="EW37" s="65"/>
      <c r="EX37" s="65"/>
      <c r="EY37" s="65"/>
      <c r="EZ37" s="65"/>
      <c r="FA37" s="65"/>
      <c r="FB37" s="65"/>
      <c r="FC37" s="65"/>
      <c r="FD37" s="65"/>
      <c r="FE37" s="65"/>
      <c r="FF37" s="65"/>
      <c r="FG37" s="65"/>
      <c r="FH37" s="65"/>
      <c r="FI37" s="65"/>
      <c r="FJ37" s="65"/>
      <c r="FK37" s="65"/>
      <c r="FL37" s="65"/>
      <c r="FM37" s="65"/>
      <c r="FN37" s="65"/>
      <c r="FO37" s="65"/>
      <c r="FP37" s="65"/>
      <c r="FQ37" s="65"/>
      <c r="FR37" s="65"/>
      <c r="FS37" s="65"/>
      <c r="FT37" s="65"/>
      <c r="FU37" s="65"/>
      <c r="FV37" s="65"/>
      <c r="FW37" s="65"/>
      <c r="FX37" s="65"/>
      <c r="FY37" s="65"/>
      <c r="FZ37" s="65"/>
      <c r="GA37" s="65"/>
      <c r="GB37" s="65"/>
      <c r="GC37" s="65"/>
      <c r="GD37" s="65"/>
      <c r="GE37" s="65"/>
      <c r="GF37" s="65"/>
      <c r="GG37" s="65"/>
      <c r="GH37" s="65"/>
      <c r="GI37" s="65"/>
      <c r="GJ37" s="65"/>
      <c r="GK37" s="65"/>
      <c r="GL37" s="65"/>
      <c r="GM37" s="65"/>
      <c r="GN37" s="65"/>
      <c r="GO37" s="65"/>
      <c r="GP37" s="65"/>
      <c r="GQ37" s="65"/>
      <c r="GR37" s="65"/>
      <c r="GS37" s="65"/>
      <c r="GT37" s="65"/>
      <c r="GU37" s="65"/>
      <c r="GV37" s="65"/>
      <c r="GW37" s="65"/>
      <c r="GX37" s="65"/>
      <c r="GY37" s="65"/>
      <c r="GZ37" s="65"/>
      <c r="HA37" s="65"/>
      <c r="HB37" s="65"/>
      <c r="HC37" s="65"/>
      <c r="HD37" s="65"/>
      <c r="HE37" s="65"/>
      <c r="HF37" s="65"/>
      <c r="HG37" s="65"/>
      <c r="HH37" s="65"/>
      <c r="HI37" s="65"/>
      <c r="HJ37" s="65"/>
      <c r="HK37" s="65"/>
      <c r="HL37" s="65"/>
      <c r="HM37" s="65"/>
      <c r="HN37" s="65"/>
      <c r="HO37" s="65"/>
      <c r="HP37" s="65"/>
      <c r="HQ37" s="65"/>
      <c r="HR37" s="65"/>
      <c r="HS37" s="65"/>
      <c r="HT37" s="65"/>
      <c r="HU37" s="65"/>
      <c r="HV37" s="65"/>
      <c r="HW37" s="65"/>
      <c r="HX37" s="65"/>
      <c r="HY37" s="65"/>
      <c r="HZ37" s="65"/>
      <c r="IA37" s="65"/>
      <c r="IB37" s="65"/>
      <c r="IC37" s="65"/>
      <c r="ID37" s="65"/>
      <c r="IE37" s="65"/>
      <c r="IF37" s="65"/>
      <c r="IG37" s="65"/>
      <c r="IH37" s="65"/>
      <c r="II37" s="65"/>
      <c r="IJ37" s="65"/>
      <c r="IK37" s="65"/>
      <c r="IL37" s="65"/>
      <c r="IM37" s="65"/>
      <c r="IN37" s="65"/>
      <c r="IO37" s="65"/>
      <c r="IP37" s="65"/>
      <c r="IQ37" s="65"/>
      <c r="IR37" s="65"/>
      <c r="IS37" s="65"/>
      <c r="IT37" s="65"/>
      <c r="IU37" s="65"/>
      <c r="IV37" s="65"/>
      <c r="IW37" s="65"/>
    </row>
    <row r="38" spans="1:257" s="110" customFormat="1" ht="18" customHeight="1">
      <c r="A38" s="65"/>
      <c r="B38" s="1267"/>
      <c r="C38" s="1268"/>
      <c r="D38" s="1271"/>
      <c r="E38" s="1161"/>
      <c r="F38" s="1161"/>
      <c r="G38" s="1161"/>
      <c r="H38" s="1161"/>
      <c r="I38" s="1161"/>
      <c r="J38" s="1161"/>
      <c r="K38" s="1161"/>
      <c r="L38" s="1403"/>
      <c r="M38" s="970" t="s">
        <v>1152</v>
      </c>
      <c r="N38" s="1513" t="s">
        <v>1153</v>
      </c>
      <c r="O38" s="1513"/>
      <c r="P38" s="1513" t="s">
        <v>1154</v>
      </c>
      <c r="Q38" s="1513"/>
      <c r="R38" s="1513" t="s">
        <v>1154</v>
      </c>
      <c r="S38" s="1514"/>
      <c r="T38" s="65"/>
      <c r="U38" s="142"/>
      <c r="V38" s="142"/>
      <c r="W38" s="142"/>
      <c r="X38" s="65"/>
      <c r="Y38" s="65"/>
      <c r="Z38" s="65"/>
      <c r="AA38" s="65"/>
      <c r="AB38" s="65"/>
      <c r="AC38" s="65"/>
      <c r="AD38" s="65"/>
      <c r="AE38" s="65"/>
      <c r="AF38" s="65"/>
      <c r="AG38" s="65"/>
      <c r="AH38" s="65"/>
      <c r="AI38" s="65"/>
      <c r="AJ38" s="65"/>
      <c r="AK38" s="65"/>
      <c r="AL38" s="65"/>
      <c r="AM38" s="65"/>
      <c r="AN38" s="65"/>
      <c r="AO38" s="65"/>
      <c r="AP38" s="65"/>
      <c r="AQ38" s="65"/>
      <c r="AR38" s="65"/>
      <c r="AS38" s="65"/>
      <c r="AT38" s="65"/>
      <c r="AU38" s="65"/>
      <c r="AV38" s="65"/>
      <c r="AW38" s="65"/>
      <c r="AX38" s="65"/>
      <c r="AY38" s="65"/>
      <c r="AZ38" s="65"/>
      <c r="BA38" s="65"/>
      <c r="BB38" s="65"/>
      <c r="BC38" s="65"/>
      <c r="BD38" s="65"/>
      <c r="BE38" s="65"/>
      <c r="BF38" s="65"/>
      <c r="BG38" s="65"/>
      <c r="BH38" s="65"/>
      <c r="BI38" s="65"/>
      <c r="BJ38" s="65"/>
      <c r="BK38" s="65"/>
      <c r="BL38" s="65"/>
      <c r="BM38" s="65"/>
      <c r="BN38" s="65"/>
      <c r="BO38" s="65"/>
      <c r="BP38" s="65"/>
      <c r="BQ38" s="65"/>
      <c r="BR38" s="65"/>
      <c r="BS38" s="65"/>
      <c r="BT38" s="65"/>
      <c r="BU38" s="65"/>
      <c r="BV38" s="65"/>
      <c r="BW38" s="65"/>
      <c r="BX38" s="65"/>
      <c r="BY38" s="65"/>
      <c r="BZ38" s="65"/>
      <c r="CA38" s="65"/>
      <c r="CB38" s="65"/>
      <c r="CC38" s="65"/>
      <c r="CD38" s="65"/>
      <c r="CE38" s="65"/>
      <c r="CF38" s="65"/>
      <c r="CG38" s="65"/>
      <c r="CH38" s="65"/>
      <c r="CI38" s="65"/>
      <c r="CJ38" s="65"/>
      <c r="CK38" s="65"/>
      <c r="CL38" s="65"/>
      <c r="CM38" s="65"/>
      <c r="CN38" s="65"/>
      <c r="CO38" s="65"/>
      <c r="CP38" s="65"/>
      <c r="CQ38" s="65"/>
      <c r="CR38" s="65"/>
      <c r="CS38" s="65"/>
      <c r="CT38" s="65"/>
      <c r="CU38" s="65"/>
      <c r="CV38" s="65"/>
      <c r="CW38" s="65"/>
      <c r="CX38" s="65"/>
      <c r="CY38" s="65"/>
      <c r="CZ38" s="65"/>
      <c r="DA38" s="65"/>
      <c r="DB38" s="65"/>
      <c r="DC38" s="65"/>
      <c r="DD38" s="65"/>
      <c r="DE38" s="65"/>
      <c r="DF38" s="65"/>
      <c r="DG38" s="65"/>
      <c r="DH38" s="65"/>
      <c r="DI38" s="65"/>
      <c r="DJ38" s="65"/>
      <c r="DK38" s="65"/>
      <c r="DL38" s="65"/>
      <c r="DM38" s="65"/>
      <c r="DN38" s="65"/>
      <c r="DO38" s="65"/>
      <c r="DP38" s="65"/>
      <c r="DQ38" s="65"/>
      <c r="DR38" s="65"/>
      <c r="DS38" s="65"/>
      <c r="DT38" s="65"/>
      <c r="DU38" s="65"/>
      <c r="DV38" s="65"/>
      <c r="DW38" s="65"/>
      <c r="DX38" s="65"/>
      <c r="DY38" s="65"/>
      <c r="DZ38" s="65"/>
      <c r="EA38" s="65"/>
      <c r="EB38" s="65"/>
      <c r="EC38" s="65"/>
      <c r="ED38" s="65"/>
      <c r="EE38" s="65"/>
      <c r="EF38" s="65"/>
      <c r="EG38" s="65"/>
      <c r="EH38" s="65"/>
      <c r="EI38" s="65"/>
      <c r="EJ38" s="65"/>
      <c r="EK38" s="65"/>
      <c r="EL38" s="65"/>
      <c r="EM38" s="65"/>
      <c r="EN38" s="65"/>
      <c r="EO38" s="65"/>
      <c r="EP38" s="65"/>
      <c r="EQ38" s="65"/>
      <c r="ER38" s="65"/>
      <c r="ES38" s="65"/>
      <c r="ET38" s="65"/>
      <c r="EU38" s="65"/>
      <c r="EV38" s="65"/>
      <c r="EW38" s="65"/>
      <c r="EX38" s="65"/>
      <c r="EY38" s="65"/>
      <c r="EZ38" s="65"/>
      <c r="FA38" s="65"/>
      <c r="FB38" s="65"/>
      <c r="FC38" s="65"/>
      <c r="FD38" s="65"/>
      <c r="FE38" s="65"/>
      <c r="FF38" s="65"/>
      <c r="FG38" s="65"/>
      <c r="FH38" s="65"/>
      <c r="FI38" s="65"/>
      <c r="FJ38" s="65"/>
      <c r="FK38" s="65"/>
      <c r="FL38" s="65"/>
      <c r="FM38" s="65"/>
      <c r="FN38" s="65"/>
      <c r="FO38" s="65"/>
      <c r="FP38" s="65"/>
      <c r="FQ38" s="65"/>
      <c r="FR38" s="65"/>
      <c r="FS38" s="65"/>
      <c r="FT38" s="65"/>
      <c r="FU38" s="65"/>
      <c r="FV38" s="65"/>
      <c r="FW38" s="65"/>
      <c r="FX38" s="65"/>
      <c r="FY38" s="65"/>
      <c r="FZ38" s="65"/>
      <c r="GA38" s="65"/>
      <c r="GB38" s="65"/>
      <c r="GC38" s="65"/>
      <c r="GD38" s="65"/>
      <c r="GE38" s="65"/>
      <c r="GF38" s="65"/>
      <c r="GG38" s="65"/>
      <c r="GH38" s="65"/>
      <c r="GI38" s="65"/>
      <c r="GJ38" s="65"/>
      <c r="GK38" s="65"/>
      <c r="GL38" s="65"/>
      <c r="GM38" s="65"/>
      <c r="GN38" s="65"/>
      <c r="GO38" s="65"/>
      <c r="GP38" s="65"/>
      <c r="GQ38" s="65"/>
      <c r="GR38" s="65"/>
      <c r="GS38" s="65"/>
      <c r="GT38" s="65"/>
      <c r="GU38" s="65"/>
      <c r="GV38" s="65"/>
      <c r="GW38" s="65"/>
      <c r="GX38" s="65"/>
      <c r="GY38" s="65"/>
      <c r="GZ38" s="65"/>
      <c r="HA38" s="65"/>
      <c r="HB38" s="65"/>
      <c r="HC38" s="65"/>
      <c r="HD38" s="65"/>
      <c r="HE38" s="65"/>
      <c r="HF38" s="65"/>
      <c r="HG38" s="65"/>
      <c r="HH38" s="65"/>
      <c r="HI38" s="65"/>
      <c r="HJ38" s="65"/>
      <c r="HK38" s="65"/>
      <c r="HL38" s="65"/>
      <c r="HM38" s="65"/>
      <c r="HN38" s="65"/>
      <c r="HO38" s="65"/>
      <c r="HP38" s="65"/>
      <c r="HQ38" s="65"/>
      <c r="HR38" s="65"/>
      <c r="HS38" s="65"/>
      <c r="HT38" s="65"/>
      <c r="HU38" s="65"/>
      <c r="HV38" s="65"/>
      <c r="HW38" s="65"/>
      <c r="HX38" s="65"/>
      <c r="HY38" s="65"/>
      <c r="HZ38" s="65"/>
      <c r="IA38" s="65"/>
      <c r="IB38" s="65"/>
      <c r="IC38" s="65"/>
      <c r="ID38" s="65"/>
      <c r="IE38" s="65"/>
      <c r="IF38" s="65"/>
      <c r="IG38" s="65"/>
      <c r="IH38" s="65"/>
      <c r="II38" s="65"/>
      <c r="IJ38" s="65"/>
      <c r="IK38" s="65"/>
      <c r="IL38" s="65"/>
      <c r="IM38" s="65"/>
      <c r="IN38" s="65"/>
      <c r="IO38" s="65"/>
      <c r="IP38" s="65"/>
      <c r="IQ38" s="65"/>
      <c r="IR38" s="65"/>
      <c r="IS38" s="65"/>
      <c r="IT38" s="65"/>
      <c r="IU38" s="65"/>
      <c r="IV38" s="65"/>
      <c r="IW38" s="65"/>
    </row>
    <row r="39" spans="1:257" s="110" customFormat="1" ht="18" customHeight="1">
      <c r="A39" s="65"/>
      <c r="B39" s="1267"/>
      <c r="C39" s="1268"/>
      <c r="D39" s="1271"/>
      <c r="E39" s="1161"/>
      <c r="F39" s="1161"/>
      <c r="G39" s="1161"/>
      <c r="H39" s="1161"/>
      <c r="I39" s="1161"/>
      <c r="J39" s="1161"/>
      <c r="K39" s="1161"/>
      <c r="L39" s="1403"/>
      <c r="M39" s="970" t="s">
        <v>1155</v>
      </c>
      <c r="N39" s="1513" t="s">
        <v>1156</v>
      </c>
      <c r="O39" s="1513"/>
      <c r="P39" s="1513" t="s">
        <v>1154</v>
      </c>
      <c r="Q39" s="1513"/>
      <c r="R39" s="1513" t="s">
        <v>1154</v>
      </c>
      <c r="S39" s="1514"/>
      <c r="T39" s="65"/>
      <c r="U39" s="142"/>
      <c r="V39" s="142"/>
      <c r="W39" s="142"/>
      <c r="X39" s="65"/>
      <c r="Y39" s="65"/>
      <c r="Z39" s="65"/>
      <c r="AA39" s="65"/>
      <c r="AB39" s="65"/>
      <c r="AC39" s="65"/>
      <c r="AD39" s="65"/>
      <c r="AE39" s="65"/>
      <c r="AF39" s="65"/>
      <c r="AG39" s="65"/>
      <c r="AH39" s="65"/>
      <c r="AI39" s="65"/>
      <c r="AJ39" s="65"/>
      <c r="AK39" s="65"/>
      <c r="AL39" s="65"/>
      <c r="AM39" s="65"/>
      <c r="AN39" s="65"/>
      <c r="AO39" s="65"/>
      <c r="AP39" s="65"/>
      <c r="AQ39" s="65"/>
      <c r="AR39" s="65"/>
      <c r="AS39" s="65"/>
      <c r="AT39" s="65"/>
      <c r="AU39" s="65"/>
      <c r="AV39" s="65"/>
      <c r="AW39" s="65"/>
      <c r="AX39" s="65"/>
      <c r="AY39" s="65"/>
      <c r="AZ39" s="65"/>
      <c r="BA39" s="65"/>
      <c r="BB39" s="65"/>
      <c r="BC39" s="65"/>
      <c r="BD39" s="65"/>
      <c r="BE39" s="65"/>
      <c r="BF39" s="65"/>
      <c r="BG39" s="65"/>
      <c r="BH39" s="65"/>
      <c r="BI39" s="65"/>
      <c r="BJ39" s="65"/>
      <c r="BK39" s="65"/>
      <c r="BL39" s="65"/>
      <c r="BM39" s="65"/>
      <c r="BN39" s="65"/>
      <c r="BO39" s="65"/>
      <c r="BP39" s="65"/>
      <c r="BQ39" s="65"/>
      <c r="BR39" s="65"/>
      <c r="BS39" s="65"/>
      <c r="BT39" s="65"/>
      <c r="BU39" s="65"/>
      <c r="BV39" s="65"/>
      <c r="BW39" s="65"/>
      <c r="BX39" s="65"/>
      <c r="BY39" s="65"/>
      <c r="BZ39" s="65"/>
      <c r="CA39" s="65"/>
      <c r="CB39" s="65"/>
      <c r="CC39" s="65"/>
      <c r="CD39" s="65"/>
      <c r="CE39" s="65"/>
      <c r="CF39" s="65"/>
      <c r="CG39" s="65"/>
      <c r="CH39" s="65"/>
      <c r="CI39" s="65"/>
      <c r="CJ39" s="65"/>
      <c r="CK39" s="65"/>
      <c r="CL39" s="65"/>
      <c r="CM39" s="65"/>
      <c r="CN39" s="65"/>
      <c r="CO39" s="65"/>
      <c r="CP39" s="65"/>
      <c r="CQ39" s="65"/>
      <c r="CR39" s="65"/>
      <c r="CS39" s="65"/>
      <c r="CT39" s="65"/>
      <c r="CU39" s="65"/>
      <c r="CV39" s="65"/>
      <c r="CW39" s="65"/>
      <c r="CX39" s="65"/>
      <c r="CY39" s="65"/>
      <c r="CZ39" s="65"/>
      <c r="DA39" s="65"/>
      <c r="DB39" s="65"/>
      <c r="DC39" s="65"/>
      <c r="DD39" s="65"/>
      <c r="DE39" s="65"/>
      <c r="DF39" s="65"/>
      <c r="DG39" s="65"/>
      <c r="DH39" s="65"/>
      <c r="DI39" s="65"/>
      <c r="DJ39" s="65"/>
      <c r="DK39" s="65"/>
      <c r="DL39" s="65"/>
      <c r="DM39" s="65"/>
      <c r="DN39" s="65"/>
      <c r="DO39" s="65"/>
      <c r="DP39" s="65"/>
      <c r="DQ39" s="65"/>
      <c r="DR39" s="65"/>
      <c r="DS39" s="65"/>
      <c r="DT39" s="65"/>
      <c r="DU39" s="65"/>
      <c r="DV39" s="65"/>
      <c r="DW39" s="65"/>
      <c r="DX39" s="65"/>
      <c r="DY39" s="65"/>
      <c r="DZ39" s="65"/>
      <c r="EA39" s="65"/>
      <c r="EB39" s="65"/>
      <c r="EC39" s="65"/>
      <c r="ED39" s="65"/>
      <c r="EE39" s="65"/>
      <c r="EF39" s="65"/>
      <c r="EG39" s="65"/>
      <c r="EH39" s="65"/>
      <c r="EI39" s="65"/>
      <c r="EJ39" s="65"/>
      <c r="EK39" s="65"/>
      <c r="EL39" s="65"/>
      <c r="EM39" s="65"/>
      <c r="EN39" s="65"/>
      <c r="EO39" s="65"/>
      <c r="EP39" s="65"/>
      <c r="EQ39" s="65"/>
      <c r="ER39" s="65"/>
      <c r="ES39" s="65"/>
      <c r="ET39" s="65"/>
      <c r="EU39" s="65"/>
      <c r="EV39" s="65"/>
      <c r="EW39" s="65"/>
      <c r="EX39" s="65"/>
      <c r="EY39" s="65"/>
      <c r="EZ39" s="65"/>
      <c r="FA39" s="65"/>
      <c r="FB39" s="65"/>
      <c r="FC39" s="65"/>
      <c r="FD39" s="65"/>
      <c r="FE39" s="65"/>
      <c r="FF39" s="65"/>
      <c r="FG39" s="65"/>
      <c r="FH39" s="65"/>
      <c r="FI39" s="65"/>
      <c r="FJ39" s="65"/>
      <c r="FK39" s="65"/>
      <c r="FL39" s="65"/>
      <c r="FM39" s="65"/>
      <c r="FN39" s="65"/>
      <c r="FO39" s="65"/>
      <c r="FP39" s="65"/>
      <c r="FQ39" s="65"/>
      <c r="FR39" s="65"/>
      <c r="FS39" s="65"/>
      <c r="FT39" s="65"/>
      <c r="FU39" s="65"/>
      <c r="FV39" s="65"/>
      <c r="FW39" s="65"/>
      <c r="FX39" s="65"/>
      <c r="FY39" s="65"/>
      <c r="FZ39" s="65"/>
      <c r="GA39" s="65"/>
      <c r="GB39" s="65"/>
      <c r="GC39" s="65"/>
      <c r="GD39" s="65"/>
      <c r="GE39" s="65"/>
      <c r="GF39" s="65"/>
      <c r="GG39" s="65"/>
      <c r="GH39" s="65"/>
      <c r="GI39" s="65"/>
      <c r="GJ39" s="65"/>
      <c r="GK39" s="65"/>
      <c r="GL39" s="65"/>
      <c r="GM39" s="65"/>
      <c r="GN39" s="65"/>
      <c r="GO39" s="65"/>
      <c r="GP39" s="65"/>
      <c r="GQ39" s="65"/>
      <c r="GR39" s="65"/>
      <c r="GS39" s="65"/>
      <c r="GT39" s="65"/>
      <c r="GU39" s="65"/>
      <c r="GV39" s="65"/>
      <c r="GW39" s="65"/>
      <c r="GX39" s="65"/>
      <c r="GY39" s="65"/>
      <c r="GZ39" s="65"/>
      <c r="HA39" s="65"/>
      <c r="HB39" s="65"/>
      <c r="HC39" s="65"/>
      <c r="HD39" s="65"/>
      <c r="HE39" s="65"/>
      <c r="HF39" s="65"/>
      <c r="HG39" s="65"/>
      <c r="HH39" s="65"/>
      <c r="HI39" s="65"/>
      <c r="HJ39" s="65"/>
      <c r="HK39" s="65"/>
      <c r="HL39" s="65"/>
      <c r="HM39" s="65"/>
      <c r="HN39" s="65"/>
      <c r="HO39" s="65"/>
      <c r="HP39" s="65"/>
      <c r="HQ39" s="65"/>
      <c r="HR39" s="65"/>
      <c r="HS39" s="65"/>
      <c r="HT39" s="65"/>
      <c r="HU39" s="65"/>
      <c r="HV39" s="65"/>
      <c r="HW39" s="65"/>
      <c r="HX39" s="65"/>
      <c r="HY39" s="65"/>
      <c r="HZ39" s="65"/>
      <c r="IA39" s="65"/>
      <c r="IB39" s="65"/>
      <c r="IC39" s="65"/>
      <c r="ID39" s="65"/>
      <c r="IE39" s="65"/>
      <c r="IF39" s="65"/>
      <c r="IG39" s="65"/>
      <c r="IH39" s="65"/>
      <c r="II39" s="65"/>
      <c r="IJ39" s="65"/>
      <c r="IK39" s="65"/>
      <c r="IL39" s="65"/>
      <c r="IM39" s="65"/>
      <c r="IN39" s="65"/>
      <c r="IO39" s="65"/>
      <c r="IP39" s="65"/>
      <c r="IQ39" s="65"/>
      <c r="IR39" s="65"/>
      <c r="IS39" s="65"/>
      <c r="IT39" s="65"/>
      <c r="IU39" s="65"/>
      <c r="IV39" s="65"/>
      <c r="IW39" s="65"/>
    </row>
    <row r="40" spans="1:257" s="110" customFormat="1" ht="18" customHeight="1">
      <c r="A40" s="65"/>
      <c r="B40" s="1267"/>
      <c r="C40" s="1268"/>
      <c r="D40" s="1271"/>
      <c r="E40" s="1161"/>
      <c r="F40" s="1161"/>
      <c r="G40" s="1161"/>
      <c r="H40" s="1161"/>
      <c r="I40" s="1161"/>
      <c r="J40" s="1161"/>
      <c r="K40" s="1161"/>
      <c r="L40" s="1403"/>
      <c r="M40" s="970" t="s">
        <v>1157</v>
      </c>
      <c r="N40" s="1513" t="s">
        <v>1158</v>
      </c>
      <c r="O40" s="1513"/>
      <c r="P40" s="1513" t="s">
        <v>1159</v>
      </c>
      <c r="Q40" s="1513"/>
      <c r="R40" s="1513" t="s">
        <v>1160</v>
      </c>
      <c r="S40" s="1514"/>
      <c r="T40" s="65"/>
      <c r="U40" s="142"/>
      <c r="V40" s="142"/>
      <c r="W40" s="142"/>
      <c r="X40" s="65"/>
      <c r="Y40" s="65"/>
      <c r="Z40" s="65"/>
      <c r="AA40" s="65"/>
      <c r="AB40" s="65"/>
      <c r="AC40" s="65"/>
      <c r="AD40" s="65"/>
      <c r="AE40" s="65"/>
      <c r="AF40" s="65"/>
      <c r="AG40" s="65"/>
      <c r="AH40" s="65"/>
      <c r="AI40" s="65"/>
      <c r="AJ40" s="65"/>
      <c r="AK40" s="65"/>
      <c r="AL40" s="65"/>
      <c r="AM40" s="65"/>
      <c r="AN40" s="65"/>
      <c r="AO40" s="65"/>
      <c r="AP40" s="65"/>
      <c r="AQ40" s="65"/>
      <c r="AR40" s="65"/>
      <c r="AS40" s="65"/>
      <c r="AT40" s="65"/>
      <c r="AU40" s="65"/>
      <c r="AV40" s="65"/>
      <c r="AW40" s="65"/>
      <c r="AX40" s="65"/>
      <c r="AY40" s="65"/>
      <c r="AZ40" s="65"/>
      <c r="BA40" s="65"/>
      <c r="BB40" s="65"/>
      <c r="BC40" s="65"/>
      <c r="BD40" s="65"/>
      <c r="BE40" s="65"/>
      <c r="BF40" s="65"/>
      <c r="BG40" s="65"/>
      <c r="BH40" s="65"/>
      <c r="BI40" s="65"/>
      <c r="BJ40" s="65"/>
      <c r="BK40" s="65"/>
      <c r="BL40" s="65"/>
      <c r="BM40" s="65"/>
      <c r="BN40" s="65"/>
      <c r="BO40" s="65"/>
      <c r="BP40" s="65"/>
      <c r="BQ40" s="65"/>
      <c r="BR40" s="65"/>
      <c r="BS40" s="65"/>
      <c r="BT40" s="65"/>
      <c r="BU40" s="65"/>
      <c r="BV40" s="65"/>
      <c r="BW40" s="65"/>
      <c r="BX40" s="65"/>
      <c r="BY40" s="65"/>
      <c r="BZ40" s="65"/>
      <c r="CA40" s="65"/>
      <c r="CB40" s="65"/>
      <c r="CC40" s="65"/>
      <c r="CD40" s="65"/>
      <c r="CE40" s="65"/>
      <c r="CF40" s="65"/>
      <c r="CG40" s="65"/>
      <c r="CH40" s="65"/>
      <c r="CI40" s="65"/>
      <c r="CJ40" s="65"/>
      <c r="CK40" s="65"/>
      <c r="CL40" s="65"/>
      <c r="CM40" s="65"/>
      <c r="CN40" s="65"/>
      <c r="CO40" s="65"/>
      <c r="CP40" s="65"/>
      <c r="CQ40" s="65"/>
      <c r="CR40" s="65"/>
      <c r="CS40" s="65"/>
      <c r="CT40" s="65"/>
      <c r="CU40" s="65"/>
      <c r="CV40" s="65"/>
      <c r="CW40" s="65"/>
      <c r="CX40" s="65"/>
      <c r="CY40" s="65"/>
      <c r="CZ40" s="65"/>
      <c r="DA40" s="65"/>
      <c r="DB40" s="65"/>
      <c r="DC40" s="65"/>
      <c r="DD40" s="65"/>
      <c r="DE40" s="65"/>
      <c r="DF40" s="65"/>
      <c r="DG40" s="65"/>
      <c r="DH40" s="65"/>
      <c r="DI40" s="65"/>
      <c r="DJ40" s="65"/>
      <c r="DK40" s="65"/>
      <c r="DL40" s="65"/>
      <c r="DM40" s="65"/>
      <c r="DN40" s="65"/>
      <c r="DO40" s="65"/>
      <c r="DP40" s="65"/>
      <c r="DQ40" s="65"/>
      <c r="DR40" s="65"/>
      <c r="DS40" s="65"/>
      <c r="DT40" s="65"/>
      <c r="DU40" s="65"/>
      <c r="DV40" s="65"/>
      <c r="DW40" s="65"/>
      <c r="DX40" s="65"/>
      <c r="DY40" s="65"/>
      <c r="DZ40" s="65"/>
      <c r="EA40" s="65"/>
      <c r="EB40" s="65"/>
      <c r="EC40" s="65"/>
      <c r="ED40" s="65"/>
      <c r="EE40" s="65"/>
      <c r="EF40" s="65"/>
      <c r="EG40" s="65"/>
      <c r="EH40" s="65"/>
      <c r="EI40" s="65"/>
      <c r="EJ40" s="65"/>
      <c r="EK40" s="65"/>
      <c r="EL40" s="65"/>
      <c r="EM40" s="65"/>
      <c r="EN40" s="65"/>
      <c r="EO40" s="65"/>
      <c r="EP40" s="65"/>
      <c r="EQ40" s="65"/>
      <c r="ER40" s="65"/>
      <c r="ES40" s="65"/>
      <c r="ET40" s="65"/>
      <c r="EU40" s="65"/>
      <c r="EV40" s="65"/>
      <c r="EW40" s="65"/>
      <c r="EX40" s="65"/>
      <c r="EY40" s="65"/>
      <c r="EZ40" s="65"/>
      <c r="FA40" s="65"/>
      <c r="FB40" s="65"/>
      <c r="FC40" s="65"/>
      <c r="FD40" s="65"/>
      <c r="FE40" s="65"/>
      <c r="FF40" s="65"/>
      <c r="FG40" s="65"/>
      <c r="FH40" s="65"/>
      <c r="FI40" s="65"/>
      <c r="FJ40" s="65"/>
      <c r="FK40" s="65"/>
      <c r="FL40" s="65"/>
      <c r="FM40" s="65"/>
      <c r="FN40" s="65"/>
      <c r="FO40" s="65"/>
      <c r="FP40" s="65"/>
      <c r="FQ40" s="65"/>
      <c r="FR40" s="65"/>
      <c r="FS40" s="65"/>
      <c r="FT40" s="65"/>
      <c r="FU40" s="65"/>
      <c r="FV40" s="65"/>
      <c r="FW40" s="65"/>
      <c r="FX40" s="65"/>
      <c r="FY40" s="65"/>
      <c r="FZ40" s="65"/>
      <c r="GA40" s="65"/>
      <c r="GB40" s="65"/>
      <c r="GC40" s="65"/>
      <c r="GD40" s="65"/>
      <c r="GE40" s="65"/>
      <c r="GF40" s="65"/>
      <c r="GG40" s="65"/>
      <c r="GH40" s="65"/>
      <c r="GI40" s="65"/>
      <c r="GJ40" s="65"/>
      <c r="GK40" s="65"/>
      <c r="GL40" s="65"/>
      <c r="GM40" s="65"/>
      <c r="GN40" s="65"/>
      <c r="GO40" s="65"/>
      <c r="GP40" s="65"/>
      <c r="GQ40" s="65"/>
      <c r="GR40" s="65"/>
      <c r="GS40" s="65"/>
      <c r="GT40" s="65"/>
      <c r="GU40" s="65"/>
      <c r="GV40" s="65"/>
      <c r="GW40" s="65"/>
      <c r="GX40" s="65"/>
      <c r="GY40" s="65"/>
      <c r="GZ40" s="65"/>
      <c r="HA40" s="65"/>
      <c r="HB40" s="65"/>
      <c r="HC40" s="65"/>
      <c r="HD40" s="65"/>
      <c r="HE40" s="65"/>
      <c r="HF40" s="65"/>
      <c r="HG40" s="65"/>
      <c r="HH40" s="65"/>
      <c r="HI40" s="65"/>
      <c r="HJ40" s="65"/>
      <c r="HK40" s="65"/>
      <c r="HL40" s="65"/>
      <c r="HM40" s="65"/>
      <c r="HN40" s="65"/>
      <c r="HO40" s="65"/>
      <c r="HP40" s="65"/>
      <c r="HQ40" s="65"/>
      <c r="HR40" s="65"/>
      <c r="HS40" s="65"/>
      <c r="HT40" s="65"/>
      <c r="HU40" s="65"/>
      <c r="HV40" s="65"/>
      <c r="HW40" s="65"/>
      <c r="HX40" s="65"/>
      <c r="HY40" s="65"/>
      <c r="HZ40" s="65"/>
      <c r="IA40" s="65"/>
      <c r="IB40" s="65"/>
      <c r="IC40" s="65"/>
      <c r="ID40" s="65"/>
      <c r="IE40" s="65"/>
      <c r="IF40" s="65"/>
      <c r="IG40" s="65"/>
      <c r="IH40" s="65"/>
      <c r="II40" s="65"/>
      <c r="IJ40" s="65"/>
      <c r="IK40" s="65"/>
      <c r="IL40" s="65"/>
      <c r="IM40" s="65"/>
      <c r="IN40" s="65"/>
      <c r="IO40" s="65"/>
      <c r="IP40" s="65"/>
      <c r="IQ40" s="65"/>
      <c r="IR40" s="65"/>
      <c r="IS40" s="65"/>
      <c r="IT40" s="65"/>
      <c r="IU40" s="65"/>
      <c r="IV40" s="65"/>
      <c r="IW40" s="65"/>
    </row>
    <row r="41" spans="1:257" s="110" customFormat="1" ht="18" customHeight="1">
      <c r="A41" s="65"/>
      <c r="B41" s="1267"/>
      <c r="C41" s="1268"/>
      <c r="D41" s="1271"/>
      <c r="E41" s="1161"/>
      <c r="F41" s="1161"/>
      <c r="G41" s="1161"/>
      <c r="H41" s="1161"/>
      <c r="I41" s="1161"/>
      <c r="J41" s="1161"/>
      <c r="K41" s="1161"/>
      <c r="L41" s="1403"/>
      <c r="M41" s="1477"/>
      <c r="N41" s="1478"/>
      <c r="O41" s="1478"/>
      <c r="P41" s="1478"/>
      <c r="Q41" s="1478"/>
      <c r="R41" s="1478"/>
      <c r="S41" s="1479"/>
      <c r="T41" s="65"/>
      <c r="U41" s="142"/>
      <c r="V41" s="142"/>
      <c r="W41" s="142"/>
      <c r="X41" s="65"/>
      <c r="Y41" s="65"/>
      <c r="Z41" s="65"/>
      <c r="AA41" s="65"/>
      <c r="AB41" s="65"/>
      <c r="AC41" s="65"/>
      <c r="AD41" s="65"/>
      <c r="AE41" s="65"/>
      <c r="AF41" s="65"/>
      <c r="AG41" s="65"/>
      <c r="AH41" s="65"/>
      <c r="AI41" s="65"/>
      <c r="AJ41" s="65"/>
      <c r="AK41" s="65"/>
      <c r="AL41" s="65"/>
      <c r="AM41" s="65"/>
      <c r="AN41" s="65"/>
      <c r="AO41" s="65"/>
      <c r="AP41" s="65"/>
      <c r="AQ41" s="65"/>
      <c r="AR41" s="65"/>
      <c r="AS41" s="65"/>
      <c r="AT41" s="65"/>
      <c r="AU41" s="65"/>
      <c r="AV41" s="65"/>
      <c r="AW41" s="65"/>
      <c r="AX41" s="65"/>
      <c r="AY41" s="65"/>
      <c r="AZ41" s="65"/>
      <c r="BA41" s="65"/>
      <c r="BB41" s="65"/>
      <c r="BC41" s="65"/>
      <c r="BD41" s="65"/>
      <c r="BE41" s="65"/>
      <c r="BF41" s="65"/>
      <c r="BG41" s="65"/>
      <c r="BH41" s="65"/>
      <c r="BI41" s="65"/>
      <c r="BJ41" s="65"/>
      <c r="BK41" s="65"/>
      <c r="BL41" s="65"/>
      <c r="BM41" s="65"/>
      <c r="BN41" s="65"/>
      <c r="BO41" s="65"/>
      <c r="BP41" s="65"/>
      <c r="BQ41" s="65"/>
      <c r="BR41" s="65"/>
      <c r="BS41" s="65"/>
      <c r="BT41" s="65"/>
      <c r="BU41" s="65"/>
      <c r="BV41" s="65"/>
      <c r="BW41" s="65"/>
      <c r="BX41" s="65"/>
      <c r="BY41" s="65"/>
      <c r="BZ41" s="65"/>
      <c r="CA41" s="65"/>
      <c r="CB41" s="65"/>
      <c r="CC41" s="65"/>
      <c r="CD41" s="65"/>
      <c r="CE41" s="65"/>
      <c r="CF41" s="65"/>
      <c r="CG41" s="65"/>
      <c r="CH41" s="65"/>
      <c r="CI41" s="65"/>
      <c r="CJ41" s="65"/>
      <c r="CK41" s="65"/>
      <c r="CL41" s="65"/>
      <c r="CM41" s="65"/>
      <c r="CN41" s="65"/>
      <c r="CO41" s="65"/>
      <c r="CP41" s="65"/>
      <c r="CQ41" s="65"/>
      <c r="CR41" s="65"/>
      <c r="CS41" s="65"/>
      <c r="CT41" s="65"/>
      <c r="CU41" s="65"/>
      <c r="CV41" s="65"/>
      <c r="CW41" s="65"/>
      <c r="CX41" s="65"/>
      <c r="CY41" s="65"/>
      <c r="CZ41" s="65"/>
      <c r="DA41" s="65"/>
      <c r="DB41" s="65"/>
      <c r="DC41" s="65"/>
      <c r="DD41" s="65"/>
      <c r="DE41" s="65"/>
      <c r="DF41" s="65"/>
      <c r="DG41" s="65"/>
      <c r="DH41" s="65"/>
      <c r="DI41" s="65"/>
      <c r="DJ41" s="65"/>
      <c r="DK41" s="65"/>
      <c r="DL41" s="65"/>
      <c r="DM41" s="65"/>
      <c r="DN41" s="65"/>
      <c r="DO41" s="65"/>
      <c r="DP41" s="65"/>
      <c r="DQ41" s="65"/>
      <c r="DR41" s="65"/>
      <c r="DS41" s="65"/>
      <c r="DT41" s="65"/>
      <c r="DU41" s="65"/>
      <c r="DV41" s="65"/>
      <c r="DW41" s="65"/>
      <c r="DX41" s="65"/>
      <c r="DY41" s="65"/>
      <c r="DZ41" s="65"/>
      <c r="EA41" s="65"/>
      <c r="EB41" s="65"/>
      <c r="EC41" s="65"/>
      <c r="ED41" s="65"/>
      <c r="EE41" s="65"/>
      <c r="EF41" s="65"/>
      <c r="EG41" s="65"/>
      <c r="EH41" s="65"/>
      <c r="EI41" s="65"/>
      <c r="EJ41" s="65"/>
      <c r="EK41" s="65"/>
      <c r="EL41" s="65"/>
      <c r="EM41" s="65"/>
      <c r="EN41" s="65"/>
      <c r="EO41" s="65"/>
      <c r="EP41" s="65"/>
      <c r="EQ41" s="65"/>
      <c r="ER41" s="65"/>
      <c r="ES41" s="65"/>
      <c r="ET41" s="65"/>
      <c r="EU41" s="65"/>
      <c r="EV41" s="65"/>
      <c r="EW41" s="65"/>
      <c r="EX41" s="65"/>
      <c r="EY41" s="65"/>
      <c r="EZ41" s="65"/>
      <c r="FA41" s="65"/>
      <c r="FB41" s="65"/>
      <c r="FC41" s="65"/>
      <c r="FD41" s="65"/>
      <c r="FE41" s="65"/>
      <c r="FF41" s="65"/>
      <c r="FG41" s="65"/>
      <c r="FH41" s="65"/>
      <c r="FI41" s="65"/>
      <c r="FJ41" s="65"/>
      <c r="FK41" s="65"/>
      <c r="FL41" s="65"/>
      <c r="FM41" s="65"/>
      <c r="FN41" s="65"/>
      <c r="FO41" s="65"/>
      <c r="FP41" s="65"/>
      <c r="FQ41" s="65"/>
      <c r="FR41" s="65"/>
      <c r="FS41" s="65"/>
      <c r="FT41" s="65"/>
      <c r="FU41" s="65"/>
      <c r="FV41" s="65"/>
      <c r="FW41" s="65"/>
      <c r="FX41" s="65"/>
      <c r="FY41" s="65"/>
      <c r="FZ41" s="65"/>
      <c r="GA41" s="65"/>
      <c r="GB41" s="65"/>
      <c r="GC41" s="65"/>
      <c r="GD41" s="65"/>
      <c r="GE41" s="65"/>
      <c r="GF41" s="65"/>
      <c r="GG41" s="65"/>
      <c r="GH41" s="65"/>
      <c r="GI41" s="65"/>
      <c r="GJ41" s="65"/>
      <c r="GK41" s="65"/>
      <c r="GL41" s="65"/>
      <c r="GM41" s="65"/>
      <c r="GN41" s="65"/>
      <c r="GO41" s="65"/>
      <c r="GP41" s="65"/>
      <c r="GQ41" s="65"/>
      <c r="GR41" s="65"/>
      <c r="GS41" s="65"/>
      <c r="GT41" s="65"/>
      <c r="GU41" s="65"/>
      <c r="GV41" s="65"/>
      <c r="GW41" s="65"/>
      <c r="GX41" s="65"/>
      <c r="GY41" s="65"/>
      <c r="GZ41" s="65"/>
      <c r="HA41" s="65"/>
      <c r="HB41" s="65"/>
      <c r="HC41" s="65"/>
      <c r="HD41" s="65"/>
      <c r="HE41" s="65"/>
      <c r="HF41" s="65"/>
      <c r="HG41" s="65"/>
      <c r="HH41" s="65"/>
      <c r="HI41" s="65"/>
      <c r="HJ41" s="65"/>
      <c r="HK41" s="65"/>
      <c r="HL41" s="65"/>
      <c r="HM41" s="65"/>
      <c r="HN41" s="65"/>
      <c r="HO41" s="65"/>
      <c r="HP41" s="65"/>
      <c r="HQ41" s="65"/>
      <c r="HR41" s="65"/>
      <c r="HS41" s="65"/>
      <c r="HT41" s="65"/>
      <c r="HU41" s="65"/>
      <c r="HV41" s="65"/>
      <c r="HW41" s="65"/>
      <c r="HX41" s="65"/>
      <c r="HY41" s="65"/>
      <c r="HZ41" s="65"/>
      <c r="IA41" s="65"/>
      <c r="IB41" s="65"/>
      <c r="IC41" s="65"/>
      <c r="ID41" s="65"/>
      <c r="IE41" s="65"/>
      <c r="IF41" s="65"/>
      <c r="IG41" s="65"/>
      <c r="IH41" s="65"/>
      <c r="II41" s="65"/>
      <c r="IJ41" s="65"/>
      <c r="IK41" s="65"/>
      <c r="IL41" s="65"/>
      <c r="IM41" s="65"/>
      <c r="IN41" s="65"/>
      <c r="IO41" s="65"/>
      <c r="IP41" s="65"/>
      <c r="IQ41" s="65"/>
      <c r="IR41" s="65"/>
      <c r="IS41" s="65"/>
      <c r="IT41" s="65"/>
      <c r="IU41" s="65"/>
      <c r="IV41" s="65"/>
      <c r="IW41" s="65"/>
    </row>
    <row r="42" spans="1:257" ht="18" customHeight="1">
      <c r="B42" s="1267"/>
      <c r="C42" s="1268"/>
      <c r="D42" s="1271"/>
      <c r="E42" s="1161"/>
      <c r="F42" s="1161"/>
      <c r="G42" s="1161"/>
      <c r="H42" s="1161"/>
      <c r="I42" s="1161"/>
      <c r="J42" s="1161"/>
      <c r="K42" s="1161"/>
      <c r="L42" s="1403"/>
      <c r="M42" s="1480" t="s">
        <v>1161</v>
      </c>
      <c r="N42" s="1480"/>
      <c r="O42" s="1480"/>
      <c r="P42" s="198" t="s">
        <v>1162</v>
      </c>
      <c r="Q42" s="199">
        <v>0.8</v>
      </c>
      <c r="R42" s="199">
        <v>0.7</v>
      </c>
      <c r="S42" s="1035">
        <v>0.5</v>
      </c>
    </row>
    <row r="43" spans="1:257" ht="18" customHeight="1">
      <c r="B43" s="1267"/>
      <c r="C43" s="1268"/>
      <c r="D43" s="1271"/>
      <c r="E43" s="1161"/>
      <c r="F43" s="1161"/>
      <c r="G43" s="1161"/>
      <c r="H43" s="1161"/>
      <c r="I43" s="1161"/>
      <c r="J43" s="1161"/>
      <c r="K43" s="1161"/>
      <c r="L43" s="1403"/>
      <c r="M43" s="1480" t="s">
        <v>1163</v>
      </c>
      <c r="N43" s="1480"/>
      <c r="O43" s="1480"/>
      <c r="P43" s="200" t="s">
        <v>1164</v>
      </c>
      <c r="Q43" s="200" t="s">
        <v>1165</v>
      </c>
      <c r="R43" s="200" t="s">
        <v>1166</v>
      </c>
      <c r="S43" s="201" t="s">
        <v>1167</v>
      </c>
    </row>
    <row r="44" spans="1:257" ht="18" customHeight="1" thickBot="1">
      <c r="B44" s="1267"/>
      <c r="C44" s="1268"/>
      <c r="D44" s="1272"/>
      <c r="E44" s="1163"/>
      <c r="F44" s="1163"/>
      <c r="G44" s="1163"/>
      <c r="H44" s="1163"/>
      <c r="I44" s="1163"/>
      <c r="J44" s="1163"/>
      <c r="K44" s="1163"/>
      <c r="L44" s="1527"/>
      <c r="M44" s="1515" t="s">
        <v>1168</v>
      </c>
      <c r="N44" s="1515"/>
      <c r="O44" s="1515"/>
      <c r="P44" s="1036" t="s">
        <v>1169</v>
      </c>
      <c r="Q44" s="1036" t="s">
        <v>1166</v>
      </c>
      <c r="R44" s="1036" t="s">
        <v>1170</v>
      </c>
      <c r="S44" s="1037" t="s">
        <v>1171</v>
      </c>
    </row>
    <row r="45" spans="1:257" ht="18" customHeight="1">
      <c r="B45" s="1038"/>
      <c r="C45" s="1038"/>
    </row>
    <row r="46" spans="1:257" ht="18" customHeight="1"/>
    <row r="47" spans="1:257" ht="18" customHeight="1"/>
    <row r="48" spans="1:257" ht="18" customHeight="1"/>
    <row r="49" spans="5:5" ht="18" customHeight="1">
      <c r="E49" s="142"/>
    </row>
    <row r="50" spans="5:5" ht="18" customHeight="1">
      <c r="E50" s="142"/>
    </row>
    <row r="51" spans="5:5" ht="18" customHeight="1">
      <c r="E51" s="142"/>
    </row>
    <row r="52" spans="5:5" ht="18" customHeight="1">
      <c r="E52" s="142"/>
    </row>
    <row r="53" spans="5:5" ht="18" customHeight="1">
      <c r="E53" s="142"/>
    </row>
    <row r="54" spans="5:5" ht="18" customHeight="1">
      <c r="E54" s="142"/>
    </row>
    <row r="55" spans="5:5" ht="20.25" customHeight="1">
      <c r="E55" s="142"/>
    </row>
  </sheetData>
  <mergeCells count="65">
    <mergeCell ref="R31:R34"/>
    <mergeCell ref="S31:S34"/>
    <mergeCell ref="M35:S36"/>
    <mergeCell ref="B37:C44"/>
    <mergeCell ref="D37:L44"/>
    <mergeCell ref="N37:O37"/>
    <mergeCell ref="P37:Q37"/>
    <mergeCell ref="R37:S37"/>
    <mergeCell ref="N38:O38"/>
    <mergeCell ref="P38:Q38"/>
    <mergeCell ref="R38:S38"/>
    <mergeCell ref="N39:O39"/>
    <mergeCell ref="P39:Q39"/>
    <mergeCell ref="R39:S39"/>
    <mergeCell ref="N40:O40"/>
    <mergeCell ref="P40:Q40"/>
    <mergeCell ref="R40:S40"/>
    <mergeCell ref="M41:S41"/>
    <mergeCell ref="M42:O42"/>
    <mergeCell ref="M43:O43"/>
    <mergeCell ref="M44:O44"/>
    <mergeCell ref="B1:S1"/>
    <mergeCell ref="J4:P4"/>
    <mergeCell ref="J5:P5"/>
    <mergeCell ref="J6:P6"/>
    <mergeCell ref="D9:S9"/>
    <mergeCell ref="B6:C6"/>
    <mergeCell ref="D6:I6"/>
    <mergeCell ref="B9:C9"/>
    <mergeCell ref="B4:C4"/>
    <mergeCell ref="D4:I4"/>
    <mergeCell ref="B5:C5"/>
    <mergeCell ref="D5:I5"/>
    <mergeCell ref="B14:C14"/>
    <mergeCell ref="B15:C15"/>
    <mergeCell ref="B16:C16"/>
    <mergeCell ref="B10:C10"/>
    <mergeCell ref="D10:S10"/>
    <mergeCell ref="B11:C11"/>
    <mergeCell ref="D11:S11"/>
    <mergeCell ref="D14:S14"/>
    <mergeCell ref="D15:S15"/>
    <mergeCell ref="D16:S16"/>
    <mergeCell ref="B19:C19"/>
    <mergeCell ref="D19:L19"/>
    <mergeCell ref="M19:S19"/>
    <mergeCell ref="B20:C27"/>
    <mergeCell ref="D20:L26"/>
    <mergeCell ref="M20:O20"/>
    <mergeCell ref="M21:O21"/>
    <mergeCell ref="M22:S22"/>
    <mergeCell ref="M23:O23"/>
    <mergeCell ref="M24:N26"/>
    <mergeCell ref="D27:L27"/>
    <mergeCell ref="M27:S27"/>
    <mergeCell ref="P28:Q28"/>
    <mergeCell ref="R28:S28"/>
    <mergeCell ref="N29:O29"/>
    <mergeCell ref="P29:Q29"/>
    <mergeCell ref="R29:S29"/>
    <mergeCell ref="B30:C36"/>
    <mergeCell ref="D30:L36"/>
    <mergeCell ref="B28:C29"/>
    <mergeCell ref="D28:L29"/>
    <mergeCell ref="N28:O28"/>
  </mergeCells>
  <phoneticPr fontId="100" type="noConversion"/>
  <printOptions horizontalCentered="1"/>
  <pageMargins left="0.31496062992125984" right="0.31496062992125984" top="0.31496062992125984" bottom="0.31496062992125984" header="0.31496062992125984" footer="0.31496062992125984"/>
  <pageSetup paperSize="9" scale="67" orientation="landscape" r:id="rId1"/>
  <rowBreaks count="2" manualBreakCount="2">
    <brk id="22" max="18" man="1"/>
    <brk id="54" max="17"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P44"/>
  <sheetViews>
    <sheetView zoomScaleNormal="100" workbookViewId="0">
      <selection activeCell="B1" sqref="B1:AL1"/>
    </sheetView>
  </sheetViews>
  <sheetFormatPr defaultColWidth="9.625" defaultRowHeight="16.5"/>
  <cols>
    <col min="1" max="1" width="1" style="145" customWidth="1"/>
    <col min="2" max="2" width="9.625" style="202" customWidth="1"/>
    <col min="3" max="4" width="7.875" style="766" customWidth="1"/>
    <col min="5" max="5" width="8.125" style="146" customWidth="1"/>
    <col min="6" max="6" width="7" style="146" customWidth="1"/>
    <col min="7" max="7" width="7.625" style="146" bestFit="1" customWidth="1"/>
    <col min="8" max="9" width="5.625" style="146" customWidth="1"/>
    <col min="10" max="10" width="6.625" style="145" customWidth="1"/>
    <col min="11" max="12" width="6.5" style="145" customWidth="1"/>
    <col min="13" max="14" width="5.625" style="145" customWidth="1"/>
    <col min="15" max="16" width="6.375" style="145" customWidth="1"/>
    <col min="17" max="17" width="7" style="145" customWidth="1"/>
    <col min="18" max="19" width="6.625" style="145" customWidth="1"/>
    <col min="20" max="20" width="5.875" style="146" customWidth="1"/>
    <col min="21" max="21" width="6.625" style="145" bestFit="1" customWidth="1"/>
    <col min="22" max="25" width="7.625" style="145" customWidth="1"/>
    <col min="26" max="26" width="7.5" style="145" customWidth="1"/>
    <col min="27" max="35" width="7.625" style="145" customWidth="1"/>
    <col min="36" max="37" width="7.625" style="147" customWidth="1"/>
    <col min="38" max="38" width="7.625" style="145" customWidth="1"/>
    <col min="39" max="39" width="2.875" style="145" customWidth="1"/>
    <col min="40" max="16384" width="9.625" style="145"/>
  </cols>
  <sheetData>
    <row r="1" spans="1:42" ht="30" customHeight="1" thickBot="1">
      <c r="A1" s="144"/>
      <c r="B1" s="1201" t="s">
        <v>1711</v>
      </c>
      <c r="C1" s="1201"/>
      <c r="D1" s="1201"/>
      <c r="E1" s="1201"/>
      <c r="F1" s="1201"/>
      <c r="G1" s="1201"/>
      <c r="H1" s="1201"/>
      <c r="I1" s="1201"/>
      <c r="J1" s="1201"/>
      <c r="K1" s="1201"/>
      <c r="L1" s="1201"/>
      <c r="M1" s="1201"/>
      <c r="N1" s="1201"/>
      <c r="O1" s="1201"/>
      <c r="P1" s="1201"/>
      <c r="Q1" s="1201"/>
      <c r="R1" s="1201"/>
      <c r="S1" s="1201"/>
      <c r="T1" s="1201"/>
      <c r="U1" s="1201"/>
      <c r="V1" s="1201"/>
      <c r="W1" s="1201"/>
      <c r="X1" s="1201"/>
      <c r="Y1" s="1201"/>
      <c r="Z1" s="1201"/>
      <c r="AA1" s="1201"/>
      <c r="AB1" s="1201"/>
      <c r="AC1" s="1201"/>
      <c r="AD1" s="1201"/>
      <c r="AE1" s="1201"/>
      <c r="AF1" s="1201"/>
      <c r="AG1" s="1201"/>
      <c r="AH1" s="1201"/>
      <c r="AI1" s="1201"/>
      <c r="AJ1" s="1201"/>
      <c r="AK1" s="1201"/>
      <c r="AL1" s="1201"/>
    </row>
    <row r="2" spans="1:42" s="235" customFormat="1" ht="6" customHeight="1" thickTop="1">
      <c r="A2" s="65"/>
      <c r="B2" s="64"/>
      <c r="C2" s="64"/>
      <c r="D2" s="64"/>
      <c r="E2" s="64"/>
      <c r="F2" s="64"/>
      <c r="G2" s="64"/>
      <c r="H2" s="65"/>
      <c r="I2" s="65"/>
      <c r="J2" s="66"/>
      <c r="K2" s="66"/>
      <c r="L2" s="66"/>
      <c r="M2" s="65"/>
      <c r="N2" s="65"/>
      <c r="O2" s="65"/>
      <c r="P2" s="65"/>
      <c r="Q2" s="65"/>
      <c r="R2" s="65"/>
      <c r="S2" s="65"/>
      <c r="T2" s="65"/>
      <c r="U2" s="65"/>
      <c r="V2" s="65"/>
      <c r="W2" s="65"/>
      <c r="X2" s="65"/>
      <c r="Y2" s="65"/>
      <c r="Z2" s="65"/>
      <c r="AA2" s="65"/>
      <c r="AB2" s="65"/>
      <c r="AC2" s="65"/>
      <c r="AD2" s="65"/>
      <c r="AE2" s="65"/>
      <c r="AF2" s="65"/>
      <c r="AG2" s="65"/>
      <c r="AH2" s="65"/>
      <c r="AI2" s="65"/>
      <c r="AJ2" s="65"/>
      <c r="AK2" s="65"/>
    </row>
    <row r="3" spans="1:42" s="262" customFormat="1" ht="18" customHeight="1">
      <c r="B3" s="350" t="s">
        <v>1172</v>
      </c>
      <c r="C3" s="261"/>
      <c r="D3" s="261"/>
      <c r="E3" s="261"/>
      <c r="F3" s="261"/>
      <c r="G3" s="261"/>
      <c r="O3" s="263"/>
      <c r="P3" s="263"/>
      <c r="Q3" s="263"/>
    </row>
    <row r="4" spans="1:42" s="235" customFormat="1" ht="6" customHeight="1" thickBot="1">
      <c r="A4" s="65"/>
      <c r="B4" s="64"/>
      <c r="C4" s="64"/>
      <c r="D4" s="64"/>
      <c r="E4" s="64"/>
      <c r="F4" s="64"/>
      <c r="G4" s="64"/>
      <c r="H4" s="65"/>
      <c r="I4" s="65"/>
      <c r="J4" s="66"/>
      <c r="K4" s="66"/>
      <c r="L4" s="66"/>
      <c r="M4" s="65"/>
      <c r="N4" s="65"/>
      <c r="O4" s="65"/>
      <c r="P4" s="65"/>
      <c r="Q4" s="65"/>
      <c r="R4" s="65"/>
      <c r="S4" s="65"/>
      <c r="T4" s="65"/>
      <c r="U4" s="65"/>
      <c r="V4" s="65"/>
      <c r="W4" s="65"/>
      <c r="X4" s="65"/>
      <c r="Y4" s="65"/>
      <c r="Z4" s="65"/>
      <c r="AA4" s="65"/>
      <c r="AB4" s="65"/>
      <c r="AC4" s="65"/>
      <c r="AD4" s="65"/>
      <c r="AE4" s="65"/>
      <c r="AF4" s="65"/>
      <c r="AG4" s="65"/>
      <c r="AH4" s="65"/>
      <c r="AI4" s="65"/>
      <c r="AJ4" s="65"/>
      <c r="AK4" s="65"/>
    </row>
    <row r="5" spans="1:42" ht="18" customHeight="1">
      <c r="A5" s="15"/>
      <c r="B5" s="1202" t="s">
        <v>1173</v>
      </c>
      <c r="C5" s="1203"/>
      <c r="D5" s="1203"/>
      <c r="E5" s="1204"/>
      <c r="F5" s="1544" t="s">
        <v>1174</v>
      </c>
      <c r="G5" s="1311" t="s">
        <v>1175</v>
      </c>
      <c r="H5" s="1312"/>
      <c r="I5" s="1449"/>
      <c r="J5" s="961">
        <v>4.2</v>
      </c>
      <c r="K5" s="728">
        <v>0.3</v>
      </c>
      <c r="L5" s="1546" t="s">
        <v>1176</v>
      </c>
      <c r="M5" s="1547"/>
      <c r="N5" s="1547"/>
      <c r="O5" s="1547"/>
      <c r="P5" s="1547"/>
      <c r="Q5" s="1451"/>
      <c r="R5" s="1548" t="s">
        <v>1177</v>
      </c>
      <c r="S5" s="1549"/>
      <c r="T5" s="1550"/>
      <c r="U5" s="1551" t="s">
        <v>1178</v>
      </c>
      <c r="V5" s="1552"/>
      <c r="W5" s="1553"/>
      <c r="X5" s="1554" t="s">
        <v>1179</v>
      </c>
      <c r="Y5" s="1555"/>
      <c r="Z5" s="729">
        <v>0.93</v>
      </c>
      <c r="AA5" s="1554" t="s">
        <v>1180</v>
      </c>
      <c r="AB5" s="1555"/>
      <c r="AC5" s="729">
        <v>0.86</v>
      </c>
      <c r="AD5" s="1554" t="s">
        <v>1181</v>
      </c>
      <c r="AE5" s="1555"/>
      <c r="AF5" s="729">
        <v>0.83</v>
      </c>
      <c r="AG5" s="1554" t="s">
        <v>1182</v>
      </c>
      <c r="AH5" s="1555"/>
      <c r="AI5" s="729">
        <v>0.75</v>
      </c>
      <c r="AJ5" s="1551" t="s">
        <v>1183</v>
      </c>
      <c r="AK5" s="1556"/>
      <c r="AL5" s="729">
        <v>0.7</v>
      </c>
      <c r="AN5" s="461"/>
      <c r="AO5" s="461"/>
      <c r="AP5" s="461"/>
    </row>
    <row r="6" spans="1:42" ht="24.95" customHeight="1" thickBot="1">
      <c r="A6" s="15"/>
      <c r="B6" s="216" t="s">
        <v>1184</v>
      </c>
      <c r="C6" s="730" t="s">
        <v>1185</v>
      </c>
      <c r="D6" s="730" t="s">
        <v>1186</v>
      </c>
      <c r="E6" s="428" t="s">
        <v>1187</v>
      </c>
      <c r="F6" s="1545"/>
      <c r="G6" s="435" t="s">
        <v>1188</v>
      </c>
      <c r="H6" s="435" t="s">
        <v>1189</v>
      </c>
      <c r="I6" s="58" t="s">
        <v>1190</v>
      </c>
      <c r="J6" s="979" t="s">
        <v>1191</v>
      </c>
      <c r="K6" s="979" t="s">
        <v>1192</v>
      </c>
      <c r="L6" s="979" t="s">
        <v>1193</v>
      </c>
      <c r="M6" s="435" t="s">
        <v>1194</v>
      </c>
      <c r="N6" s="435" t="s">
        <v>1195</v>
      </c>
      <c r="O6" s="435" t="s">
        <v>1196</v>
      </c>
      <c r="P6" s="435" t="s">
        <v>1197</v>
      </c>
      <c r="Q6" s="435" t="s">
        <v>1198</v>
      </c>
      <c r="R6" s="435" t="s">
        <v>1199</v>
      </c>
      <c r="S6" s="435" t="s">
        <v>1200</v>
      </c>
      <c r="T6" s="435" t="s">
        <v>1201</v>
      </c>
      <c r="U6" s="731" t="s">
        <v>1202</v>
      </c>
      <c r="V6" s="732" t="s">
        <v>1203</v>
      </c>
      <c r="W6" s="733" t="s">
        <v>1204</v>
      </c>
      <c r="X6" s="731" t="s">
        <v>1202</v>
      </c>
      <c r="Y6" s="732" t="s">
        <v>1203</v>
      </c>
      <c r="Z6" s="733" t="s">
        <v>1204</v>
      </c>
      <c r="AA6" s="731" t="s">
        <v>1202</v>
      </c>
      <c r="AB6" s="732" t="s">
        <v>1203</v>
      </c>
      <c r="AC6" s="733" t="s">
        <v>1204</v>
      </c>
      <c r="AD6" s="731" t="s">
        <v>1202</v>
      </c>
      <c r="AE6" s="732" t="s">
        <v>1203</v>
      </c>
      <c r="AF6" s="733" t="s">
        <v>1204</v>
      </c>
      <c r="AG6" s="731" t="s">
        <v>1202</v>
      </c>
      <c r="AH6" s="732" t="s">
        <v>1203</v>
      </c>
      <c r="AI6" s="733" t="s">
        <v>1204</v>
      </c>
      <c r="AJ6" s="731" t="s">
        <v>1202</v>
      </c>
      <c r="AK6" s="732" t="s">
        <v>1203</v>
      </c>
      <c r="AL6" s="733" t="s">
        <v>1204</v>
      </c>
      <c r="AN6" s="461"/>
      <c r="AO6" s="461"/>
      <c r="AP6" s="461"/>
    </row>
    <row r="7" spans="1:42" ht="18" customHeight="1">
      <c r="A7" s="15"/>
      <c r="B7" s="1341" t="s">
        <v>1205</v>
      </c>
      <c r="C7" s="1342"/>
      <c r="D7" s="1342"/>
      <c r="E7" s="1343"/>
      <c r="F7" s="1534">
        <v>1000</v>
      </c>
      <c r="G7" s="1227">
        <f>F7*C8</f>
        <v>800</v>
      </c>
      <c r="H7" s="1227">
        <f>F7*D8</f>
        <v>100</v>
      </c>
      <c r="I7" s="1539">
        <f>F7*E8</f>
        <v>100</v>
      </c>
      <c r="J7" s="1541">
        <f>G7*$J$5</f>
        <v>3360</v>
      </c>
      <c r="K7" s="1537">
        <f>G7*$K$5</f>
        <v>240</v>
      </c>
      <c r="L7" s="1234">
        <f>G7*10%*3</f>
        <v>240</v>
      </c>
      <c r="M7" s="1234">
        <v>0</v>
      </c>
      <c r="N7" s="1234">
        <f>G7*20%*2</f>
        <v>320</v>
      </c>
      <c r="O7" s="1227">
        <f>G7*20%*6</f>
        <v>960</v>
      </c>
      <c r="P7" s="1227">
        <f>H7*30%*12</f>
        <v>360</v>
      </c>
      <c r="Q7" s="1227">
        <f>I7*30%*12</f>
        <v>360</v>
      </c>
      <c r="R7" s="1234">
        <f>H7*70%*12</f>
        <v>840</v>
      </c>
      <c r="S7" s="1532">
        <f>H7*20%*11</f>
        <v>220</v>
      </c>
      <c r="T7" s="1532">
        <f>I7*90%</f>
        <v>90</v>
      </c>
      <c r="U7" s="23">
        <f>J7+K7+L7</f>
        <v>3840</v>
      </c>
      <c r="V7" s="21">
        <f>J7+K7+L7+M7+N7+O7</f>
        <v>5120</v>
      </c>
      <c r="W7" s="25">
        <f>J7+K7+L7+M7+N7+O7+P7+Q7+R7+S7+T7</f>
        <v>6990</v>
      </c>
      <c r="X7" s="33">
        <f>U7*$Z$5</f>
        <v>3571.2000000000003</v>
      </c>
      <c r="Y7" s="21">
        <f>V7*$Z$5</f>
        <v>4761.6000000000004</v>
      </c>
      <c r="Z7" s="104">
        <f>W7*$Z$5</f>
        <v>6500.7000000000007</v>
      </c>
      <c r="AA7" s="20">
        <f>U7*$AC$5</f>
        <v>3302.4</v>
      </c>
      <c r="AB7" s="21">
        <f>V7*$AC$5</f>
        <v>4403.2</v>
      </c>
      <c r="AC7" s="22">
        <f>W7*$AC$5</f>
        <v>6011.4</v>
      </c>
      <c r="AD7" s="20">
        <f>U7*$AF$5</f>
        <v>3187.2</v>
      </c>
      <c r="AE7" s="21">
        <f>V7*$AF$5</f>
        <v>4249.5999999999995</v>
      </c>
      <c r="AF7" s="22">
        <f>W7*$AF$5</f>
        <v>5801.7</v>
      </c>
      <c r="AG7" s="33">
        <f>U7*$AI$5</f>
        <v>2880</v>
      </c>
      <c r="AH7" s="104">
        <f>V7*$AI$5</f>
        <v>3840</v>
      </c>
      <c r="AI7" s="104">
        <f>W7*$AI$5</f>
        <v>5242.5</v>
      </c>
      <c r="AJ7" s="20">
        <f>U7*$AL$5</f>
        <v>2688</v>
      </c>
      <c r="AK7" s="104">
        <f>V7*$AL$5</f>
        <v>3584</v>
      </c>
      <c r="AL7" s="22">
        <f>W7*$AL$5</f>
        <v>4893</v>
      </c>
      <c r="AN7" s="461"/>
      <c r="AO7" s="461"/>
      <c r="AP7" s="461"/>
    </row>
    <row r="8" spans="1:42" ht="18" customHeight="1">
      <c r="A8" s="15"/>
      <c r="B8" s="205" t="s">
        <v>1206</v>
      </c>
      <c r="C8" s="734">
        <v>0.8</v>
      </c>
      <c r="D8" s="734">
        <v>0.1</v>
      </c>
      <c r="E8" s="281">
        <v>0.1</v>
      </c>
      <c r="F8" s="1534"/>
      <c r="G8" s="1227"/>
      <c r="H8" s="1227"/>
      <c r="I8" s="1539"/>
      <c r="J8" s="1541"/>
      <c r="K8" s="1538"/>
      <c r="L8" s="1229"/>
      <c r="M8" s="1229"/>
      <c r="N8" s="1229"/>
      <c r="O8" s="1227"/>
      <c r="P8" s="1227"/>
      <c r="Q8" s="1227"/>
      <c r="R8" s="1229"/>
      <c r="S8" s="1531"/>
      <c r="T8" s="1531"/>
      <c r="U8" s="180">
        <f>U7/F7</f>
        <v>3.84</v>
      </c>
      <c r="V8" s="183">
        <f>V7/F7</f>
        <v>5.12</v>
      </c>
      <c r="W8" s="182">
        <f>W7/F7</f>
        <v>6.99</v>
      </c>
      <c r="X8" s="181">
        <f>X7/F7</f>
        <v>3.5712000000000002</v>
      </c>
      <c r="Y8" s="183">
        <f>Y7/F7</f>
        <v>4.7616000000000005</v>
      </c>
      <c r="Z8" s="184">
        <f>Z7/F7</f>
        <v>6.500700000000001</v>
      </c>
      <c r="AA8" s="180">
        <f>AA7/F7</f>
        <v>3.3024</v>
      </c>
      <c r="AB8" s="183">
        <f>AB7/F7</f>
        <v>4.4032</v>
      </c>
      <c r="AC8" s="182">
        <f>AC7/F7</f>
        <v>6.0114000000000001</v>
      </c>
      <c r="AD8" s="180">
        <f>AD7/F7</f>
        <v>3.1871999999999998</v>
      </c>
      <c r="AE8" s="183">
        <f>AE7/F7</f>
        <v>4.2495999999999992</v>
      </c>
      <c r="AF8" s="182">
        <f>AF7/F7</f>
        <v>5.8016999999999994</v>
      </c>
      <c r="AG8" s="181">
        <f>AG7/F7</f>
        <v>2.88</v>
      </c>
      <c r="AH8" s="184">
        <f>AH7/F7</f>
        <v>3.84</v>
      </c>
      <c r="AI8" s="184">
        <f>AI7/F7</f>
        <v>5.2424999999999997</v>
      </c>
      <c r="AJ8" s="180">
        <f>AJ7/F7</f>
        <v>2.6880000000000002</v>
      </c>
      <c r="AK8" s="184">
        <f>AK7/F7</f>
        <v>3.5840000000000001</v>
      </c>
      <c r="AL8" s="182">
        <f>AL7/F7</f>
        <v>4.8929999999999998</v>
      </c>
      <c r="AN8" s="461"/>
      <c r="AO8" s="461"/>
      <c r="AP8" s="461"/>
    </row>
    <row r="9" spans="1:42" ht="18" customHeight="1">
      <c r="A9" s="15"/>
      <c r="B9" s="1341" t="s">
        <v>1207</v>
      </c>
      <c r="C9" s="1342"/>
      <c r="D9" s="1342"/>
      <c r="E9" s="1343"/>
      <c r="F9" s="1534">
        <v>1000</v>
      </c>
      <c r="G9" s="1227">
        <f>F9*C10</f>
        <v>1500</v>
      </c>
      <c r="H9" s="1227">
        <f>F9*D10</f>
        <v>200</v>
      </c>
      <c r="I9" s="1539">
        <f>F9*E10</f>
        <v>200</v>
      </c>
      <c r="J9" s="1541">
        <f>(G9*$J$5)+(G9*40%)</f>
        <v>6900</v>
      </c>
      <c r="K9" s="1537">
        <f>G9*$K$5</f>
        <v>450</v>
      </c>
      <c r="L9" s="1537">
        <f>G9*30%*5</f>
        <v>2250</v>
      </c>
      <c r="M9" s="1234">
        <v>0</v>
      </c>
      <c r="N9" s="1234">
        <v>0</v>
      </c>
      <c r="O9" s="1227">
        <f>G9*40%*6</f>
        <v>3600</v>
      </c>
      <c r="P9" s="1227">
        <f>H9*30%*12</f>
        <v>720</v>
      </c>
      <c r="Q9" s="1227">
        <f>I9*30%*12</f>
        <v>720</v>
      </c>
      <c r="R9" s="1234">
        <f>H9*80%*12</f>
        <v>1920</v>
      </c>
      <c r="S9" s="1532">
        <f>I9*40%*11</f>
        <v>880</v>
      </c>
      <c r="T9" s="1532">
        <f>I9*40%</f>
        <v>80</v>
      </c>
      <c r="U9" s="23">
        <f>J9+K9+L9</f>
        <v>9600</v>
      </c>
      <c r="V9" s="21">
        <f>J9+K9+L9+M9+N9+O9</f>
        <v>13200</v>
      </c>
      <c r="W9" s="25">
        <f>J9+K9+L9+M9+N9+O9+P9+Q9+R9+S9+T9</f>
        <v>17520</v>
      </c>
      <c r="X9" s="34">
        <f>U9*$Z$5</f>
        <v>8928</v>
      </c>
      <c r="Y9" s="24">
        <f>V9*$Z$5</f>
        <v>12276</v>
      </c>
      <c r="Z9" s="106">
        <f>W9*$Z$5</f>
        <v>16293.6</v>
      </c>
      <c r="AA9" s="23">
        <f t="shared" ref="AA9:AC9" si="0">U9*$AC$5</f>
        <v>8256</v>
      </c>
      <c r="AB9" s="24">
        <f t="shared" si="0"/>
        <v>11352</v>
      </c>
      <c r="AC9" s="25">
        <f t="shared" si="0"/>
        <v>15067.199999999999</v>
      </c>
      <c r="AD9" s="23">
        <f>U9*$AF$5</f>
        <v>7968</v>
      </c>
      <c r="AE9" s="24">
        <f>V9*$AF$5</f>
        <v>10956</v>
      </c>
      <c r="AF9" s="25">
        <f>W9*$AF$5</f>
        <v>14541.599999999999</v>
      </c>
      <c r="AG9" s="34">
        <f>U9*$AI$5</f>
        <v>7200</v>
      </c>
      <c r="AH9" s="106">
        <f>V9*$AI$5</f>
        <v>9900</v>
      </c>
      <c r="AI9" s="106">
        <f>W9*$AI$5</f>
        <v>13140</v>
      </c>
      <c r="AJ9" s="23">
        <f>U9*$AL$5</f>
        <v>6720</v>
      </c>
      <c r="AK9" s="106">
        <f>V9*$AL$5</f>
        <v>9240</v>
      </c>
      <c r="AL9" s="25">
        <f>W9*$AL$5</f>
        <v>12264</v>
      </c>
      <c r="AN9" s="461"/>
      <c r="AO9" s="461"/>
      <c r="AP9" s="461"/>
    </row>
    <row r="10" spans="1:42" ht="18" customHeight="1">
      <c r="A10" s="15"/>
      <c r="B10" s="205" t="s">
        <v>1208</v>
      </c>
      <c r="C10" s="734">
        <v>1.5</v>
      </c>
      <c r="D10" s="734">
        <v>0.2</v>
      </c>
      <c r="E10" s="281">
        <v>0.2</v>
      </c>
      <c r="F10" s="1534"/>
      <c r="G10" s="1227"/>
      <c r="H10" s="1227"/>
      <c r="I10" s="1539"/>
      <c r="J10" s="1541"/>
      <c r="K10" s="1538"/>
      <c r="L10" s="1542"/>
      <c r="M10" s="1229"/>
      <c r="N10" s="1229"/>
      <c r="O10" s="1227"/>
      <c r="P10" s="1227"/>
      <c r="Q10" s="1227"/>
      <c r="R10" s="1229"/>
      <c r="S10" s="1531"/>
      <c r="T10" s="1531"/>
      <c r="U10" s="180">
        <f>U9/F9</f>
        <v>9.6</v>
      </c>
      <c r="V10" s="183">
        <f>V9/F9</f>
        <v>13.2</v>
      </c>
      <c r="W10" s="182">
        <f>W9/F9</f>
        <v>17.52</v>
      </c>
      <c r="X10" s="181">
        <f>X9/F9</f>
        <v>8.9280000000000008</v>
      </c>
      <c r="Y10" s="183">
        <f>Y9/F9</f>
        <v>12.276</v>
      </c>
      <c r="Z10" s="184">
        <f>Z9/F9</f>
        <v>16.293600000000001</v>
      </c>
      <c r="AA10" s="180">
        <f>AA9/F9</f>
        <v>8.2560000000000002</v>
      </c>
      <c r="AB10" s="183">
        <f>AB9/F9</f>
        <v>11.352</v>
      </c>
      <c r="AC10" s="182">
        <f>AC9/F9</f>
        <v>15.0672</v>
      </c>
      <c r="AD10" s="180">
        <f>AD9/F9</f>
        <v>7.968</v>
      </c>
      <c r="AE10" s="183">
        <f>AE9/F9</f>
        <v>10.956</v>
      </c>
      <c r="AF10" s="182">
        <f>AF9/F9</f>
        <v>14.541599999999999</v>
      </c>
      <c r="AG10" s="181">
        <f>AG9/F9</f>
        <v>7.2</v>
      </c>
      <c r="AH10" s="184">
        <f>AH9/F9</f>
        <v>9.9</v>
      </c>
      <c r="AI10" s="184">
        <f>AI9/F9</f>
        <v>13.14</v>
      </c>
      <c r="AJ10" s="180">
        <f>AJ9/F9</f>
        <v>6.72</v>
      </c>
      <c r="AK10" s="184">
        <f>AK9/F9</f>
        <v>9.24</v>
      </c>
      <c r="AL10" s="182">
        <f>AL9/F9</f>
        <v>12.263999999999999</v>
      </c>
      <c r="AN10" s="461"/>
      <c r="AO10" s="461"/>
      <c r="AP10" s="461"/>
    </row>
    <row r="11" spans="1:42" ht="18" customHeight="1">
      <c r="A11" s="15"/>
      <c r="B11" s="1341" t="s">
        <v>1209</v>
      </c>
      <c r="C11" s="1342"/>
      <c r="D11" s="1342"/>
      <c r="E11" s="1343"/>
      <c r="F11" s="1534">
        <v>1000</v>
      </c>
      <c r="G11" s="1227">
        <f>F11*C12</f>
        <v>800</v>
      </c>
      <c r="H11" s="1227">
        <f>F11*D12</f>
        <v>100</v>
      </c>
      <c r="I11" s="1539">
        <f>F11*E12</f>
        <v>100</v>
      </c>
      <c r="J11" s="1541">
        <f>G11*$J$5</f>
        <v>3360</v>
      </c>
      <c r="K11" s="1537">
        <f>G11*$K$5</f>
        <v>240</v>
      </c>
      <c r="L11" s="1234">
        <f>G11*10%*3</f>
        <v>240</v>
      </c>
      <c r="M11" s="1234">
        <v>0</v>
      </c>
      <c r="N11" s="1234">
        <f>G11*20%*2</f>
        <v>320</v>
      </c>
      <c r="O11" s="1227">
        <f>G11*20%*6</f>
        <v>960</v>
      </c>
      <c r="P11" s="1227">
        <f>H11*30%*12</f>
        <v>360</v>
      </c>
      <c r="Q11" s="1227">
        <f>I11*30%*12</f>
        <v>360</v>
      </c>
      <c r="R11" s="1234">
        <f>H11*70%*12</f>
        <v>840</v>
      </c>
      <c r="S11" s="1532">
        <f>H11*20%*11</f>
        <v>220</v>
      </c>
      <c r="T11" s="1532">
        <f>I11*90%</f>
        <v>90</v>
      </c>
      <c r="U11" s="23">
        <f>J11+K11+L11</f>
        <v>3840</v>
      </c>
      <c r="V11" s="21">
        <f>J11+K11+L11+M11+N11+O11</f>
        <v>5120</v>
      </c>
      <c r="W11" s="25">
        <f>J11+K11+L11+M11+N11+O11+P11+Q11+R11+S11+T11</f>
        <v>6990</v>
      </c>
      <c r="X11" s="34">
        <f>U11*$Z$5</f>
        <v>3571.2000000000003</v>
      </c>
      <c r="Y11" s="24">
        <f>V11*$Z$5</f>
        <v>4761.6000000000004</v>
      </c>
      <c r="Z11" s="106">
        <f>W11*$Z$5</f>
        <v>6500.7000000000007</v>
      </c>
      <c r="AA11" s="23">
        <f t="shared" ref="AA11:AC11" si="1">U11*$AC$5</f>
        <v>3302.4</v>
      </c>
      <c r="AB11" s="24">
        <f t="shared" si="1"/>
        <v>4403.2</v>
      </c>
      <c r="AC11" s="25">
        <f t="shared" si="1"/>
        <v>6011.4</v>
      </c>
      <c r="AD11" s="23">
        <f>U11*$AF$5</f>
        <v>3187.2</v>
      </c>
      <c r="AE11" s="24">
        <f>V11*$AF$5</f>
        <v>4249.5999999999995</v>
      </c>
      <c r="AF11" s="25">
        <f>W11*$AF$5</f>
        <v>5801.7</v>
      </c>
      <c r="AG11" s="34">
        <f>U11*$AI$5</f>
        <v>2880</v>
      </c>
      <c r="AH11" s="106">
        <f>V11*$AI$5</f>
        <v>3840</v>
      </c>
      <c r="AI11" s="106">
        <f>W11*$AI$5</f>
        <v>5242.5</v>
      </c>
      <c r="AJ11" s="23">
        <f>U11*$AL$5</f>
        <v>2688</v>
      </c>
      <c r="AK11" s="106">
        <f>V11*$AL$5</f>
        <v>3584</v>
      </c>
      <c r="AL11" s="25">
        <f>W11*$AL$5</f>
        <v>4893</v>
      </c>
      <c r="AN11" s="461"/>
      <c r="AO11" s="461"/>
      <c r="AP11" s="461"/>
    </row>
    <row r="12" spans="1:42" ht="18" customHeight="1">
      <c r="A12" s="15"/>
      <c r="B12" s="417" t="s">
        <v>1206</v>
      </c>
      <c r="C12" s="734">
        <v>0.8</v>
      </c>
      <c r="D12" s="734">
        <v>0.1</v>
      </c>
      <c r="E12" s="281">
        <v>0.1</v>
      </c>
      <c r="F12" s="1534"/>
      <c r="G12" s="1227"/>
      <c r="H12" s="1227"/>
      <c r="I12" s="1539"/>
      <c r="J12" s="1541"/>
      <c r="K12" s="1538"/>
      <c r="L12" s="1229"/>
      <c r="M12" s="1229"/>
      <c r="N12" s="1229"/>
      <c r="O12" s="1227"/>
      <c r="P12" s="1227"/>
      <c r="Q12" s="1227"/>
      <c r="R12" s="1229"/>
      <c r="S12" s="1531"/>
      <c r="T12" s="1531"/>
      <c r="U12" s="180">
        <f>U11/F11</f>
        <v>3.84</v>
      </c>
      <c r="V12" s="183">
        <f>V11/F11</f>
        <v>5.12</v>
      </c>
      <c r="W12" s="182">
        <f>W11/F11</f>
        <v>6.99</v>
      </c>
      <c r="X12" s="181">
        <f>X11/F11</f>
        <v>3.5712000000000002</v>
      </c>
      <c r="Y12" s="183">
        <f>Y11/F11</f>
        <v>4.7616000000000005</v>
      </c>
      <c r="Z12" s="184">
        <f>Z11/F11</f>
        <v>6.500700000000001</v>
      </c>
      <c r="AA12" s="180">
        <f>AA11/F11</f>
        <v>3.3024</v>
      </c>
      <c r="AB12" s="183">
        <f>AB11/F11</f>
        <v>4.4032</v>
      </c>
      <c r="AC12" s="182">
        <f>AC11/F11</f>
        <v>6.0114000000000001</v>
      </c>
      <c r="AD12" s="180">
        <f>AD11/F11</f>
        <v>3.1871999999999998</v>
      </c>
      <c r="AE12" s="183">
        <f>AE11/F11</f>
        <v>4.2495999999999992</v>
      </c>
      <c r="AF12" s="182">
        <f>AF11/F11</f>
        <v>5.8016999999999994</v>
      </c>
      <c r="AG12" s="181">
        <f>AG11/F11</f>
        <v>2.88</v>
      </c>
      <c r="AH12" s="184">
        <f>AH11/F11</f>
        <v>3.84</v>
      </c>
      <c r="AI12" s="184">
        <f>AI11/F11</f>
        <v>5.2424999999999997</v>
      </c>
      <c r="AJ12" s="180">
        <f>AJ11/F11</f>
        <v>2.6880000000000002</v>
      </c>
      <c r="AK12" s="184">
        <f>AK11/F11</f>
        <v>3.5840000000000001</v>
      </c>
      <c r="AL12" s="182">
        <f>AL11/F11</f>
        <v>4.8929999999999998</v>
      </c>
      <c r="AN12" s="461"/>
      <c r="AO12" s="461"/>
      <c r="AP12" s="461"/>
    </row>
    <row r="13" spans="1:42" ht="18" customHeight="1">
      <c r="A13" s="15"/>
      <c r="B13" s="1341" t="s">
        <v>1210</v>
      </c>
      <c r="C13" s="1342"/>
      <c r="D13" s="1342"/>
      <c r="E13" s="1343"/>
      <c r="F13" s="1534">
        <v>1000</v>
      </c>
      <c r="G13" s="1227">
        <f>F13*C14</f>
        <v>800</v>
      </c>
      <c r="H13" s="1227">
        <f>F13*D14</f>
        <v>100</v>
      </c>
      <c r="I13" s="1539">
        <f>F13*E14</f>
        <v>100</v>
      </c>
      <c r="J13" s="1541">
        <f>G13*$J$5</f>
        <v>3360</v>
      </c>
      <c r="K13" s="1537">
        <f>G13*$K$5</f>
        <v>240</v>
      </c>
      <c r="L13" s="1234">
        <f>G13*10%*3</f>
        <v>240</v>
      </c>
      <c r="M13" s="1234">
        <v>0</v>
      </c>
      <c r="N13" s="1234">
        <f>G13*20%*2</f>
        <v>320</v>
      </c>
      <c r="O13" s="1227">
        <f>G13*20%*6</f>
        <v>960</v>
      </c>
      <c r="P13" s="1227">
        <f>H13*30%*12</f>
        <v>360</v>
      </c>
      <c r="Q13" s="1227">
        <f>I13*30%*12</f>
        <v>360</v>
      </c>
      <c r="R13" s="1234">
        <f>H13*70%*12</f>
        <v>840</v>
      </c>
      <c r="S13" s="1532">
        <f>H13*20%*11</f>
        <v>220</v>
      </c>
      <c r="T13" s="1532">
        <f>I13*90%</f>
        <v>90</v>
      </c>
      <c r="U13" s="23">
        <f>J13+K13+L13</f>
        <v>3840</v>
      </c>
      <c r="V13" s="21">
        <f>J13+K13+L13+M13+N13+O13</f>
        <v>5120</v>
      </c>
      <c r="W13" s="25">
        <f>J13+K13+L13+M13+N13+O13+P13+Q13+R13+S13+T13</f>
        <v>6990</v>
      </c>
      <c r="X13" s="34">
        <f>U13*$Z$5</f>
        <v>3571.2000000000003</v>
      </c>
      <c r="Y13" s="24">
        <f>V13*$Z$5</f>
        <v>4761.6000000000004</v>
      </c>
      <c r="Z13" s="106">
        <f>W13*$Z$5</f>
        <v>6500.7000000000007</v>
      </c>
      <c r="AA13" s="23">
        <f t="shared" ref="AA13:AC13" si="2">U13*$AC$5</f>
        <v>3302.4</v>
      </c>
      <c r="AB13" s="24">
        <f t="shared" si="2"/>
        <v>4403.2</v>
      </c>
      <c r="AC13" s="25">
        <f t="shared" si="2"/>
        <v>6011.4</v>
      </c>
      <c r="AD13" s="23">
        <f>U13*$AF$5</f>
        <v>3187.2</v>
      </c>
      <c r="AE13" s="24">
        <f>V13*$AF$5</f>
        <v>4249.5999999999995</v>
      </c>
      <c r="AF13" s="25">
        <f>W13*$AF$5</f>
        <v>5801.7</v>
      </c>
      <c r="AG13" s="34">
        <f>U13*$AI$5</f>
        <v>2880</v>
      </c>
      <c r="AH13" s="106">
        <f>V13*$AI$5</f>
        <v>3840</v>
      </c>
      <c r="AI13" s="106">
        <f>W13*$AI$5</f>
        <v>5242.5</v>
      </c>
      <c r="AJ13" s="23">
        <f>U13*$AL$5</f>
        <v>2688</v>
      </c>
      <c r="AK13" s="106">
        <f>V13*$AL$5</f>
        <v>3584</v>
      </c>
      <c r="AL13" s="25">
        <f>W13*$AL$5</f>
        <v>4893</v>
      </c>
      <c r="AN13" s="461"/>
      <c r="AO13" s="461"/>
      <c r="AP13" s="461"/>
    </row>
    <row r="14" spans="1:42" ht="18" customHeight="1">
      <c r="A14" s="15"/>
      <c r="B14" s="205" t="s">
        <v>1211</v>
      </c>
      <c r="C14" s="734">
        <v>0.8</v>
      </c>
      <c r="D14" s="734">
        <v>0.1</v>
      </c>
      <c r="E14" s="281">
        <v>0.1</v>
      </c>
      <c r="F14" s="1534"/>
      <c r="G14" s="1227"/>
      <c r="H14" s="1227"/>
      <c r="I14" s="1539"/>
      <c r="J14" s="1541"/>
      <c r="K14" s="1538"/>
      <c r="L14" s="1229"/>
      <c r="M14" s="1229"/>
      <c r="N14" s="1229"/>
      <c r="O14" s="1227"/>
      <c r="P14" s="1227"/>
      <c r="Q14" s="1227"/>
      <c r="R14" s="1229"/>
      <c r="S14" s="1531"/>
      <c r="T14" s="1531"/>
      <c r="U14" s="180">
        <f>U13/F13</f>
        <v>3.84</v>
      </c>
      <c r="V14" s="183">
        <f>V13/F13</f>
        <v>5.12</v>
      </c>
      <c r="W14" s="182">
        <f>W13/F13</f>
        <v>6.99</v>
      </c>
      <c r="X14" s="181">
        <f>X13/F13</f>
        <v>3.5712000000000002</v>
      </c>
      <c r="Y14" s="183">
        <f>Y13/F13</f>
        <v>4.7616000000000005</v>
      </c>
      <c r="Z14" s="184">
        <f>Z13/F13</f>
        <v>6.500700000000001</v>
      </c>
      <c r="AA14" s="180">
        <f>AA13/F13</f>
        <v>3.3024</v>
      </c>
      <c r="AB14" s="183">
        <f>AB13/F13</f>
        <v>4.4032</v>
      </c>
      <c r="AC14" s="182">
        <f>AC13/F13</f>
        <v>6.0114000000000001</v>
      </c>
      <c r="AD14" s="180">
        <f>AD13/F13</f>
        <v>3.1871999999999998</v>
      </c>
      <c r="AE14" s="183">
        <f>AE13/F13</f>
        <v>4.2495999999999992</v>
      </c>
      <c r="AF14" s="182">
        <f>AF13/F13</f>
        <v>5.8016999999999994</v>
      </c>
      <c r="AG14" s="181">
        <f>AG13/F13</f>
        <v>2.88</v>
      </c>
      <c r="AH14" s="184">
        <f>AH13/F13</f>
        <v>3.84</v>
      </c>
      <c r="AI14" s="184">
        <f>AI13/F13</f>
        <v>5.2424999999999997</v>
      </c>
      <c r="AJ14" s="180">
        <f>AJ13/F13</f>
        <v>2.6880000000000002</v>
      </c>
      <c r="AK14" s="184">
        <f>AK13/F13</f>
        <v>3.5840000000000001</v>
      </c>
      <c r="AL14" s="182">
        <f>AL13/F13</f>
        <v>4.8929999999999998</v>
      </c>
      <c r="AN14" s="461"/>
      <c r="AO14" s="461"/>
      <c r="AP14" s="461"/>
    </row>
    <row r="15" spans="1:42" ht="18" customHeight="1">
      <c r="A15" s="15"/>
      <c r="B15" s="1341" t="s">
        <v>1212</v>
      </c>
      <c r="C15" s="1342"/>
      <c r="D15" s="1342"/>
      <c r="E15" s="1343"/>
      <c r="F15" s="1534">
        <v>1000</v>
      </c>
      <c r="G15" s="1227">
        <f>F15*C16</f>
        <v>1200</v>
      </c>
      <c r="H15" s="1227">
        <f>F15*D16</f>
        <v>200</v>
      </c>
      <c r="I15" s="1539">
        <f>F15*E16</f>
        <v>100</v>
      </c>
      <c r="J15" s="1541">
        <f>(G15*$J$5)+(G15*40%)</f>
        <v>5520</v>
      </c>
      <c r="K15" s="1537">
        <f>G15*$K$5</f>
        <v>360</v>
      </c>
      <c r="L15" s="1543">
        <v>0</v>
      </c>
      <c r="M15" s="1234">
        <f>G15*30%*3</f>
        <v>1080</v>
      </c>
      <c r="N15" s="1234">
        <f>G15*30%*2</f>
        <v>720</v>
      </c>
      <c r="O15" s="1227">
        <f>G15*30%*6</f>
        <v>2160</v>
      </c>
      <c r="P15" s="1227">
        <f>H15*30%*12</f>
        <v>720</v>
      </c>
      <c r="Q15" s="1227">
        <f>I15*30%*12</f>
        <v>360</v>
      </c>
      <c r="R15" s="1234">
        <f>H15*40%*12</f>
        <v>960</v>
      </c>
      <c r="S15" s="1532">
        <f>H15*40%*11</f>
        <v>880</v>
      </c>
      <c r="T15" s="1532">
        <f>I15*40%</f>
        <v>40</v>
      </c>
      <c r="U15" s="23">
        <f>J15+K15</f>
        <v>5880</v>
      </c>
      <c r="V15" s="21">
        <f>J15+K15+L15+M15+N15+O15</f>
        <v>9840</v>
      </c>
      <c r="W15" s="25">
        <f>J15+K15+L15+M15+N15+O15+P15+Q15+R15+S15+T15</f>
        <v>12800</v>
      </c>
      <c r="X15" s="34">
        <f>U15*$Z$5</f>
        <v>5468.4000000000005</v>
      </c>
      <c r="Y15" s="24">
        <f>V15*$Z$5</f>
        <v>9151.2000000000007</v>
      </c>
      <c r="Z15" s="106">
        <f>W15*$Z$5</f>
        <v>11904</v>
      </c>
      <c r="AA15" s="23">
        <f t="shared" ref="AA15:AC15" si="3">U15*$AC$5</f>
        <v>5056.8</v>
      </c>
      <c r="AB15" s="24">
        <f t="shared" si="3"/>
        <v>8462.4</v>
      </c>
      <c r="AC15" s="25">
        <f t="shared" si="3"/>
        <v>11008</v>
      </c>
      <c r="AD15" s="23">
        <f>U15*$AF$5</f>
        <v>4880.3999999999996</v>
      </c>
      <c r="AE15" s="24">
        <f>V15*$AF$5</f>
        <v>8167.2</v>
      </c>
      <c r="AF15" s="25">
        <f>W15*$AF$5</f>
        <v>10624</v>
      </c>
      <c r="AG15" s="34">
        <f>U15*$AI$5</f>
        <v>4410</v>
      </c>
      <c r="AH15" s="106">
        <f>V15*$AI$5</f>
        <v>7380</v>
      </c>
      <c r="AI15" s="106">
        <f>W15*$AI$5</f>
        <v>9600</v>
      </c>
      <c r="AJ15" s="23">
        <f>U15*$AL$5</f>
        <v>4116</v>
      </c>
      <c r="AK15" s="106">
        <f>V15*$AL$5</f>
        <v>6888</v>
      </c>
      <c r="AL15" s="25">
        <f>W15*$AL$5</f>
        <v>8960</v>
      </c>
      <c r="AN15" s="461"/>
      <c r="AO15" s="461"/>
      <c r="AP15" s="461"/>
    </row>
    <row r="16" spans="1:42" ht="18" customHeight="1">
      <c r="A16" s="15"/>
      <c r="B16" s="205" t="s">
        <v>1208</v>
      </c>
      <c r="C16" s="734">
        <v>1.2</v>
      </c>
      <c r="D16" s="734">
        <v>0.2</v>
      </c>
      <c r="E16" s="281">
        <v>0.1</v>
      </c>
      <c r="F16" s="1534"/>
      <c r="G16" s="1227"/>
      <c r="H16" s="1227"/>
      <c r="I16" s="1539"/>
      <c r="J16" s="1541"/>
      <c r="K16" s="1538"/>
      <c r="L16" s="1543"/>
      <c r="M16" s="1229"/>
      <c r="N16" s="1229"/>
      <c r="O16" s="1227"/>
      <c r="P16" s="1227"/>
      <c r="Q16" s="1227"/>
      <c r="R16" s="1229"/>
      <c r="S16" s="1531"/>
      <c r="T16" s="1531"/>
      <c r="U16" s="180">
        <f>U15/F15</f>
        <v>5.88</v>
      </c>
      <c r="V16" s="183">
        <f>V15/F15</f>
        <v>9.84</v>
      </c>
      <c r="W16" s="182">
        <f>W15/F15</f>
        <v>12.8</v>
      </c>
      <c r="X16" s="218">
        <f>X15/F15</f>
        <v>5.4684000000000008</v>
      </c>
      <c r="Y16" s="219">
        <f>Y15/F15</f>
        <v>9.1512000000000011</v>
      </c>
      <c r="Z16" s="220">
        <f>Z15/F15</f>
        <v>11.904</v>
      </c>
      <c r="AA16" s="221">
        <f>AA15/F15</f>
        <v>5.0568</v>
      </c>
      <c r="AB16" s="219">
        <f>AB15/F15</f>
        <v>8.4623999999999988</v>
      </c>
      <c r="AC16" s="222">
        <f>AC15/F15</f>
        <v>11.007999999999999</v>
      </c>
      <c r="AD16" s="221">
        <f>AD15/F15</f>
        <v>4.8803999999999998</v>
      </c>
      <c r="AE16" s="219">
        <f>AE15/F15</f>
        <v>8.1671999999999993</v>
      </c>
      <c r="AF16" s="222">
        <f>AF15/F15</f>
        <v>10.624000000000001</v>
      </c>
      <c r="AG16" s="218">
        <f>AG15/F15</f>
        <v>4.41</v>
      </c>
      <c r="AH16" s="220">
        <f>AH15/F15</f>
        <v>7.38</v>
      </c>
      <c r="AI16" s="220">
        <f>AI15/F15</f>
        <v>9.6</v>
      </c>
      <c r="AJ16" s="221">
        <f>AJ15/F15</f>
        <v>4.1159999999999997</v>
      </c>
      <c r="AK16" s="220">
        <f>AK15/F15</f>
        <v>6.8879999999999999</v>
      </c>
      <c r="AL16" s="222">
        <f>AL15/F15</f>
        <v>8.9600000000000009</v>
      </c>
      <c r="AN16" s="461"/>
      <c r="AO16" s="461"/>
      <c r="AP16" s="461"/>
    </row>
    <row r="17" spans="1:42" ht="18" customHeight="1">
      <c r="A17" s="15"/>
      <c r="B17" s="1341" t="s">
        <v>1213</v>
      </c>
      <c r="C17" s="1342"/>
      <c r="D17" s="1342"/>
      <c r="E17" s="1343"/>
      <c r="F17" s="1533">
        <v>1000</v>
      </c>
      <c r="G17" s="1229">
        <f>F17*C18</f>
        <v>700</v>
      </c>
      <c r="H17" s="1229">
        <f>F17*D18</f>
        <v>200</v>
      </c>
      <c r="I17" s="1241">
        <f>F17*E18</f>
        <v>100</v>
      </c>
      <c r="J17" s="1540">
        <f>G17*$J$5</f>
        <v>2940</v>
      </c>
      <c r="K17" s="1542">
        <f>G17*$K$5</f>
        <v>210</v>
      </c>
      <c r="L17" s="1537">
        <f>G17*10%</f>
        <v>70</v>
      </c>
      <c r="M17" s="1246">
        <f>G15*10%*3</f>
        <v>360</v>
      </c>
      <c r="N17" s="1246">
        <f>G17*20%*2</f>
        <v>280</v>
      </c>
      <c r="O17" s="1229">
        <f>G17*20%*6</f>
        <v>840</v>
      </c>
      <c r="P17" s="1229">
        <f>H17*30%*12</f>
        <v>720</v>
      </c>
      <c r="Q17" s="1229">
        <f>I17*30%*12</f>
        <v>360</v>
      </c>
      <c r="R17" s="1246"/>
      <c r="S17" s="1530"/>
      <c r="T17" s="1530"/>
      <c r="U17" s="23">
        <f>J17+K17+L17</f>
        <v>3220</v>
      </c>
      <c r="V17" s="21">
        <f>J17+K17+L17+M17+N17+O17</f>
        <v>4700</v>
      </c>
      <c r="W17" s="25">
        <f>J17+K17+L17+M17+N17+O17+P17+Q17+R17+S17+T17</f>
        <v>5780</v>
      </c>
      <c r="X17" s="34">
        <f>U17*$Z$5</f>
        <v>2994.6000000000004</v>
      </c>
      <c r="Y17" s="24">
        <f>V17*$Z$5</f>
        <v>4371</v>
      </c>
      <c r="Z17" s="106">
        <f>W17*$Z$5</f>
        <v>5375.4000000000005</v>
      </c>
      <c r="AA17" s="23">
        <f t="shared" ref="AA17:AC17" si="4">U17*$AC$5</f>
        <v>2769.2</v>
      </c>
      <c r="AB17" s="24">
        <f t="shared" si="4"/>
        <v>4042</v>
      </c>
      <c r="AC17" s="25">
        <f t="shared" si="4"/>
        <v>4970.8</v>
      </c>
      <c r="AD17" s="23">
        <f>U17*$AF$5</f>
        <v>2672.6</v>
      </c>
      <c r="AE17" s="24">
        <f>V17*$AF$5</f>
        <v>3901</v>
      </c>
      <c r="AF17" s="25">
        <f>W17*$AF$5</f>
        <v>4797.3999999999996</v>
      </c>
      <c r="AG17" s="34">
        <f>U17*$AI$5</f>
        <v>2415</v>
      </c>
      <c r="AH17" s="24">
        <f>V17*$AI$5</f>
        <v>3525</v>
      </c>
      <c r="AI17" s="106">
        <f>W17*$AI$5</f>
        <v>4335</v>
      </c>
      <c r="AJ17" s="23">
        <f>U17*$AL$5</f>
        <v>2254</v>
      </c>
      <c r="AK17" s="24">
        <f>V17*$AL$5</f>
        <v>3290</v>
      </c>
      <c r="AL17" s="25">
        <f>W17*$AL$5</f>
        <v>4045.9999999999995</v>
      </c>
      <c r="AN17" s="461"/>
      <c r="AO17" s="461"/>
      <c r="AP17" s="461"/>
    </row>
    <row r="18" spans="1:42" ht="18" customHeight="1">
      <c r="A18" s="15"/>
      <c r="B18" s="205" t="s">
        <v>1214</v>
      </c>
      <c r="C18" s="734">
        <v>0.7</v>
      </c>
      <c r="D18" s="734">
        <v>0.2</v>
      </c>
      <c r="E18" s="281">
        <v>0.1</v>
      </c>
      <c r="F18" s="1534"/>
      <c r="G18" s="1227"/>
      <c r="H18" s="1227"/>
      <c r="I18" s="1539"/>
      <c r="J18" s="1541"/>
      <c r="K18" s="1538"/>
      <c r="L18" s="1542"/>
      <c r="M18" s="1229"/>
      <c r="N18" s="1229"/>
      <c r="O18" s="1227"/>
      <c r="P18" s="1227"/>
      <c r="Q18" s="1227"/>
      <c r="R18" s="1229"/>
      <c r="S18" s="1531"/>
      <c r="T18" s="1531"/>
      <c r="U18" s="180">
        <f>U17/F17</f>
        <v>3.22</v>
      </c>
      <c r="V18" s="183">
        <f>V17/F17</f>
        <v>4.7</v>
      </c>
      <c r="W18" s="182">
        <f>W17/F17</f>
        <v>5.78</v>
      </c>
      <c r="X18" s="181">
        <f>X17/F17</f>
        <v>2.9946000000000002</v>
      </c>
      <c r="Y18" s="183">
        <f>Y17/F17</f>
        <v>4.3710000000000004</v>
      </c>
      <c r="Z18" s="184">
        <f>Z17/F17</f>
        <v>5.3754000000000008</v>
      </c>
      <c r="AA18" s="180">
        <f>AA17/F17</f>
        <v>2.7691999999999997</v>
      </c>
      <c r="AB18" s="183">
        <f>AB17/F17</f>
        <v>4.0419999999999998</v>
      </c>
      <c r="AC18" s="182">
        <f>AC17/F17</f>
        <v>4.9708000000000006</v>
      </c>
      <c r="AD18" s="180">
        <f>AD17/F17</f>
        <v>2.6726000000000001</v>
      </c>
      <c r="AE18" s="183">
        <f>AE17/F17</f>
        <v>3.9009999999999998</v>
      </c>
      <c r="AF18" s="182">
        <f>AF17/F17</f>
        <v>4.7973999999999997</v>
      </c>
      <c r="AG18" s="181">
        <f>AG17/F17</f>
        <v>2.415</v>
      </c>
      <c r="AH18" s="183">
        <f>AH17/F17</f>
        <v>3.5249999999999999</v>
      </c>
      <c r="AI18" s="184">
        <f>AI17/F17</f>
        <v>4.335</v>
      </c>
      <c r="AJ18" s="180">
        <f>AJ17/F17</f>
        <v>2.254</v>
      </c>
      <c r="AK18" s="183">
        <f>AK17/F17</f>
        <v>3.29</v>
      </c>
      <c r="AL18" s="182">
        <f>AL17/F17</f>
        <v>4.0459999999999994</v>
      </c>
      <c r="AN18" s="461"/>
      <c r="AO18" s="461"/>
      <c r="AP18" s="461"/>
    </row>
    <row r="19" spans="1:42" ht="18" customHeight="1">
      <c r="A19" s="15"/>
      <c r="B19" s="1341" t="s">
        <v>1215</v>
      </c>
      <c r="C19" s="1342"/>
      <c r="D19" s="1342"/>
      <c r="E19" s="1343"/>
      <c r="F19" s="1533">
        <v>1000</v>
      </c>
      <c r="G19" s="1229">
        <f>F19*C20</f>
        <v>70</v>
      </c>
      <c r="H19" s="1229">
        <f>F19*D20</f>
        <v>150</v>
      </c>
      <c r="I19" s="1241">
        <f>F19*E20</f>
        <v>100</v>
      </c>
      <c r="J19" s="1540">
        <f>G19*$J$5</f>
        <v>294</v>
      </c>
      <c r="K19" s="1542">
        <f>G19*$K$5</f>
        <v>21</v>
      </c>
      <c r="L19" s="1234">
        <f>G19*10%*3</f>
        <v>21</v>
      </c>
      <c r="M19" s="1234">
        <v>0</v>
      </c>
      <c r="N19" s="1234">
        <f>G19*20%*2</f>
        <v>28</v>
      </c>
      <c r="O19" s="1227">
        <f>G19*20%*6</f>
        <v>84</v>
      </c>
      <c r="P19" s="1227">
        <f>H19*30%*12</f>
        <v>540</v>
      </c>
      <c r="Q19" s="1227">
        <f>I19*30%*12</f>
        <v>360</v>
      </c>
      <c r="R19" s="1234">
        <f>H19*70%*12</f>
        <v>1260</v>
      </c>
      <c r="S19" s="1532">
        <f>H19*20%*11</f>
        <v>330</v>
      </c>
      <c r="T19" s="1532">
        <f>I19*90%</f>
        <v>90</v>
      </c>
      <c r="U19" s="23">
        <f>J19+K19+L19</f>
        <v>336</v>
      </c>
      <c r="V19" s="21">
        <f>J19+K19+L19+M19+N19+O19</f>
        <v>448</v>
      </c>
      <c r="W19" s="25">
        <f>J19+K19+L19+M19+N19+O19+P19+Q19+R19+S19+T19</f>
        <v>3028</v>
      </c>
      <c r="X19" s="34">
        <f>U19*$Z$5</f>
        <v>312.48</v>
      </c>
      <c r="Y19" s="24">
        <f>V19*$Z$5</f>
        <v>416.64000000000004</v>
      </c>
      <c r="Z19" s="106">
        <f>W19*$Z$5</f>
        <v>2816.04</v>
      </c>
      <c r="AA19" s="23">
        <f t="shared" ref="AA19:AC19" si="5">U19*$AC$5</f>
        <v>288.95999999999998</v>
      </c>
      <c r="AB19" s="24">
        <f t="shared" si="5"/>
        <v>385.28</v>
      </c>
      <c r="AC19" s="25">
        <f t="shared" si="5"/>
        <v>2604.08</v>
      </c>
      <c r="AD19" s="23">
        <f>U19*$AF$5</f>
        <v>278.88</v>
      </c>
      <c r="AE19" s="24">
        <f>V19*$AF$5</f>
        <v>371.84</v>
      </c>
      <c r="AF19" s="25">
        <f>W19*$AF$5</f>
        <v>2513.2399999999998</v>
      </c>
      <c r="AG19" s="34">
        <f>U19*$AI$5</f>
        <v>252</v>
      </c>
      <c r="AH19" s="24">
        <f>V19*$AI$5</f>
        <v>336</v>
      </c>
      <c r="AI19" s="106">
        <f>W19*$AI$5</f>
        <v>2271</v>
      </c>
      <c r="AJ19" s="23">
        <f>U19*$AL$5</f>
        <v>235.2</v>
      </c>
      <c r="AK19" s="24">
        <f>V19*$AL$5</f>
        <v>313.59999999999997</v>
      </c>
      <c r="AL19" s="25">
        <f>W19*$AL$5</f>
        <v>2119.6</v>
      </c>
      <c r="AN19" s="461"/>
      <c r="AO19" s="461"/>
      <c r="AP19" s="461"/>
    </row>
    <row r="20" spans="1:42" ht="18" customHeight="1">
      <c r="A20" s="15"/>
      <c r="B20" s="205" t="s">
        <v>1216</v>
      </c>
      <c r="C20" s="734">
        <v>7.0000000000000007E-2</v>
      </c>
      <c r="D20" s="734">
        <v>0.15</v>
      </c>
      <c r="E20" s="281">
        <v>0.1</v>
      </c>
      <c r="F20" s="1534"/>
      <c r="G20" s="1227"/>
      <c r="H20" s="1227"/>
      <c r="I20" s="1539"/>
      <c r="J20" s="1541"/>
      <c r="K20" s="1538"/>
      <c r="L20" s="1229"/>
      <c r="M20" s="1229"/>
      <c r="N20" s="1229"/>
      <c r="O20" s="1227"/>
      <c r="P20" s="1227"/>
      <c r="Q20" s="1227"/>
      <c r="R20" s="1229"/>
      <c r="S20" s="1531"/>
      <c r="T20" s="1531"/>
      <c r="U20" s="180">
        <f>U19/F19</f>
        <v>0.33600000000000002</v>
      </c>
      <c r="V20" s="183">
        <f>V19/F19</f>
        <v>0.44800000000000001</v>
      </c>
      <c r="W20" s="182">
        <f>W19/F19</f>
        <v>3.028</v>
      </c>
      <c r="X20" s="181">
        <f>X19/F19</f>
        <v>0.31248000000000004</v>
      </c>
      <c r="Y20" s="183">
        <f>Y19/F19</f>
        <v>0.41664000000000007</v>
      </c>
      <c r="Z20" s="184">
        <f>Z19/F19</f>
        <v>2.8160400000000001</v>
      </c>
      <c r="AA20" s="180">
        <f>AA19/F19</f>
        <v>0.28895999999999999</v>
      </c>
      <c r="AB20" s="183">
        <f>AB19/F19</f>
        <v>0.38527999999999996</v>
      </c>
      <c r="AC20" s="182">
        <f>AC19/F19</f>
        <v>2.6040799999999997</v>
      </c>
      <c r="AD20" s="180">
        <f>AD19/F19</f>
        <v>0.27888000000000002</v>
      </c>
      <c r="AE20" s="183">
        <f>AE19/F19</f>
        <v>0.37183999999999995</v>
      </c>
      <c r="AF20" s="182">
        <f>AF19/F19</f>
        <v>2.5132399999999997</v>
      </c>
      <c r="AG20" s="181">
        <f>AG19/F19</f>
        <v>0.252</v>
      </c>
      <c r="AH20" s="183">
        <f>AH19/F19</f>
        <v>0.33600000000000002</v>
      </c>
      <c r="AI20" s="184">
        <f>AI19/F19</f>
        <v>2.2709999999999999</v>
      </c>
      <c r="AJ20" s="180">
        <f>AJ19/F19</f>
        <v>0.23519999999999999</v>
      </c>
      <c r="AK20" s="183">
        <f>AK19/F19</f>
        <v>0.31359999999999999</v>
      </c>
      <c r="AL20" s="182">
        <f>AL19/F19</f>
        <v>2.1195999999999997</v>
      </c>
      <c r="AN20" s="461"/>
      <c r="AO20" s="461"/>
      <c r="AP20" s="461"/>
    </row>
    <row r="21" spans="1:42" ht="18" customHeight="1">
      <c r="A21" s="15"/>
      <c r="B21" s="1341" t="s">
        <v>1217</v>
      </c>
      <c r="C21" s="1342"/>
      <c r="D21" s="1342"/>
      <c r="E21" s="1343"/>
      <c r="F21" s="1535">
        <v>100000</v>
      </c>
      <c r="G21" s="1234">
        <f>6000+F21*0.5%</f>
        <v>6500</v>
      </c>
      <c r="H21" s="1234"/>
      <c r="I21" s="1326"/>
      <c r="J21" s="1332">
        <f>G21*$J$5</f>
        <v>27300</v>
      </c>
      <c r="K21" s="1537">
        <f>G21*360%</f>
        <v>23400</v>
      </c>
      <c r="L21" s="1234"/>
      <c r="M21" s="1234"/>
      <c r="N21" s="1234"/>
      <c r="O21" s="1234"/>
      <c r="P21" s="1234"/>
      <c r="Q21" s="1234"/>
      <c r="R21" s="1234"/>
      <c r="S21" s="1532"/>
      <c r="T21" s="1532"/>
      <c r="U21" s="23">
        <f>J21+K21</f>
        <v>50700</v>
      </c>
      <c r="V21" s="24">
        <f>J21+K21+L21+M21+N21+O21</f>
        <v>50700</v>
      </c>
      <c r="W21" s="25">
        <f>J21+K21+L21+M21+N21+O21+P21+Q21+R21+S21+T21</f>
        <v>50700</v>
      </c>
      <c r="X21" s="34">
        <f>U21*$Z$5</f>
        <v>47151</v>
      </c>
      <c r="Y21" s="24">
        <f>V21*$Z$5</f>
        <v>47151</v>
      </c>
      <c r="Z21" s="106">
        <f>W21*$Z$5</f>
        <v>47151</v>
      </c>
      <c r="AA21" s="23">
        <f t="shared" ref="AA21:AC21" si="6">U21*$AC$5</f>
        <v>43602</v>
      </c>
      <c r="AB21" s="24">
        <f t="shared" si="6"/>
        <v>43602</v>
      </c>
      <c r="AC21" s="25">
        <f t="shared" si="6"/>
        <v>43602</v>
      </c>
      <c r="AD21" s="23">
        <f>U21*$AF$5</f>
        <v>42081</v>
      </c>
      <c r="AE21" s="24">
        <f>V21*$AF$5</f>
        <v>42081</v>
      </c>
      <c r="AF21" s="25">
        <f>W21*$AF$5</f>
        <v>42081</v>
      </c>
      <c r="AG21" s="34">
        <f>U21*$AI$5</f>
        <v>38025</v>
      </c>
      <c r="AH21" s="106">
        <f>V21*$AI$5</f>
        <v>38025</v>
      </c>
      <c r="AI21" s="106">
        <f>W21*$AI$5</f>
        <v>38025</v>
      </c>
      <c r="AJ21" s="23">
        <f>U21*$AL$5</f>
        <v>35490</v>
      </c>
      <c r="AK21" s="106">
        <f>V21*$AL$5</f>
        <v>35490</v>
      </c>
      <c r="AL21" s="25">
        <f>W21*$AL$5</f>
        <v>35490</v>
      </c>
      <c r="AN21" s="461"/>
      <c r="AO21" s="461"/>
      <c r="AP21" s="461"/>
    </row>
    <row r="22" spans="1:42" ht="18" customHeight="1">
      <c r="A22" s="15"/>
      <c r="B22" s="1072" t="s">
        <v>1218</v>
      </c>
      <c r="C22" s="1073"/>
      <c r="D22" s="734"/>
      <c r="E22" s="281"/>
      <c r="F22" s="1536"/>
      <c r="G22" s="1229"/>
      <c r="H22" s="1229"/>
      <c r="I22" s="1241"/>
      <c r="J22" s="1239"/>
      <c r="K22" s="1538"/>
      <c r="L22" s="1229"/>
      <c r="M22" s="1229"/>
      <c r="N22" s="1229"/>
      <c r="O22" s="1229"/>
      <c r="P22" s="1229"/>
      <c r="Q22" s="1229"/>
      <c r="R22" s="1229"/>
      <c r="S22" s="1531"/>
      <c r="T22" s="1531"/>
      <c r="U22" s="1074">
        <f>U21/F21</f>
        <v>0.50700000000000001</v>
      </c>
      <c r="V22" s="1075">
        <f>V21/F21</f>
        <v>0.50700000000000001</v>
      </c>
      <c r="W22" s="1076">
        <f>W21/F21</f>
        <v>0.50700000000000001</v>
      </c>
      <c r="X22" s="1077">
        <f>X21/F21</f>
        <v>0.47150999999999998</v>
      </c>
      <c r="Y22" s="1075">
        <f>Y21/F21</f>
        <v>0.47150999999999998</v>
      </c>
      <c r="Z22" s="1078">
        <f>Z21/F21</f>
        <v>0.47150999999999998</v>
      </c>
      <c r="AA22" s="1074">
        <f>AA21/F21</f>
        <v>0.43602000000000002</v>
      </c>
      <c r="AB22" s="1075">
        <f>AB21/F21</f>
        <v>0.43602000000000002</v>
      </c>
      <c r="AC22" s="1076">
        <f>AC21/F21</f>
        <v>0.43602000000000002</v>
      </c>
      <c r="AD22" s="1074">
        <f>AD21/F21</f>
        <v>0.42081000000000002</v>
      </c>
      <c r="AE22" s="1075">
        <f>AE21/F21</f>
        <v>0.42081000000000002</v>
      </c>
      <c r="AF22" s="1076">
        <f>AF21/F21</f>
        <v>0.42081000000000002</v>
      </c>
      <c r="AG22" s="1077">
        <f>AG21/F21</f>
        <v>0.38024999999999998</v>
      </c>
      <c r="AH22" s="1078">
        <f>AH21/F21</f>
        <v>0.38024999999999998</v>
      </c>
      <c r="AI22" s="1078">
        <f>AI21/F21</f>
        <v>0.38024999999999998</v>
      </c>
      <c r="AJ22" s="1074">
        <f>AJ21/F21</f>
        <v>0.35489999999999999</v>
      </c>
      <c r="AK22" s="1078">
        <f>AK21/F21</f>
        <v>0.35489999999999999</v>
      </c>
      <c r="AL22" s="1076">
        <f>AL21/F21</f>
        <v>0.35489999999999999</v>
      </c>
      <c r="AN22" s="461"/>
      <c r="AO22" s="461"/>
      <c r="AP22" s="461"/>
    </row>
    <row r="23" spans="1:42" ht="18" customHeight="1">
      <c r="A23" s="15"/>
      <c r="B23" s="1558" t="s">
        <v>1219</v>
      </c>
      <c r="C23" s="1559"/>
      <c r="D23" s="1559"/>
      <c r="E23" s="1560"/>
      <c r="F23" s="1561">
        <v>100000</v>
      </c>
      <c r="G23" s="1246">
        <f>F23*C24</f>
        <v>200</v>
      </c>
      <c r="H23" s="1246"/>
      <c r="I23" s="1248"/>
      <c r="J23" s="1244">
        <f>G23*$J$5</f>
        <v>840</v>
      </c>
      <c r="K23" s="1542">
        <f>F23*1.5%</f>
        <v>1500</v>
      </c>
      <c r="L23" s="1246"/>
      <c r="M23" s="1246"/>
      <c r="N23" s="1246"/>
      <c r="O23" s="1246"/>
      <c r="P23" s="1246"/>
      <c r="Q23" s="1246"/>
      <c r="R23" s="1246"/>
      <c r="S23" s="1530"/>
      <c r="T23" s="1530"/>
      <c r="U23" s="20">
        <f>J23+K23</f>
        <v>2340</v>
      </c>
      <c r="V23" s="21">
        <f>J23+K23+L23+M23+N23+O23</f>
        <v>2340</v>
      </c>
      <c r="W23" s="22">
        <f>J23+K23+L23+M23+N23+O23+P23+Q23+R23+S23+T23</f>
        <v>2340</v>
      </c>
      <c r="X23" s="33">
        <f>U23*$Z$5</f>
        <v>2176.2000000000003</v>
      </c>
      <c r="Y23" s="21">
        <f>V23*$Z$5</f>
        <v>2176.2000000000003</v>
      </c>
      <c r="Z23" s="104">
        <f>W23*$Z$5</f>
        <v>2176.2000000000003</v>
      </c>
      <c r="AA23" s="20">
        <f t="shared" ref="AA23:AC23" si="7">U23*$AC$5</f>
        <v>2012.3999999999999</v>
      </c>
      <c r="AB23" s="21">
        <f t="shared" si="7"/>
        <v>2012.3999999999999</v>
      </c>
      <c r="AC23" s="22">
        <f t="shared" si="7"/>
        <v>2012.3999999999999</v>
      </c>
      <c r="AD23" s="20">
        <f>U23*$AF$5</f>
        <v>1942.1999999999998</v>
      </c>
      <c r="AE23" s="21">
        <f>V23*$AF$5</f>
        <v>1942.1999999999998</v>
      </c>
      <c r="AF23" s="22">
        <f>W23*$AF$5</f>
        <v>1942.1999999999998</v>
      </c>
      <c r="AG23" s="33">
        <f>U23*$AI$5</f>
        <v>1755</v>
      </c>
      <c r="AH23" s="104">
        <f>V23*$AI$5</f>
        <v>1755</v>
      </c>
      <c r="AI23" s="104">
        <f>W23*$AI$5</f>
        <v>1755</v>
      </c>
      <c r="AJ23" s="20">
        <f>U23*$AL$5</f>
        <v>1638</v>
      </c>
      <c r="AK23" s="104">
        <f>V23*$AL$5</f>
        <v>1638</v>
      </c>
      <c r="AL23" s="22">
        <f>W23*$AL$5</f>
        <v>1638</v>
      </c>
      <c r="AN23" s="461"/>
      <c r="AO23" s="461"/>
      <c r="AP23" s="461"/>
    </row>
    <row r="24" spans="1:42" ht="18" customHeight="1" thickBot="1">
      <c r="A24" s="15"/>
      <c r="B24" s="1039" t="s">
        <v>1220</v>
      </c>
      <c r="C24" s="735">
        <v>2E-3</v>
      </c>
      <c r="D24" s="736"/>
      <c r="E24" s="282"/>
      <c r="F24" s="1562"/>
      <c r="G24" s="1247"/>
      <c r="H24" s="1247"/>
      <c r="I24" s="1249"/>
      <c r="J24" s="1245"/>
      <c r="K24" s="1563"/>
      <c r="L24" s="1247"/>
      <c r="M24" s="1247"/>
      <c r="N24" s="1247"/>
      <c r="O24" s="1247"/>
      <c r="P24" s="1247"/>
      <c r="Q24" s="1247"/>
      <c r="R24" s="1247"/>
      <c r="S24" s="1557"/>
      <c r="T24" s="1557"/>
      <c r="U24" s="737">
        <f>U23/F23</f>
        <v>2.3400000000000001E-2</v>
      </c>
      <c r="V24" s="738">
        <f>V23/F23</f>
        <v>2.3400000000000001E-2</v>
      </c>
      <c r="W24" s="739">
        <f>W23/F23</f>
        <v>2.3400000000000001E-2</v>
      </c>
      <c r="X24" s="740">
        <f>X23/F23</f>
        <v>2.1762000000000004E-2</v>
      </c>
      <c r="Y24" s="738">
        <f>Y23/F23</f>
        <v>2.1762000000000004E-2</v>
      </c>
      <c r="Z24" s="741">
        <f>Z23/F23</f>
        <v>2.1762000000000004E-2</v>
      </c>
      <c r="AA24" s="737">
        <f>AA23/F23</f>
        <v>2.0124E-2</v>
      </c>
      <c r="AB24" s="738">
        <f>AB23/F23</f>
        <v>2.0124E-2</v>
      </c>
      <c r="AC24" s="739">
        <f>AC23/F23</f>
        <v>2.0124E-2</v>
      </c>
      <c r="AD24" s="737">
        <f>AD23/F23</f>
        <v>1.9421999999999998E-2</v>
      </c>
      <c r="AE24" s="738">
        <f>AE23/F23</f>
        <v>1.9421999999999998E-2</v>
      </c>
      <c r="AF24" s="739">
        <f>AF23/F23</f>
        <v>1.9421999999999998E-2</v>
      </c>
      <c r="AG24" s="740">
        <f>AG23/F23</f>
        <v>1.755E-2</v>
      </c>
      <c r="AH24" s="741">
        <f>AH23/F23</f>
        <v>1.755E-2</v>
      </c>
      <c r="AI24" s="741">
        <f>AI23/F23</f>
        <v>1.755E-2</v>
      </c>
      <c r="AJ24" s="737">
        <f>AJ23/F23</f>
        <v>1.6379999999999999E-2</v>
      </c>
      <c r="AK24" s="741">
        <f>AK23/F23</f>
        <v>1.6379999999999999E-2</v>
      </c>
      <c r="AL24" s="739">
        <f>AL23/F23</f>
        <v>1.6379999999999999E-2</v>
      </c>
      <c r="AN24" s="461"/>
      <c r="AO24" s="461"/>
      <c r="AP24" s="461"/>
    </row>
    <row r="25" spans="1:42" ht="18" customHeight="1">
      <c r="A25" s="15"/>
      <c r="B25" s="206"/>
      <c r="C25" s="742"/>
      <c r="D25" s="742"/>
      <c r="E25" s="26"/>
      <c r="F25" s="26"/>
      <c r="G25" s="26"/>
      <c r="H25" s="26"/>
      <c r="I25" s="27"/>
      <c r="J25" s="27"/>
      <c r="K25" s="27"/>
      <c r="L25" s="27"/>
      <c r="M25" s="27"/>
      <c r="N25" s="27"/>
      <c r="O25" s="27"/>
      <c r="P25" s="27"/>
      <c r="Q25" s="27"/>
      <c r="R25" s="27"/>
      <c r="S25" s="27"/>
      <c r="T25" s="1040"/>
      <c r="U25" s="27"/>
      <c r="V25" s="27"/>
      <c r="W25" s="27"/>
      <c r="X25" s="27"/>
      <c r="Y25" s="27"/>
      <c r="Z25" s="27"/>
      <c r="AA25" s="27"/>
      <c r="AB25" s="27"/>
      <c r="AC25" s="27"/>
      <c r="AD25" s="27"/>
      <c r="AE25" s="27"/>
      <c r="AF25" s="27"/>
      <c r="AG25" s="27"/>
      <c r="AH25" s="27"/>
      <c r="AI25" s="27"/>
      <c r="AJ25" s="27"/>
      <c r="AK25" s="27"/>
    </row>
    <row r="26" spans="1:42" s="748" customFormat="1" ht="18" customHeight="1" thickBot="1">
      <c r="A26" s="743"/>
      <c r="B26" s="744" t="s">
        <v>1221</v>
      </c>
      <c r="C26" s="745"/>
      <c r="D26" s="745"/>
      <c r="E26" s="746"/>
      <c r="F26" s="746"/>
      <c r="G26" s="746"/>
      <c r="H26" s="746"/>
      <c r="I26" s="743"/>
      <c r="J26" s="743"/>
      <c r="K26" s="743"/>
      <c r="L26" s="743"/>
      <c r="M26" s="743"/>
      <c r="N26" s="743"/>
      <c r="O26" s="743"/>
      <c r="P26" s="743"/>
      <c r="Q26" s="747"/>
      <c r="R26" s="747"/>
      <c r="S26" s="743"/>
      <c r="T26" s="746"/>
      <c r="U26" s="743"/>
      <c r="V26" s="747"/>
      <c r="W26" s="743"/>
      <c r="X26" s="743"/>
      <c r="Y26" s="743"/>
      <c r="Z26" s="743"/>
      <c r="AA26" s="1041"/>
      <c r="AB26" s="743"/>
      <c r="AC26" s="743"/>
      <c r="AD26" s="743"/>
      <c r="AE26" s="743"/>
      <c r="AF26" s="743"/>
      <c r="AG26" s="743"/>
      <c r="AH26" s="743"/>
      <c r="AI26" s="743"/>
      <c r="AJ26" s="743"/>
      <c r="AK26" s="743"/>
      <c r="AL26" s="743"/>
      <c r="AM26" s="145"/>
    </row>
    <row r="27" spans="1:42" s="70" customFormat="1" ht="22.5" customHeight="1" thickBot="1">
      <c r="A27" s="66"/>
      <c r="B27" s="1042" t="s">
        <v>1222</v>
      </c>
      <c r="C27" s="1043"/>
      <c r="D27" s="1043"/>
      <c r="E27" s="1043"/>
      <c r="F27" s="1044"/>
      <c r="G27" s="1044"/>
      <c r="H27" s="1044"/>
      <c r="I27" s="1044"/>
      <c r="J27" s="1044"/>
      <c r="K27" s="1044"/>
      <c r="L27" s="1044"/>
      <c r="M27" s="1044"/>
      <c r="N27" s="1044"/>
      <c r="O27" s="1044"/>
      <c r="P27" s="1044"/>
      <c r="Q27" s="1044"/>
      <c r="R27" s="1044"/>
      <c r="S27" s="1044"/>
      <c r="T27" s="1043"/>
      <c r="U27" s="1044"/>
      <c r="V27" s="1044"/>
      <c r="W27" s="1044"/>
      <c r="X27" s="1044"/>
      <c r="Y27" s="1045"/>
      <c r="Z27" s="1046"/>
      <c r="AA27" s="1047"/>
    </row>
    <row r="28" spans="1:42" ht="9.75" customHeight="1">
      <c r="A28" s="15"/>
      <c r="B28" s="207"/>
      <c r="C28" s="762"/>
      <c r="D28" s="762"/>
      <c r="E28" s="27"/>
      <c r="F28" s="27"/>
      <c r="G28" s="27"/>
      <c r="H28" s="27"/>
      <c r="I28" s="27"/>
      <c r="J28" s="27"/>
      <c r="K28" s="27"/>
      <c r="L28" s="27"/>
      <c r="M28" s="27"/>
      <c r="N28" s="27"/>
      <c r="O28" s="27"/>
      <c r="P28" s="27"/>
      <c r="Q28" s="27"/>
      <c r="R28" s="27"/>
      <c r="S28" s="27"/>
      <c r="T28" s="1040"/>
      <c r="U28" s="27"/>
      <c r="V28" s="27"/>
      <c r="W28" s="27"/>
      <c r="X28" s="27"/>
      <c r="Y28" s="27"/>
      <c r="Z28" s="27"/>
      <c r="AA28" s="28"/>
      <c r="AB28" s="27"/>
      <c r="AC28" s="27"/>
      <c r="AD28" s="27"/>
      <c r="AE28" s="27"/>
      <c r="AF28" s="27"/>
      <c r="AG28" s="27"/>
      <c r="AH28" s="27"/>
      <c r="AI28" s="27"/>
      <c r="AJ28" s="27"/>
      <c r="AK28" s="27"/>
      <c r="AL28" s="27"/>
    </row>
    <row r="29" spans="1:42" s="748" customFormat="1" ht="18" customHeight="1">
      <c r="A29" s="743"/>
      <c r="B29" s="749" t="s">
        <v>1223</v>
      </c>
      <c r="C29" s="750"/>
      <c r="D29" s="750"/>
      <c r="E29" s="751"/>
      <c r="F29" s="746"/>
      <c r="G29" s="746"/>
      <c r="H29" s="746"/>
      <c r="I29" s="743"/>
      <c r="J29" s="743"/>
      <c r="K29" s="743"/>
      <c r="L29" s="743"/>
      <c r="M29" s="743"/>
      <c r="N29" s="743"/>
      <c r="O29" s="743"/>
      <c r="P29" s="743"/>
      <c r="Q29" s="743"/>
      <c r="R29" s="743"/>
      <c r="S29" s="743"/>
      <c r="T29" s="746"/>
      <c r="U29" s="743"/>
      <c r="V29" s="743"/>
      <c r="W29" s="743"/>
      <c r="X29" s="743"/>
      <c r="Y29" s="743"/>
      <c r="Z29" s="743"/>
      <c r="AA29" s="1041"/>
      <c r="AB29" s="743"/>
      <c r="AC29" s="743"/>
      <c r="AD29" s="743"/>
      <c r="AE29" s="743"/>
      <c r="AF29" s="743"/>
      <c r="AG29" s="743"/>
      <c r="AH29" s="743"/>
      <c r="AI29" s="743"/>
      <c r="AJ29" s="743"/>
      <c r="AK29" s="743"/>
      <c r="AL29" s="743"/>
      <c r="AM29" s="145"/>
    </row>
    <row r="30" spans="1:42" s="1048" customFormat="1" ht="18" customHeight="1">
      <c r="B30" s="1049" t="s">
        <v>1224</v>
      </c>
      <c r="C30" s="1050"/>
      <c r="D30" s="1050"/>
      <c r="F30" s="1051"/>
      <c r="G30" s="1051"/>
      <c r="H30" s="1051"/>
      <c r="T30" s="1051"/>
    </row>
    <row r="31" spans="1:42" s="756" customFormat="1" ht="18" customHeight="1">
      <c r="A31" s="752"/>
      <c r="B31" s="753" t="s">
        <v>1225</v>
      </c>
      <c r="C31" s="754"/>
      <c r="D31" s="754"/>
      <c r="E31" s="752"/>
      <c r="F31" s="755"/>
      <c r="G31" s="755"/>
      <c r="H31" s="755"/>
      <c r="I31" s="752"/>
      <c r="J31" s="752"/>
      <c r="K31" s="752"/>
      <c r="L31" s="752"/>
      <c r="M31" s="752"/>
      <c r="N31" s="752"/>
      <c r="O31" s="752"/>
      <c r="P31" s="752"/>
      <c r="Q31" s="752"/>
      <c r="R31" s="752"/>
      <c r="S31" s="752"/>
      <c r="T31" s="755"/>
      <c r="U31" s="462"/>
      <c r="V31" s="752"/>
      <c r="W31" s="752"/>
      <c r="X31" s="752"/>
      <c r="Y31" s="752"/>
      <c r="Z31" s="752"/>
      <c r="AA31" s="752"/>
      <c r="AB31" s="752"/>
      <c r="AC31" s="752"/>
      <c r="AD31" s="752"/>
      <c r="AE31" s="752"/>
      <c r="AF31" s="752"/>
      <c r="AG31" s="752"/>
      <c r="AH31" s="752"/>
      <c r="AI31" s="752"/>
      <c r="AJ31" s="752"/>
      <c r="AK31" s="752"/>
      <c r="AL31" s="752"/>
    </row>
    <row r="32" spans="1:42" s="760" customFormat="1" ht="18" customHeight="1">
      <c r="A32" s="757"/>
      <c r="B32" s="753" t="s">
        <v>1226</v>
      </c>
      <c r="C32" s="754"/>
      <c r="D32" s="754"/>
      <c r="E32" s="758"/>
      <c r="F32" s="758"/>
      <c r="G32" s="758"/>
      <c r="H32" s="758"/>
      <c r="I32" s="757"/>
      <c r="J32" s="757"/>
      <c r="K32" s="757"/>
      <c r="L32" s="757"/>
      <c r="M32" s="757"/>
      <c r="N32" s="757"/>
      <c r="O32" s="757"/>
      <c r="P32" s="757"/>
      <c r="Q32" s="757"/>
      <c r="R32" s="757"/>
      <c r="S32" s="757"/>
      <c r="T32" s="758"/>
      <c r="U32" s="463"/>
      <c r="V32" s="759"/>
      <c r="W32" s="743"/>
      <c r="X32" s="757"/>
      <c r="Y32" s="757"/>
      <c r="Z32" s="757"/>
      <c r="AA32" s="757"/>
      <c r="AB32" s="757"/>
      <c r="AC32" s="757"/>
      <c r="AD32" s="757"/>
      <c r="AE32" s="757"/>
      <c r="AF32" s="757"/>
      <c r="AG32" s="757"/>
      <c r="AH32" s="757"/>
      <c r="AI32" s="757"/>
      <c r="AJ32" s="757"/>
      <c r="AK32" s="757"/>
      <c r="AL32" s="757"/>
    </row>
    <row r="33" spans="1:38" s="760" customFormat="1" ht="18" customHeight="1">
      <c r="A33" s="757"/>
      <c r="B33" s="753" t="s">
        <v>744</v>
      </c>
      <c r="C33" s="754"/>
      <c r="D33" s="754"/>
      <c r="E33" s="758"/>
      <c r="F33" s="758"/>
      <c r="G33" s="758"/>
      <c r="H33" s="758"/>
      <c r="I33" s="757"/>
      <c r="J33" s="757"/>
      <c r="K33" s="757"/>
      <c r="L33" s="757"/>
      <c r="M33" s="757"/>
      <c r="N33" s="757"/>
      <c r="O33" s="757"/>
      <c r="P33" s="757"/>
      <c r="Q33" s="757"/>
      <c r="R33" s="757"/>
      <c r="S33" s="757"/>
      <c r="T33" s="758"/>
      <c r="U33" s="759"/>
      <c r="V33" s="757"/>
      <c r="W33" s="757"/>
      <c r="X33" s="757"/>
      <c r="Y33" s="757"/>
      <c r="Z33" s="757"/>
      <c r="AA33" s="757"/>
      <c r="AB33" s="757"/>
      <c r="AC33" s="757"/>
      <c r="AD33" s="757"/>
      <c r="AE33" s="757"/>
      <c r="AF33" s="757"/>
      <c r="AG33" s="757"/>
      <c r="AH33" s="757"/>
      <c r="AI33" s="757"/>
      <c r="AJ33" s="757"/>
      <c r="AK33" s="757"/>
      <c r="AL33" s="757"/>
    </row>
    <row r="34" spans="1:38" s="748" customFormat="1" ht="18" customHeight="1">
      <c r="A34" s="743"/>
      <c r="B34" s="749" t="s">
        <v>1227</v>
      </c>
      <c r="C34" s="750"/>
      <c r="D34" s="750"/>
      <c r="E34" s="746"/>
      <c r="F34" s="746"/>
      <c r="G34" s="746"/>
      <c r="H34" s="746"/>
      <c r="I34" s="743"/>
      <c r="J34" s="743"/>
      <c r="K34" s="743"/>
      <c r="L34" s="743"/>
      <c r="M34" s="743"/>
      <c r="N34" s="743"/>
      <c r="O34" s="743"/>
      <c r="P34" s="743"/>
      <c r="Q34" s="743"/>
      <c r="R34" s="743"/>
      <c r="S34" s="743"/>
      <c r="T34" s="746"/>
      <c r="U34" s="464"/>
      <c r="V34" s="743"/>
      <c r="W34" s="743"/>
      <c r="X34" s="743"/>
      <c r="Y34" s="743"/>
      <c r="Z34" s="743"/>
      <c r="AA34" s="743"/>
      <c r="AB34" s="743"/>
      <c r="AC34" s="743"/>
      <c r="AD34" s="743"/>
      <c r="AE34" s="743"/>
      <c r="AF34" s="743"/>
      <c r="AG34" s="743"/>
      <c r="AH34" s="743"/>
      <c r="AI34" s="743"/>
      <c r="AJ34" s="743"/>
      <c r="AK34" s="743"/>
      <c r="AL34" s="743"/>
    </row>
    <row r="35" spans="1:38" s="748" customFormat="1" ht="18" customHeight="1">
      <c r="A35" s="743"/>
      <c r="B35" s="749" t="s">
        <v>1228</v>
      </c>
      <c r="C35" s="750"/>
      <c r="D35" s="750"/>
      <c r="E35" s="746"/>
      <c r="F35" s="746"/>
      <c r="G35" s="746"/>
      <c r="H35" s="746"/>
      <c r="I35" s="743"/>
      <c r="J35" s="743"/>
      <c r="K35" s="743"/>
      <c r="L35" s="743"/>
      <c r="M35" s="743"/>
      <c r="N35" s="743"/>
      <c r="O35" s="743"/>
      <c r="P35" s="743"/>
      <c r="Q35" s="743"/>
      <c r="R35" s="743"/>
      <c r="S35" s="743"/>
      <c r="T35" s="746"/>
      <c r="U35" s="761"/>
      <c r="V35" s="743"/>
      <c r="W35" s="743"/>
      <c r="X35" s="743"/>
      <c r="Y35" s="743"/>
      <c r="Z35" s="743"/>
      <c r="AA35" s="743"/>
      <c r="AB35" s="743"/>
      <c r="AC35" s="743"/>
      <c r="AD35" s="743"/>
      <c r="AE35" s="743"/>
      <c r="AF35" s="743"/>
      <c r="AG35" s="743"/>
      <c r="AH35" s="743"/>
      <c r="AI35" s="743"/>
      <c r="AJ35" s="743"/>
      <c r="AK35" s="743"/>
      <c r="AL35" s="743"/>
    </row>
    <row r="36" spans="1:38" ht="18" customHeight="1">
      <c r="A36" s="15"/>
      <c r="B36" s="207"/>
      <c r="C36" s="762"/>
      <c r="D36" s="762"/>
      <c r="E36" s="27"/>
      <c r="F36" s="27"/>
      <c r="G36" s="27"/>
      <c r="H36" s="27"/>
      <c r="I36" s="27"/>
      <c r="J36" s="27"/>
      <c r="K36" s="27"/>
      <c r="L36" s="27"/>
      <c r="M36" s="27"/>
      <c r="N36" s="27"/>
      <c r="O36" s="27"/>
      <c r="P36" s="27"/>
      <c r="Q36" s="27"/>
      <c r="R36" s="27"/>
      <c r="S36" s="27"/>
      <c r="T36" s="1040"/>
      <c r="U36" s="27"/>
      <c r="V36" s="27"/>
      <c r="W36" s="27"/>
      <c r="X36" s="27"/>
      <c r="Y36" s="27"/>
      <c r="Z36" s="27"/>
      <c r="AA36" s="27"/>
      <c r="AB36" s="27"/>
      <c r="AC36" s="27"/>
      <c r="AD36" s="27"/>
      <c r="AE36" s="27"/>
      <c r="AF36" s="27"/>
      <c r="AG36" s="27"/>
      <c r="AH36" s="27"/>
      <c r="AI36" s="27"/>
      <c r="AJ36" s="27"/>
      <c r="AK36" s="27"/>
      <c r="AL36" s="27"/>
    </row>
    <row r="37" spans="1:38" ht="18" customHeight="1">
      <c r="A37" s="15"/>
      <c r="B37" s="208"/>
      <c r="C37" s="763"/>
      <c r="D37" s="763"/>
      <c r="E37" s="71"/>
      <c r="F37" s="71"/>
      <c r="G37" s="71"/>
      <c r="H37" s="71"/>
      <c r="I37" s="71"/>
      <c r="J37" s="15"/>
      <c r="K37" s="15"/>
      <c r="L37" s="15"/>
      <c r="M37" s="15"/>
      <c r="N37" s="15"/>
      <c r="O37" s="15"/>
      <c r="P37" s="15"/>
      <c r="Q37" s="15"/>
      <c r="R37" s="15"/>
      <c r="S37" s="15"/>
      <c r="T37" s="71"/>
      <c r="U37" s="15"/>
      <c r="V37" s="15"/>
      <c r="W37" s="15"/>
      <c r="X37" s="15"/>
      <c r="Y37" s="15"/>
      <c r="Z37" s="15"/>
      <c r="AA37" s="15"/>
      <c r="AB37" s="15"/>
      <c r="AC37" s="15"/>
      <c r="AD37" s="15"/>
      <c r="AE37" s="15"/>
      <c r="AF37" s="15"/>
      <c r="AG37" s="15"/>
      <c r="AH37" s="15"/>
      <c r="AI37" s="15"/>
      <c r="AJ37" s="56"/>
      <c r="AK37" s="56"/>
      <c r="AL37" s="15"/>
    </row>
    <row r="38" spans="1:38">
      <c r="A38" s="15"/>
      <c r="B38" s="208"/>
      <c r="C38" s="763"/>
      <c r="D38" s="763"/>
      <c r="E38" s="71"/>
      <c r="F38" s="71"/>
      <c r="G38" s="71"/>
      <c r="H38" s="71"/>
      <c r="I38" s="71"/>
      <c r="J38" s="15"/>
      <c r="K38" s="15"/>
      <c r="L38" s="15"/>
      <c r="M38" s="15"/>
      <c r="N38" s="15"/>
      <c r="O38" s="15"/>
      <c r="P38" s="15"/>
      <c r="Q38" s="15"/>
      <c r="R38" s="15"/>
      <c r="S38" s="15"/>
      <c r="T38" s="71"/>
      <c r="U38" s="15"/>
      <c r="V38" s="15"/>
      <c r="W38" s="15"/>
      <c r="X38" s="15"/>
      <c r="Y38" s="15"/>
      <c r="Z38" s="15"/>
      <c r="AA38" s="15"/>
      <c r="AB38" s="15"/>
      <c r="AC38" s="15"/>
      <c r="AD38" s="15"/>
      <c r="AE38" s="15"/>
      <c r="AF38" s="15"/>
      <c r="AG38" s="15"/>
      <c r="AH38" s="15"/>
      <c r="AI38" s="15"/>
      <c r="AJ38" s="56"/>
      <c r="AK38" s="56"/>
      <c r="AL38" s="15"/>
    </row>
    <row r="39" spans="1:38">
      <c r="A39" s="15"/>
      <c r="B39" s="208"/>
      <c r="C39" s="763"/>
      <c r="D39" s="763"/>
      <c r="E39" s="71"/>
      <c r="F39" s="71"/>
      <c r="G39" s="71"/>
      <c r="H39" s="71"/>
      <c r="I39" s="71"/>
      <c r="J39" s="15"/>
      <c r="K39" s="15"/>
      <c r="L39" s="15"/>
      <c r="M39" s="15"/>
      <c r="N39" s="15"/>
      <c r="O39" s="15"/>
      <c r="P39" s="15"/>
      <c r="Q39" s="15"/>
      <c r="R39" s="15"/>
      <c r="S39" s="15"/>
      <c r="T39" s="71"/>
      <c r="U39" s="15"/>
      <c r="V39" s="15"/>
      <c r="W39" s="15"/>
      <c r="X39" s="15"/>
      <c r="Y39" s="15"/>
      <c r="Z39" s="15"/>
      <c r="AA39" s="15"/>
      <c r="AB39" s="15"/>
      <c r="AC39" s="15"/>
      <c r="AD39" s="15"/>
      <c r="AE39" s="15"/>
      <c r="AF39" s="15"/>
      <c r="AG39" s="15"/>
      <c r="AH39" s="15"/>
      <c r="AI39" s="15"/>
      <c r="AJ39" s="56"/>
      <c r="AK39" s="56"/>
      <c r="AL39" s="15"/>
    </row>
    <row r="40" spans="1:38" ht="25.5" customHeight="1">
      <c r="A40" s="15"/>
      <c r="B40" s="209"/>
      <c r="C40" s="764"/>
      <c r="D40" s="764"/>
      <c r="E40" s="156"/>
      <c r="F40" s="156"/>
      <c r="G40" s="156"/>
      <c r="H40" s="156"/>
      <c r="I40" s="156"/>
      <c r="J40" s="156"/>
      <c r="K40" s="156"/>
      <c r="L40" s="156"/>
      <c r="M40" s="156"/>
      <c r="N40" s="156"/>
      <c r="O40" s="156"/>
      <c r="P40" s="156"/>
      <c r="Q40" s="156"/>
      <c r="R40" s="156"/>
      <c r="S40" s="156"/>
      <c r="T40" s="1052"/>
      <c r="U40" s="156"/>
      <c r="V40" s="156"/>
      <c r="W40" s="156"/>
      <c r="X40" s="156"/>
      <c r="Y40" s="156"/>
      <c r="Z40" s="156"/>
      <c r="AA40" s="156"/>
      <c r="AB40" s="156"/>
      <c r="AC40" s="156"/>
      <c r="AD40" s="156"/>
      <c r="AE40" s="156"/>
      <c r="AF40" s="156"/>
      <c r="AG40" s="156"/>
      <c r="AH40" s="156"/>
      <c r="AI40" s="156"/>
      <c r="AJ40" s="156"/>
      <c r="AK40" s="156"/>
      <c r="AL40" s="156"/>
    </row>
    <row r="41" spans="1:38" s="157" customFormat="1">
      <c r="A41" s="16"/>
      <c r="B41" s="210"/>
      <c r="C41" s="750"/>
      <c r="D41" s="750"/>
      <c r="E41" s="16"/>
      <c r="F41" s="16"/>
      <c r="G41" s="16"/>
      <c r="H41" s="16"/>
      <c r="I41" s="16"/>
      <c r="J41" s="16"/>
      <c r="K41" s="16"/>
      <c r="L41" s="16"/>
      <c r="M41" s="16"/>
      <c r="N41" s="16"/>
      <c r="O41" s="16"/>
      <c r="P41" s="16"/>
      <c r="Q41" s="16"/>
      <c r="R41" s="16"/>
      <c r="S41" s="16"/>
      <c r="T41" s="71"/>
      <c r="U41" s="16"/>
      <c r="V41" s="16"/>
      <c r="W41" s="16"/>
      <c r="X41" s="16"/>
      <c r="Y41" s="16"/>
      <c r="Z41" s="16"/>
      <c r="AA41" s="16"/>
      <c r="AB41" s="16"/>
      <c r="AC41" s="16"/>
      <c r="AD41" s="16"/>
      <c r="AE41" s="16"/>
      <c r="AF41" s="16"/>
      <c r="AG41" s="16"/>
      <c r="AH41" s="16"/>
      <c r="AI41" s="16"/>
      <c r="AJ41" s="16"/>
      <c r="AK41" s="16"/>
      <c r="AL41" s="16"/>
    </row>
    <row r="42" spans="1:38" s="157" customFormat="1">
      <c r="A42" s="16"/>
      <c r="B42" s="210"/>
      <c r="C42" s="750"/>
      <c r="D42" s="750"/>
      <c r="E42" s="16"/>
      <c r="F42" s="16"/>
      <c r="G42" s="16"/>
      <c r="H42" s="16"/>
      <c r="I42" s="16"/>
      <c r="J42" s="16"/>
      <c r="K42" s="16"/>
      <c r="L42" s="16"/>
      <c r="M42" s="16"/>
      <c r="N42" s="16"/>
      <c r="O42" s="16"/>
      <c r="P42" s="16"/>
      <c r="Q42" s="16"/>
      <c r="R42" s="16"/>
      <c r="S42" s="16"/>
      <c r="T42" s="71"/>
      <c r="U42" s="16"/>
      <c r="V42" s="16"/>
      <c r="W42" s="16"/>
      <c r="X42" s="16"/>
      <c r="Y42" s="16"/>
      <c r="Z42" s="16"/>
      <c r="AA42" s="16"/>
      <c r="AB42" s="16"/>
      <c r="AC42" s="16"/>
      <c r="AD42" s="16"/>
      <c r="AE42" s="16"/>
      <c r="AF42" s="16"/>
      <c r="AG42" s="16"/>
      <c r="AH42" s="16"/>
      <c r="AI42" s="16"/>
      <c r="AJ42" s="16"/>
      <c r="AK42" s="16"/>
      <c r="AL42" s="16"/>
    </row>
    <row r="43" spans="1:38" s="157" customFormat="1">
      <c r="B43" s="211"/>
      <c r="C43" s="765"/>
      <c r="D43" s="765"/>
      <c r="T43" s="146"/>
    </row>
    <row r="44" spans="1:38" s="157" customFormat="1">
      <c r="B44" s="211"/>
      <c r="C44" s="765"/>
      <c r="D44" s="765"/>
      <c r="T44" s="146"/>
    </row>
  </sheetData>
  <mergeCells count="156">
    <mergeCell ref="N23:N24"/>
    <mergeCell ref="O23:O24"/>
    <mergeCell ref="P23:P24"/>
    <mergeCell ref="Q23:Q24"/>
    <mergeCell ref="R23:R24"/>
    <mergeCell ref="S23:S24"/>
    <mergeCell ref="T23:T24"/>
    <mergeCell ref="B23:E23"/>
    <mergeCell ref="F23:F24"/>
    <mergeCell ref="G23:G24"/>
    <mergeCell ref="H23:H24"/>
    <mergeCell ref="I23:I24"/>
    <mergeCell ref="J23:J24"/>
    <mergeCell ref="K23:K24"/>
    <mergeCell ref="L23:L24"/>
    <mergeCell ref="M23:M24"/>
    <mergeCell ref="B1:AL1"/>
    <mergeCell ref="L5:Q5"/>
    <mergeCell ref="R5:T5"/>
    <mergeCell ref="U5:W5"/>
    <mergeCell ref="X5:Y5"/>
    <mergeCell ref="AA5:AB5"/>
    <mergeCell ref="AD5:AE5"/>
    <mergeCell ref="AG5:AH5"/>
    <mergeCell ref="AJ5:AK5"/>
    <mergeCell ref="B7:E7"/>
    <mergeCell ref="F7:F8"/>
    <mergeCell ref="G7:G8"/>
    <mergeCell ref="H7:H8"/>
    <mergeCell ref="I7:I8"/>
    <mergeCell ref="J7:J8"/>
    <mergeCell ref="O9:O10"/>
    <mergeCell ref="P9:P10"/>
    <mergeCell ref="B5:E5"/>
    <mergeCell ref="F5:F6"/>
    <mergeCell ref="G5:I5"/>
    <mergeCell ref="R7:R8"/>
    <mergeCell ref="S7:S8"/>
    <mergeCell ref="T7:T8"/>
    <mergeCell ref="K7:K8"/>
    <mergeCell ref="L7:L8"/>
    <mergeCell ref="M7:M8"/>
    <mergeCell ref="N7:N8"/>
    <mergeCell ref="O7:O8"/>
    <mergeCell ref="N11:N12"/>
    <mergeCell ref="O11:O12"/>
    <mergeCell ref="P11:P12"/>
    <mergeCell ref="Q11:Q12"/>
    <mergeCell ref="R11:R12"/>
    <mergeCell ref="S9:S10"/>
    <mergeCell ref="T9:T10"/>
    <mergeCell ref="S11:S12"/>
    <mergeCell ref="T11:T12"/>
    <mergeCell ref="Q9:Q10"/>
    <mergeCell ref="K9:K10"/>
    <mergeCell ref="Q7:Q8"/>
    <mergeCell ref="P7:P8"/>
    <mergeCell ref="B11:E11"/>
    <mergeCell ref="F11:F12"/>
    <mergeCell ref="G11:G12"/>
    <mergeCell ref="H11:H12"/>
    <mergeCell ref="I11:I12"/>
    <mergeCell ref="J11:J12"/>
    <mergeCell ref="K11:K12"/>
    <mergeCell ref="L11:L12"/>
    <mergeCell ref="R9:R10"/>
    <mergeCell ref="L9:L10"/>
    <mergeCell ref="M9:M10"/>
    <mergeCell ref="N9:N10"/>
    <mergeCell ref="M11:M12"/>
    <mergeCell ref="B9:E9"/>
    <mergeCell ref="F9:F10"/>
    <mergeCell ref="G9:G10"/>
    <mergeCell ref="H9:H10"/>
    <mergeCell ref="I9:I10"/>
    <mergeCell ref="J9:J10"/>
    <mergeCell ref="R13:R14"/>
    <mergeCell ref="S13:S14"/>
    <mergeCell ref="B13:E13"/>
    <mergeCell ref="F13:F14"/>
    <mergeCell ref="G13:G14"/>
    <mergeCell ref="H13:H14"/>
    <mergeCell ref="I13:I14"/>
    <mergeCell ref="J13:J14"/>
    <mergeCell ref="K13:K14"/>
    <mergeCell ref="L13:L14"/>
    <mergeCell ref="M13:M14"/>
    <mergeCell ref="T13:T14"/>
    <mergeCell ref="B17:E17"/>
    <mergeCell ref="F17:F18"/>
    <mergeCell ref="G17:G18"/>
    <mergeCell ref="H17:H18"/>
    <mergeCell ref="I17:I18"/>
    <mergeCell ref="J17:J18"/>
    <mergeCell ref="K17:K18"/>
    <mergeCell ref="Q15:Q16"/>
    <mergeCell ref="R15:R16"/>
    <mergeCell ref="S15:S16"/>
    <mergeCell ref="T15:T16"/>
    <mergeCell ref="K15:K16"/>
    <mergeCell ref="L15:L16"/>
    <mergeCell ref="M15:M16"/>
    <mergeCell ref="N15:N16"/>
    <mergeCell ref="O15:O16"/>
    <mergeCell ref="P15:P16"/>
    <mergeCell ref="B15:E15"/>
    <mergeCell ref="F15:F16"/>
    <mergeCell ref="N13:N14"/>
    <mergeCell ref="O13:O14"/>
    <mergeCell ref="P13:P14"/>
    <mergeCell ref="Q13:Q14"/>
    <mergeCell ref="I19:I20"/>
    <mergeCell ref="J19:J20"/>
    <mergeCell ref="K19:K20"/>
    <mergeCell ref="L19:L20"/>
    <mergeCell ref="R17:R18"/>
    <mergeCell ref="R19:R20"/>
    <mergeCell ref="G15:G16"/>
    <mergeCell ref="H15:H16"/>
    <mergeCell ref="I15:I16"/>
    <mergeCell ref="J15:J16"/>
    <mergeCell ref="L17:L18"/>
    <mergeCell ref="M17:M18"/>
    <mergeCell ref="N17:N18"/>
    <mergeCell ref="O17:O18"/>
    <mergeCell ref="P17:P18"/>
    <mergeCell ref="Q17:Q18"/>
    <mergeCell ref="M19:M20"/>
    <mergeCell ref="N19:N20"/>
    <mergeCell ref="O19:O20"/>
    <mergeCell ref="P19:P20"/>
    <mergeCell ref="Q19:Q20"/>
    <mergeCell ref="S17:S18"/>
    <mergeCell ref="T17:T18"/>
    <mergeCell ref="S19:S20"/>
    <mergeCell ref="T19:T20"/>
    <mergeCell ref="B19:E19"/>
    <mergeCell ref="F19:F20"/>
    <mergeCell ref="G19:G20"/>
    <mergeCell ref="H19:H20"/>
    <mergeCell ref="T21:T22"/>
    <mergeCell ref="N21:N22"/>
    <mergeCell ref="O21:O22"/>
    <mergeCell ref="P21:P22"/>
    <mergeCell ref="Q21:Q22"/>
    <mergeCell ref="R21:R22"/>
    <mergeCell ref="S21:S22"/>
    <mergeCell ref="B21:E21"/>
    <mergeCell ref="F21:F22"/>
    <mergeCell ref="G21:G22"/>
    <mergeCell ref="H21:H22"/>
    <mergeCell ref="I21:I22"/>
    <mergeCell ref="J21:J22"/>
    <mergeCell ref="K21:K22"/>
    <mergeCell ref="L21:L22"/>
    <mergeCell ref="M21:M22"/>
  </mergeCells>
  <phoneticPr fontId="100" type="noConversion"/>
  <pageMargins left="0.31496062992125984" right="0.31496062992125984" top="0.31496062992125984" bottom="0.31496062992125984" header="0.31496062992125984" footer="0.31496062992125984"/>
  <pageSetup paperSize="9" scale="48" fitToHeight="2"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66FF"/>
    <pageSetUpPr fitToPage="1"/>
  </sheetPr>
  <dimension ref="A1:Q34"/>
  <sheetViews>
    <sheetView zoomScaleNormal="100" workbookViewId="0"/>
  </sheetViews>
  <sheetFormatPr defaultColWidth="12.625" defaultRowHeight="18" customHeight="1"/>
  <cols>
    <col min="1" max="1" width="1" style="55" customWidth="1"/>
    <col min="2" max="3" width="12.625" style="55" customWidth="1"/>
    <col min="4" max="8" width="9.125" style="55" customWidth="1"/>
    <col min="9" max="9" width="12.25" style="55" customWidth="1"/>
    <col min="10" max="10" width="12.125" style="55" customWidth="1"/>
    <col min="11" max="16" width="10.25" style="55" customWidth="1"/>
    <col min="17" max="16384" width="12.625" style="55"/>
  </cols>
  <sheetData>
    <row r="1" spans="1:17" s="44" customFormat="1" ht="30" customHeight="1" thickBot="1">
      <c r="A1" s="43"/>
      <c r="B1" s="1604" t="s">
        <v>1719</v>
      </c>
      <c r="C1" s="1604"/>
      <c r="D1" s="1604"/>
      <c r="E1" s="1604"/>
      <c r="F1" s="1604"/>
      <c r="G1" s="1604"/>
      <c r="H1" s="1604"/>
      <c r="I1" s="1604"/>
      <c r="J1" s="1604"/>
      <c r="K1" s="1604"/>
      <c r="L1" s="1604"/>
      <c r="M1" s="1604"/>
      <c r="N1" s="1604"/>
      <c r="O1" s="1604"/>
      <c r="P1" s="1604"/>
      <c r="Q1" s="43"/>
    </row>
    <row r="2" spans="1:17" s="48" customFormat="1" ht="18" customHeight="1" thickTop="1">
      <c r="A2" s="45"/>
      <c r="B2" s="46"/>
      <c r="C2" s="46"/>
      <c r="D2" s="45"/>
      <c r="E2" s="45"/>
      <c r="F2" s="47"/>
      <c r="G2" s="47"/>
      <c r="H2" s="47"/>
      <c r="I2" s="47"/>
      <c r="J2" s="47"/>
      <c r="K2" s="45"/>
      <c r="L2" s="45"/>
      <c r="M2" s="45"/>
      <c r="N2" s="45"/>
      <c r="O2" s="45"/>
      <c r="P2" s="45"/>
      <c r="Q2" s="45"/>
    </row>
    <row r="3" spans="1:17" s="50" customFormat="1" ht="18" customHeight="1" thickBot="1">
      <c r="A3" s="47"/>
      <c r="B3" s="49" t="s">
        <v>1317</v>
      </c>
      <c r="C3" s="45"/>
      <c r="D3" s="45"/>
      <c r="E3" s="45"/>
      <c r="F3" s="47"/>
      <c r="G3" s="47"/>
      <c r="H3" s="47"/>
      <c r="I3" s="47"/>
      <c r="J3" s="47"/>
      <c r="K3" s="47"/>
      <c r="L3" s="47"/>
      <c r="M3" s="47"/>
      <c r="N3" s="47"/>
      <c r="O3" s="47"/>
      <c r="P3" s="47"/>
      <c r="Q3" s="47"/>
    </row>
    <row r="4" spans="1:17" s="52" customFormat="1" ht="18" customHeight="1">
      <c r="A4" s="51"/>
      <c r="B4" s="1388" t="s">
        <v>1318</v>
      </c>
      <c r="C4" s="1589"/>
      <c r="D4" s="1590" t="s">
        <v>1319</v>
      </c>
      <c r="E4" s="1392"/>
      <c r="F4" s="1392"/>
      <c r="G4" s="1392"/>
      <c r="H4" s="1392"/>
      <c r="I4" s="1392"/>
      <c r="J4" s="1392"/>
      <c r="K4" s="1592" t="s">
        <v>1320</v>
      </c>
      <c r="L4" s="1391"/>
      <c r="M4" s="1391"/>
      <c r="N4" s="1391"/>
      <c r="O4" s="1391"/>
      <c r="P4" s="1605"/>
      <c r="Q4" s="51"/>
    </row>
    <row r="5" spans="1:17" s="52" customFormat="1" ht="18" customHeight="1">
      <c r="A5" s="51"/>
      <c r="B5" s="1606" t="s">
        <v>1321</v>
      </c>
      <c r="C5" s="1607"/>
      <c r="D5" s="1612" t="s">
        <v>1322</v>
      </c>
      <c r="E5" s="1613"/>
      <c r="F5" s="1613"/>
      <c r="G5" s="1613"/>
      <c r="H5" s="1613"/>
      <c r="I5" s="1613"/>
      <c r="J5" s="1614"/>
      <c r="K5" s="1621" t="s">
        <v>1323</v>
      </c>
      <c r="L5" s="1568"/>
      <c r="M5" s="1568"/>
      <c r="N5" s="1568"/>
      <c r="O5" s="1568"/>
      <c r="P5" s="1569"/>
      <c r="Q5" s="51"/>
    </row>
    <row r="6" spans="1:17" s="52" customFormat="1" ht="18" customHeight="1">
      <c r="A6" s="51"/>
      <c r="B6" s="1608"/>
      <c r="C6" s="1609"/>
      <c r="D6" s="1615"/>
      <c r="E6" s="1616"/>
      <c r="F6" s="1616"/>
      <c r="G6" s="1616"/>
      <c r="H6" s="1616"/>
      <c r="I6" s="1616"/>
      <c r="J6" s="1617"/>
      <c r="K6" s="1582"/>
      <c r="L6" s="1570"/>
      <c r="M6" s="1570"/>
      <c r="N6" s="1570"/>
      <c r="O6" s="1570"/>
      <c r="P6" s="1571"/>
      <c r="Q6" s="51"/>
    </row>
    <row r="7" spans="1:17" s="52" customFormat="1" ht="18" customHeight="1" thickBot="1">
      <c r="A7" s="51"/>
      <c r="B7" s="1610"/>
      <c r="C7" s="1611"/>
      <c r="D7" s="1618"/>
      <c r="E7" s="1619"/>
      <c r="F7" s="1619"/>
      <c r="G7" s="1619"/>
      <c r="H7" s="1619"/>
      <c r="I7" s="1619"/>
      <c r="J7" s="1620"/>
      <c r="K7" s="1582"/>
      <c r="L7" s="1584"/>
      <c r="M7" s="1570"/>
      <c r="N7" s="1584"/>
      <c r="O7" s="1584"/>
      <c r="P7" s="1622"/>
      <c r="Q7" s="51"/>
    </row>
    <row r="8" spans="1:17" s="52" customFormat="1" ht="18" customHeight="1">
      <c r="A8" s="51"/>
      <c r="B8" s="1623" t="s">
        <v>1324</v>
      </c>
      <c r="C8" s="1624"/>
      <c r="D8" s="1615" t="s">
        <v>1325</v>
      </c>
      <c r="E8" s="1626"/>
      <c r="F8" s="1626"/>
      <c r="G8" s="1626"/>
      <c r="H8" s="1626"/>
      <c r="I8" s="1626"/>
      <c r="J8" s="1627"/>
      <c r="K8" s="1631" t="s">
        <v>1326</v>
      </c>
      <c r="L8" s="1392"/>
      <c r="M8" s="408" t="s">
        <v>1</v>
      </c>
      <c r="N8" s="966" t="s">
        <v>2</v>
      </c>
      <c r="O8" s="972" t="s">
        <v>3</v>
      </c>
      <c r="P8" s="965" t="s">
        <v>4</v>
      </c>
      <c r="Q8" s="51"/>
    </row>
    <row r="9" spans="1:17" s="52" customFormat="1" ht="18" customHeight="1" thickBot="1">
      <c r="A9" s="51"/>
      <c r="B9" s="1413"/>
      <c r="C9" s="1567"/>
      <c r="D9" s="1615"/>
      <c r="E9" s="1626"/>
      <c r="F9" s="1626"/>
      <c r="G9" s="1626"/>
      <c r="H9" s="1626"/>
      <c r="I9" s="1626"/>
      <c r="J9" s="1627"/>
      <c r="K9" s="1632" t="s">
        <v>1327</v>
      </c>
      <c r="L9" s="1633"/>
      <c r="M9" s="409" t="s">
        <v>1328</v>
      </c>
      <c r="N9" s="705" t="s">
        <v>1329</v>
      </c>
      <c r="O9" s="706" t="s">
        <v>1330</v>
      </c>
      <c r="P9" s="707" t="s">
        <v>1331</v>
      </c>
      <c r="Q9" s="51"/>
    </row>
    <row r="10" spans="1:17" s="52" customFormat="1" ht="18" customHeight="1" thickBot="1">
      <c r="A10" s="51"/>
      <c r="B10" s="1415"/>
      <c r="C10" s="1625"/>
      <c r="D10" s="1628"/>
      <c r="E10" s="1629"/>
      <c r="F10" s="1629"/>
      <c r="G10" s="1629"/>
      <c r="H10" s="1629"/>
      <c r="I10" s="1629"/>
      <c r="J10" s="1630"/>
      <c r="K10" s="1634" t="s">
        <v>1332</v>
      </c>
      <c r="L10" s="1635"/>
      <c r="M10" s="1601" t="s">
        <v>1333</v>
      </c>
      <c r="N10" s="1602"/>
      <c r="O10" s="1602"/>
      <c r="P10" s="1603"/>
      <c r="Q10" s="51"/>
    </row>
    <row r="11" spans="1:17" s="50" customFormat="1" ht="18" customHeight="1">
      <c r="A11" s="51"/>
      <c r="B11" s="974"/>
      <c r="C11" s="974"/>
      <c r="D11" s="974"/>
      <c r="E11" s="974"/>
      <c r="F11" s="974"/>
      <c r="G11" s="974"/>
      <c r="H11" s="974"/>
      <c r="I11" s="974"/>
      <c r="J11" s="974"/>
      <c r="K11" s="976"/>
      <c r="L11" s="976"/>
      <c r="M11" s="976"/>
      <c r="N11" s="976"/>
      <c r="O11" s="976"/>
      <c r="P11" s="51"/>
      <c r="Q11" s="51"/>
    </row>
    <row r="12" spans="1:17" s="50" customFormat="1" ht="18" customHeight="1" thickBot="1">
      <c r="A12" s="47"/>
      <c r="B12" s="49" t="s">
        <v>1334</v>
      </c>
      <c r="C12" s="45"/>
      <c r="D12" s="45"/>
      <c r="E12" s="45"/>
      <c r="F12" s="47"/>
      <c r="G12" s="47"/>
      <c r="H12" s="47"/>
      <c r="I12" s="47"/>
      <c r="J12" s="47"/>
      <c r="K12" s="47"/>
      <c r="L12" s="47"/>
      <c r="M12" s="47"/>
      <c r="N12" s="47"/>
      <c r="O12" s="47"/>
      <c r="P12" s="47"/>
      <c r="Q12" s="47"/>
    </row>
    <row r="13" spans="1:17" s="52" customFormat="1" ht="18" customHeight="1">
      <c r="A13" s="51"/>
      <c r="B13" s="1388" t="s">
        <v>1318</v>
      </c>
      <c r="C13" s="1589"/>
      <c r="D13" s="1590" t="s">
        <v>1320</v>
      </c>
      <c r="E13" s="1392"/>
      <c r="F13" s="1392"/>
      <c r="G13" s="1392"/>
      <c r="H13" s="1392"/>
      <c r="I13" s="1392"/>
      <c r="J13" s="1392"/>
      <c r="K13" s="1392"/>
      <c r="L13" s="1392"/>
      <c r="M13" s="1392"/>
      <c r="N13" s="1392"/>
      <c r="O13" s="1392"/>
      <c r="P13" s="1593"/>
      <c r="Q13" s="51"/>
    </row>
    <row r="14" spans="1:17" s="52" customFormat="1" ht="18" customHeight="1">
      <c r="A14" s="51"/>
      <c r="B14" s="1413" t="s">
        <v>1335</v>
      </c>
      <c r="C14" s="1567"/>
      <c r="D14" s="1594" t="s">
        <v>1336</v>
      </c>
      <c r="E14" s="1595"/>
      <c r="F14" s="1595"/>
      <c r="G14" s="1595"/>
      <c r="H14" s="1595"/>
      <c r="I14" s="1595"/>
      <c r="J14" s="1595"/>
      <c r="K14" s="1595"/>
      <c r="L14" s="1595"/>
      <c r="M14" s="1595"/>
      <c r="N14" s="1595"/>
      <c r="O14" s="1595"/>
      <c r="P14" s="1577"/>
      <c r="Q14" s="51"/>
    </row>
    <row r="15" spans="1:17" s="52" customFormat="1" ht="18" customHeight="1" thickBot="1">
      <c r="A15" s="51"/>
      <c r="B15" s="1596" t="s">
        <v>1337</v>
      </c>
      <c r="C15" s="1597"/>
      <c r="D15" s="1598" t="s">
        <v>1338</v>
      </c>
      <c r="E15" s="1599"/>
      <c r="F15" s="1599"/>
      <c r="G15" s="1599"/>
      <c r="H15" s="1599"/>
      <c r="I15" s="1599"/>
      <c r="J15" s="1599"/>
      <c r="K15" s="1599"/>
      <c r="L15" s="1599"/>
      <c r="M15" s="1599"/>
      <c r="N15" s="1599"/>
      <c r="O15" s="1599"/>
      <c r="P15" s="1600"/>
      <c r="Q15" s="51"/>
    </row>
    <row r="16" spans="1:17" s="50" customFormat="1" ht="18" customHeight="1">
      <c r="A16" s="51"/>
      <c r="B16" s="974"/>
      <c r="C16" s="974"/>
      <c r="D16" s="974"/>
      <c r="E16" s="974"/>
      <c r="F16" s="974"/>
      <c r="G16" s="974"/>
      <c r="H16" s="974"/>
      <c r="I16" s="974"/>
      <c r="J16" s="974"/>
      <c r="K16" s="974"/>
      <c r="L16" s="974"/>
      <c r="M16" s="974"/>
      <c r="N16" s="974"/>
      <c r="O16" s="974"/>
      <c r="P16" s="51"/>
      <c r="Q16" s="51"/>
    </row>
    <row r="17" spans="1:17" s="50" customFormat="1" ht="18" customHeight="1" thickBot="1">
      <c r="A17" s="45"/>
      <c r="B17" s="49" t="s">
        <v>1339</v>
      </c>
      <c r="C17" s="45"/>
      <c r="D17" s="45"/>
      <c r="E17" s="53"/>
      <c r="F17" s="47"/>
      <c r="G17" s="47"/>
      <c r="H17" s="47"/>
      <c r="I17" s="47"/>
      <c r="J17" s="47"/>
      <c r="K17" s="45"/>
      <c r="L17" s="45"/>
      <c r="M17" s="45"/>
      <c r="N17" s="45"/>
      <c r="O17" s="45"/>
      <c r="P17" s="45"/>
      <c r="Q17" s="45"/>
    </row>
    <row r="18" spans="1:17" s="52" customFormat="1" ht="18" customHeight="1" thickBot="1">
      <c r="A18" s="51"/>
      <c r="B18" s="1388" t="s">
        <v>1318</v>
      </c>
      <c r="C18" s="1589"/>
      <c r="D18" s="1590" t="s">
        <v>1340</v>
      </c>
      <c r="E18" s="1392"/>
      <c r="F18" s="1392"/>
      <c r="G18" s="1392"/>
      <c r="H18" s="1392"/>
      <c r="I18" s="1392"/>
      <c r="J18" s="1393"/>
      <c r="K18" s="1591" t="s">
        <v>1320</v>
      </c>
      <c r="L18" s="1591"/>
      <c r="M18" s="1591"/>
      <c r="N18" s="1591"/>
      <c r="O18" s="1592"/>
      <c r="P18" s="965" t="s">
        <v>1341</v>
      </c>
      <c r="Q18" s="51"/>
    </row>
    <row r="19" spans="1:17" s="52" customFormat="1" ht="18" customHeight="1">
      <c r="A19" s="51"/>
      <c r="B19" s="1566" t="s">
        <v>1342</v>
      </c>
      <c r="C19" s="1567"/>
      <c r="D19" s="1568" t="s">
        <v>1343</v>
      </c>
      <c r="E19" s="1568"/>
      <c r="F19" s="1568"/>
      <c r="G19" s="1568"/>
      <c r="H19" s="1568"/>
      <c r="I19" s="1568"/>
      <c r="J19" s="1569"/>
      <c r="K19" s="1574" t="s">
        <v>1344</v>
      </c>
      <c r="L19" s="972" t="s">
        <v>1345</v>
      </c>
      <c r="M19" s="972" t="s">
        <v>1346</v>
      </c>
      <c r="N19" s="972" t="s">
        <v>1347</v>
      </c>
      <c r="O19" s="965" t="s">
        <v>1348</v>
      </c>
      <c r="P19" s="1577" t="s">
        <v>1349</v>
      </c>
      <c r="Q19" s="51"/>
    </row>
    <row r="20" spans="1:17" s="52" customFormat="1" ht="18" customHeight="1">
      <c r="A20" s="51"/>
      <c r="B20" s="1566"/>
      <c r="C20" s="1567"/>
      <c r="D20" s="1570"/>
      <c r="E20" s="1570"/>
      <c r="F20" s="1570"/>
      <c r="G20" s="1570"/>
      <c r="H20" s="1570"/>
      <c r="I20" s="1570"/>
      <c r="J20" s="1571"/>
      <c r="K20" s="1575"/>
      <c r="L20" s="975" t="s">
        <v>1350</v>
      </c>
      <c r="M20" s="983">
        <v>0.29299999999999998</v>
      </c>
      <c r="N20" s="984">
        <v>0.14299999999999999</v>
      </c>
      <c r="O20" s="985">
        <v>0.11700000000000001</v>
      </c>
      <c r="P20" s="1577"/>
      <c r="Q20" s="51"/>
    </row>
    <row r="21" spans="1:17" s="52" customFormat="1" ht="18" customHeight="1" thickBot="1">
      <c r="A21" s="51"/>
      <c r="B21" s="1413"/>
      <c r="C21" s="1567"/>
      <c r="D21" s="1572"/>
      <c r="E21" s="1572"/>
      <c r="F21" s="1572"/>
      <c r="G21" s="1572"/>
      <c r="H21" s="1572"/>
      <c r="I21" s="1572"/>
      <c r="J21" s="1573"/>
      <c r="K21" s="1576"/>
      <c r="L21" s="54" t="s">
        <v>1351</v>
      </c>
      <c r="M21" s="512">
        <v>0.29299999999999998</v>
      </c>
      <c r="N21" s="986">
        <v>0.153</v>
      </c>
      <c r="O21" s="987">
        <v>0.127</v>
      </c>
      <c r="P21" s="1577"/>
      <c r="Q21" s="51"/>
    </row>
    <row r="22" spans="1:17" s="76" customFormat="1" ht="18" customHeight="1">
      <c r="A22" s="51"/>
      <c r="B22" s="1578" t="s">
        <v>1352</v>
      </c>
      <c r="C22" s="1579"/>
      <c r="D22" s="1582" t="s">
        <v>1353</v>
      </c>
      <c r="E22" s="1570"/>
      <c r="F22" s="1570"/>
      <c r="G22" s="1570"/>
      <c r="H22" s="1570"/>
      <c r="I22" s="1570"/>
      <c r="J22" s="1570"/>
      <c r="K22" s="977" t="s">
        <v>1326</v>
      </c>
      <c r="L22" s="408" t="s">
        <v>1</v>
      </c>
      <c r="M22" s="973" t="s">
        <v>2</v>
      </c>
      <c r="N22" s="518" t="s">
        <v>3</v>
      </c>
      <c r="O22" s="519" t="s">
        <v>4</v>
      </c>
      <c r="P22" s="1585" t="s">
        <v>1354</v>
      </c>
      <c r="Q22" s="51"/>
    </row>
    <row r="23" spans="1:17" s="76" customFormat="1" ht="18" customHeight="1" thickBot="1">
      <c r="A23" s="51"/>
      <c r="B23" s="1578"/>
      <c r="C23" s="1579"/>
      <c r="D23" s="1582"/>
      <c r="E23" s="1570"/>
      <c r="F23" s="1570"/>
      <c r="G23" s="1570"/>
      <c r="H23" s="1570"/>
      <c r="I23" s="1570"/>
      <c r="J23" s="1570"/>
      <c r="K23" s="978" t="s">
        <v>37</v>
      </c>
      <c r="L23" s="520">
        <v>3.77</v>
      </c>
      <c r="M23" s="521">
        <v>3.52</v>
      </c>
      <c r="N23" s="522">
        <v>3.02</v>
      </c>
      <c r="O23" s="523">
        <v>2.52</v>
      </c>
      <c r="P23" s="1577"/>
      <c r="Q23" s="51"/>
    </row>
    <row r="24" spans="1:17" s="238" customFormat="1" ht="18" customHeight="1">
      <c r="B24" s="1578"/>
      <c r="C24" s="1579"/>
      <c r="D24" s="1582"/>
      <c r="E24" s="1570"/>
      <c r="F24" s="1570"/>
      <c r="G24" s="1570"/>
      <c r="H24" s="1570"/>
      <c r="I24" s="1570"/>
      <c r="J24" s="1570"/>
      <c r="K24" s="1564" t="s">
        <v>1355</v>
      </c>
      <c r="L24" s="1565"/>
      <c r="M24" s="513" t="s">
        <v>1356</v>
      </c>
      <c r="N24" s="514" t="s">
        <v>1357</v>
      </c>
      <c r="O24" s="410" t="s">
        <v>1358</v>
      </c>
      <c r="P24" s="1577"/>
    </row>
    <row r="25" spans="1:17" s="238" customFormat="1" ht="18" customHeight="1" thickBot="1">
      <c r="B25" s="1580"/>
      <c r="C25" s="1581"/>
      <c r="D25" s="1583"/>
      <c r="E25" s="1584"/>
      <c r="F25" s="1584"/>
      <c r="G25" s="1584"/>
      <c r="H25" s="1584"/>
      <c r="I25" s="1584"/>
      <c r="J25" s="1584"/>
      <c r="K25" s="1587" t="s">
        <v>58</v>
      </c>
      <c r="L25" s="1588"/>
      <c r="M25" s="239">
        <v>1</v>
      </c>
      <c r="N25" s="411">
        <v>0.97</v>
      </c>
      <c r="O25" s="412">
        <v>0.95</v>
      </c>
      <c r="P25" s="1586"/>
    </row>
    <row r="26" spans="1:17" s="238" customFormat="1" ht="18" customHeight="1"/>
    <row r="27" spans="1:17" s="238" customFormat="1" ht="18" hidden="1" customHeight="1"/>
    <row r="28" spans="1:17" ht="18" hidden="1" customHeight="1">
      <c r="I28" s="238"/>
      <c r="J28" s="238"/>
      <c r="K28" s="238"/>
      <c r="L28" s="238"/>
      <c r="M28" s="238"/>
      <c r="N28" s="238"/>
      <c r="O28" s="238"/>
      <c r="P28" s="238"/>
    </row>
    <row r="29" spans="1:17" ht="18" hidden="1" customHeight="1" thickBot="1">
      <c r="J29" s="238"/>
      <c r="K29" s="238"/>
      <c r="L29" s="238"/>
      <c r="M29" s="238"/>
      <c r="N29" s="238"/>
      <c r="O29" s="238"/>
      <c r="P29" s="238"/>
    </row>
    <row r="30" spans="1:17" ht="18" hidden="1" customHeight="1">
      <c r="J30" s="238"/>
      <c r="K30" s="238"/>
      <c r="L30" s="238"/>
      <c r="M30" s="238"/>
      <c r="N30" s="238"/>
      <c r="O30" s="238"/>
      <c r="P30" s="238"/>
    </row>
    <row r="31" spans="1:17" ht="18" hidden="1" customHeight="1" thickBot="1">
      <c r="J31" s="238"/>
      <c r="K31" s="238"/>
      <c r="L31" s="238"/>
      <c r="M31" s="238"/>
      <c r="N31" s="238"/>
      <c r="O31" s="238"/>
      <c r="P31" s="238"/>
    </row>
    <row r="32" spans="1:17" ht="18" hidden="1" customHeight="1"/>
    <row r="33" ht="18" hidden="1" customHeight="1" thickBot="1"/>
    <row r="34" ht="18" hidden="1" customHeight="1"/>
  </sheetData>
  <mergeCells count="31">
    <mergeCell ref="M10:P10"/>
    <mergeCell ref="B1:P1"/>
    <mergeCell ref="B4:C4"/>
    <mergeCell ref="D4:J4"/>
    <mergeCell ref="K4:P4"/>
    <mergeCell ref="B5:C7"/>
    <mergeCell ref="D5:J7"/>
    <mergeCell ref="K5:P7"/>
    <mergeCell ref="B8:C10"/>
    <mergeCell ref="D8:J10"/>
    <mergeCell ref="K8:L8"/>
    <mergeCell ref="K9:L9"/>
    <mergeCell ref="K10:L10"/>
    <mergeCell ref="B18:C18"/>
    <mergeCell ref="D18:J18"/>
    <mergeCell ref="K18:O18"/>
    <mergeCell ref="B13:C13"/>
    <mergeCell ref="D13:P13"/>
    <mergeCell ref="B14:C14"/>
    <mergeCell ref="D14:P14"/>
    <mergeCell ref="B15:C15"/>
    <mergeCell ref="D15:P15"/>
    <mergeCell ref="K24:L24"/>
    <mergeCell ref="B19:C21"/>
    <mergeCell ref="D19:J21"/>
    <mergeCell ref="K19:K21"/>
    <mergeCell ref="P19:P21"/>
    <mergeCell ref="B22:C25"/>
    <mergeCell ref="D22:J25"/>
    <mergeCell ref="P22:P25"/>
    <mergeCell ref="K25:L25"/>
  </mergeCells>
  <phoneticPr fontId="100" type="noConversion"/>
  <printOptions horizontalCentered="1"/>
  <pageMargins left="0.31496062992125984" right="0.31496062992125984" top="0.31496062992125984" bottom="0.31496062992125984" header="0" footer="0"/>
  <pageSetup paperSize="9" scale="83" orientation="landscape"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K39"/>
  <sheetViews>
    <sheetView zoomScaleNormal="100" workbookViewId="0"/>
  </sheetViews>
  <sheetFormatPr defaultColWidth="9.125" defaultRowHeight="18" customHeight="1"/>
  <cols>
    <col min="1" max="1" width="0.625" style="55" customWidth="1"/>
    <col min="2" max="2" width="5.625" style="55" customWidth="1"/>
    <col min="3" max="3" width="22.125" style="55" customWidth="1"/>
    <col min="4" max="4" width="8" style="55" customWidth="1"/>
    <col min="5" max="5" width="7.625" style="55" bestFit="1" customWidth="1"/>
    <col min="6" max="6" width="6.125" style="55" bestFit="1" customWidth="1"/>
    <col min="7" max="7" width="9" style="55" bestFit="1" customWidth="1"/>
    <col min="8" max="8" width="5.875" style="55" bestFit="1" customWidth="1"/>
    <col min="9" max="9" width="6.625" style="55" bestFit="1" customWidth="1"/>
    <col min="10" max="11" width="7.5" style="55" bestFit="1" customWidth="1"/>
    <col min="12" max="29" width="8.125" style="55" customWidth="1"/>
    <col min="30" max="16384" width="9.125" style="55"/>
  </cols>
  <sheetData>
    <row r="1" spans="1:37" ht="30" customHeight="1" thickBot="1">
      <c r="B1" s="1667" t="s">
        <v>1710</v>
      </c>
      <c r="C1" s="1667"/>
      <c r="D1" s="1667"/>
      <c r="E1" s="1667"/>
      <c r="F1" s="1667"/>
      <c r="G1" s="1667"/>
      <c r="H1" s="1667"/>
      <c r="I1" s="1667"/>
      <c r="J1" s="1667"/>
      <c r="K1" s="1667"/>
      <c r="L1" s="1667"/>
      <c r="M1" s="1667"/>
      <c r="N1" s="1667"/>
      <c r="O1" s="1667"/>
      <c r="P1" s="1667"/>
      <c r="Q1" s="1667"/>
      <c r="R1" s="1667"/>
      <c r="S1" s="1667"/>
      <c r="T1" s="1667"/>
      <c r="U1" s="1667"/>
      <c r="V1" s="1667"/>
      <c r="W1" s="1667"/>
      <c r="X1" s="1667"/>
      <c r="Y1" s="1667"/>
      <c r="Z1" s="1667"/>
      <c r="AA1" s="1667"/>
      <c r="AB1" s="1667"/>
      <c r="AC1" s="1667"/>
    </row>
    <row r="2" spans="1:37" s="2" customFormat="1" ht="6" customHeight="1" thickTop="1">
      <c r="A2" s="5"/>
      <c r="B2" s="35"/>
      <c r="C2" s="35"/>
      <c r="D2" s="35"/>
      <c r="E2" s="35"/>
      <c r="F2" s="35"/>
      <c r="G2" s="35"/>
      <c r="H2" s="5"/>
      <c r="I2" s="5"/>
      <c r="J2" s="6"/>
      <c r="K2" s="6"/>
      <c r="L2" s="6"/>
      <c r="M2" s="5"/>
      <c r="N2" s="5"/>
      <c r="O2" s="5"/>
      <c r="P2" s="5"/>
      <c r="Q2" s="5"/>
      <c r="R2" s="5"/>
      <c r="S2" s="5"/>
      <c r="T2" s="5"/>
      <c r="U2" s="5"/>
      <c r="V2" s="5"/>
      <c r="W2" s="5"/>
      <c r="X2" s="5"/>
      <c r="Y2" s="5"/>
      <c r="Z2" s="5"/>
      <c r="AA2" s="5"/>
      <c r="AB2" s="5"/>
      <c r="AC2" s="5"/>
      <c r="AD2" s="5"/>
      <c r="AE2" s="5"/>
      <c r="AF2" s="5"/>
      <c r="AG2" s="5"/>
      <c r="AH2" s="5"/>
      <c r="AI2" s="5"/>
      <c r="AJ2" s="5"/>
      <c r="AK2" s="5"/>
    </row>
    <row r="3" spans="1:37" s="262" customFormat="1" ht="18" customHeight="1">
      <c r="B3" s="350" t="s">
        <v>1023</v>
      </c>
      <c r="C3" s="261"/>
      <c r="D3" s="261"/>
      <c r="E3" s="261"/>
      <c r="F3" s="261"/>
      <c r="G3" s="261"/>
      <c r="M3" s="263"/>
      <c r="N3" s="263"/>
      <c r="O3" s="263"/>
    </row>
    <row r="4" spans="1:37" s="2" customFormat="1" ht="6" customHeight="1" thickBot="1">
      <c r="A4" s="5"/>
      <c r="B4" s="35"/>
      <c r="C4" s="35"/>
      <c r="D4" s="35"/>
      <c r="E4" s="35"/>
      <c r="F4" s="35"/>
      <c r="G4" s="35"/>
      <c r="H4" s="5"/>
      <c r="I4" s="5"/>
      <c r="J4" s="6"/>
      <c r="K4" s="6"/>
      <c r="L4" s="6"/>
      <c r="M4" s="5"/>
      <c r="N4" s="5"/>
      <c r="O4" s="5"/>
      <c r="P4" s="5"/>
      <c r="Q4" s="5"/>
      <c r="R4" s="5"/>
      <c r="S4" s="5"/>
      <c r="T4" s="5"/>
      <c r="U4" s="5"/>
      <c r="V4" s="5"/>
      <c r="W4" s="5"/>
      <c r="X4" s="5"/>
      <c r="Y4" s="5"/>
      <c r="Z4" s="5"/>
      <c r="AA4" s="5"/>
      <c r="AB4" s="5"/>
      <c r="AC4" s="5"/>
      <c r="AD4" s="5"/>
      <c r="AE4" s="5"/>
      <c r="AF4" s="5"/>
      <c r="AG4" s="5"/>
      <c r="AH4" s="5"/>
      <c r="AI4" s="5"/>
      <c r="AJ4" s="5"/>
      <c r="AK4" s="5"/>
    </row>
    <row r="5" spans="1:37" ht="18" customHeight="1">
      <c r="B5" s="1685" t="s">
        <v>1024</v>
      </c>
      <c r="C5" s="1686"/>
      <c r="D5" s="1687"/>
      <c r="E5" s="1691" t="s">
        <v>449</v>
      </c>
      <c r="F5" s="1207" t="s">
        <v>1025</v>
      </c>
      <c r="G5" s="1669" t="s">
        <v>1026</v>
      </c>
      <c r="H5" s="1671" t="s">
        <v>1027</v>
      </c>
      <c r="I5" s="1672"/>
      <c r="J5" s="1675" t="s">
        <v>1028</v>
      </c>
      <c r="K5" s="1676"/>
      <c r="L5" s="1679" t="s">
        <v>68</v>
      </c>
      <c r="M5" s="1680"/>
      <c r="N5" s="1681"/>
      <c r="O5" s="1659" t="s">
        <v>450</v>
      </c>
      <c r="P5" s="1660"/>
      <c r="Q5" s="1314">
        <v>0.93</v>
      </c>
      <c r="R5" s="1659" t="s">
        <v>1029</v>
      </c>
      <c r="S5" s="1660"/>
      <c r="T5" s="1314">
        <v>0.86</v>
      </c>
      <c r="U5" s="1659" t="s">
        <v>451</v>
      </c>
      <c r="V5" s="1660"/>
      <c r="W5" s="1314">
        <v>0.83</v>
      </c>
      <c r="X5" s="1659" t="s">
        <v>1030</v>
      </c>
      <c r="Y5" s="1660"/>
      <c r="Z5" s="1314">
        <v>0.75</v>
      </c>
      <c r="AA5" s="1663" t="s">
        <v>1031</v>
      </c>
      <c r="AB5" s="1664"/>
      <c r="AC5" s="1314">
        <v>0.7</v>
      </c>
    </row>
    <row r="6" spans="1:37" ht="18" customHeight="1">
      <c r="B6" s="1688"/>
      <c r="C6" s="1689"/>
      <c r="D6" s="1690"/>
      <c r="E6" s="1692"/>
      <c r="F6" s="1668"/>
      <c r="G6" s="1670"/>
      <c r="H6" s="1673"/>
      <c r="I6" s="1674"/>
      <c r="J6" s="1677"/>
      <c r="K6" s="1678"/>
      <c r="L6" s="1682"/>
      <c r="M6" s="1683"/>
      <c r="N6" s="1684"/>
      <c r="O6" s="1661"/>
      <c r="P6" s="1662"/>
      <c r="Q6" s="1646"/>
      <c r="R6" s="1661"/>
      <c r="S6" s="1662"/>
      <c r="T6" s="1646"/>
      <c r="U6" s="1661"/>
      <c r="V6" s="1662"/>
      <c r="W6" s="1646"/>
      <c r="X6" s="1661"/>
      <c r="Y6" s="1662"/>
      <c r="Z6" s="1646"/>
      <c r="AA6" s="1665"/>
      <c r="AB6" s="1666"/>
      <c r="AC6" s="1646"/>
    </row>
    <row r="7" spans="1:37" ht="15" customHeight="1">
      <c r="B7" s="1647" t="s">
        <v>1032</v>
      </c>
      <c r="C7" s="1648" t="s">
        <v>452</v>
      </c>
      <c r="D7" s="1649" t="s">
        <v>1033</v>
      </c>
      <c r="E7" s="1692"/>
      <c r="F7" s="1668"/>
      <c r="G7" s="1670"/>
      <c r="H7" s="429" t="s">
        <v>738</v>
      </c>
      <c r="I7" s="429" t="s">
        <v>1034</v>
      </c>
      <c r="J7" s="279" t="s">
        <v>59</v>
      </c>
      <c r="K7" s="430" t="s">
        <v>60</v>
      </c>
      <c r="L7" s="1651" t="s">
        <v>1035</v>
      </c>
      <c r="M7" s="1653" t="s">
        <v>1036</v>
      </c>
      <c r="N7" s="1655" t="s">
        <v>1037</v>
      </c>
      <c r="O7" s="1651" t="s">
        <v>1035</v>
      </c>
      <c r="P7" s="1653" t="s">
        <v>1036</v>
      </c>
      <c r="Q7" s="1655" t="s">
        <v>1037</v>
      </c>
      <c r="R7" s="1651" t="s">
        <v>1035</v>
      </c>
      <c r="S7" s="1653" t="s">
        <v>1036</v>
      </c>
      <c r="T7" s="1655" t="s">
        <v>1037</v>
      </c>
      <c r="U7" s="1651" t="s">
        <v>1035</v>
      </c>
      <c r="V7" s="1653" t="s">
        <v>1036</v>
      </c>
      <c r="W7" s="1655" t="s">
        <v>1037</v>
      </c>
      <c r="X7" s="1651" t="s">
        <v>1035</v>
      </c>
      <c r="Y7" s="1653" t="s">
        <v>1036</v>
      </c>
      <c r="Z7" s="1655" t="s">
        <v>1037</v>
      </c>
      <c r="AA7" s="1651" t="s">
        <v>1035</v>
      </c>
      <c r="AB7" s="1653" t="s">
        <v>1036</v>
      </c>
      <c r="AC7" s="1655" t="s">
        <v>1037</v>
      </c>
    </row>
    <row r="8" spans="1:37" ht="15" customHeight="1" thickBot="1">
      <c r="B8" s="1235"/>
      <c r="C8" s="1208"/>
      <c r="D8" s="1650"/>
      <c r="E8" s="1693"/>
      <c r="F8" s="1668"/>
      <c r="G8" s="431">
        <f>377%*95%</f>
        <v>3.5814999999999997</v>
      </c>
      <c r="H8" s="437">
        <v>0.29299999999999998</v>
      </c>
      <c r="I8" s="437">
        <v>0.29299999999999998</v>
      </c>
      <c r="J8" s="511">
        <v>0.14299999999999999</v>
      </c>
      <c r="K8" s="988">
        <v>0.11700000000000001</v>
      </c>
      <c r="L8" s="1652"/>
      <c r="M8" s="1654"/>
      <c r="N8" s="1656"/>
      <c r="O8" s="1652"/>
      <c r="P8" s="1654"/>
      <c r="Q8" s="1656"/>
      <c r="R8" s="1652"/>
      <c r="S8" s="1654"/>
      <c r="T8" s="1656"/>
      <c r="U8" s="1652"/>
      <c r="V8" s="1654"/>
      <c r="W8" s="1656"/>
      <c r="X8" s="1652"/>
      <c r="Y8" s="1654"/>
      <c r="Z8" s="1656"/>
      <c r="AA8" s="1652"/>
      <c r="AB8" s="1654"/>
      <c r="AC8" s="1656"/>
      <c r="AD8" s="280"/>
      <c r="AE8" s="280"/>
      <c r="AF8" s="280"/>
      <c r="AG8" s="280"/>
    </row>
    <row r="9" spans="1:37" ht="18" customHeight="1">
      <c r="B9" s="1220" t="s">
        <v>1038</v>
      </c>
      <c r="C9" s="1657" t="s">
        <v>1039</v>
      </c>
      <c r="D9" s="1658"/>
      <c r="E9" s="1224">
        <v>1000</v>
      </c>
      <c r="F9" s="1226">
        <f>E9*D10</f>
        <v>660</v>
      </c>
      <c r="G9" s="1230">
        <f>F9*$G$8</f>
        <v>2363.79</v>
      </c>
      <c r="H9" s="1226">
        <f>F9*$H$8*5</f>
        <v>966.9</v>
      </c>
      <c r="I9" s="1226">
        <f>F9*$I$8*7</f>
        <v>1353.6599999999999</v>
      </c>
      <c r="J9" s="1226">
        <f>F9*$J$8*12</f>
        <v>1132.56</v>
      </c>
      <c r="K9" s="1638">
        <f>F9*$K$8*12</f>
        <v>926.64</v>
      </c>
      <c r="L9" s="472">
        <f>H9+G9</f>
        <v>3330.69</v>
      </c>
      <c r="M9" s="473">
        <f>G9+H9+I9</f>
        <v>4684.3500000000004</v>
      </c>
      <c r="N9" s="441">
        <f>H9+I9+J9+K9+G9</f>
        <v>6743.55</v>
      </c>
      <c r="O9" s="472">
        <f>L9*$Q$5</f>
        <v>3097.5417000000002</v>
      </c>
      <c r="P9" s="473">
        <f>M9*$Q$5</f>
        <v>4356.4455000000007</v>
      </c>
      <c r="Q9" s="441">
        <f>N9*$Q$5</f>
        <v>6271.5015000000003</v>
      </c>
      <c r="R9" s="597">
        <f>L9*$T$5</f>
        <v>2864.3933999999999</v>
      </c>
      <c r="S9" s="473">
        <f>M9*$T$5</f>
        <v>4028.5410000000002</v>
      </c>
      <c r="T9" s="441">
        <f>N9*$T$5</f>
        <v>5799.4530000000004</v>
      </c>
      <c r="U9" s="472">
        <f>L9*$W$5</f>
        <v>2764.4726999999998</v>
      </c>
      <c r="V9" s="473">
        <f>M9*$W$5</f>
        <v>3888.0105000000003</v>
      </c>
      <c r="W9" s="441">
        <f>N9*$W$5</f>
        <v>5597.1464999999998</v>
      </c>
      <c r="X9" s="472">
        <f>L9*$Z$5</f>
        <v>2498.0174999999999</v>
      </c>
      <c r="Y9" s="473">
        <f>M9*$Z$5</f>
        <v>3513.2625000000003</v>
      </c>
      <c r="Z9" s="441">
        <f>N9*$Z$5</f>
        <v>5057.6625000000004</v>
      </c>
      <c r="AA9" s="472">
        <f>L9*$AC$5</f>
        <v>2331.4829999999997</v>
      </c>
      <c r="AB9" s="473">
        <f>M9*$AC$5</f>
        <v>3279.0450000000001</v>
      </c>
      <c r="AC9" s="441">
        <f>N9*$AC$5</f>
        <v>4720.4849999999997</v>
      </c>
      <c r="AD9" s="280"/>
      <c r="AE9" s="280"/>
      <c r="AF9" s="280"/>
      <c r="AG9" s="280"/>
    </row>
    <row r="10" spans="1:37" ht="18" customHeight="1">
      <c r="B10" s="1221"/>
      <c r="C10" s="267" t="s">
        <v>739</v>
      </c>
      <c r="D10" s="427">
        <v>0.66</v>
      </c>
      <c r="E10" s="1225"/>
      <c r="F10" s="1227"/>
      <c r="G10" s="1231"/>
      <c r="H10" s="1227"/>
      <c r="I10" s="1227"/>
      <c r="J10" s="1227"/>
      <c r="K10" s="1539"/>
      <c r="L10" s="180">
        <f t="shared" ref="L10:AC10" si="0">L9/$E9</f>
        <v>3.3306900000000002</v>
      </c>
      <c r="M10" s="183">
        <f t="shared" si="0"/>
        <v>4.6843500000000002</v>
      </c>
      <c r="N10" s="182">
        <f t="shared" si="0"/>
        <v>6.7435499999999999</v>
      </c>
      <c r="O10" s="180">
        <f t="shared" si="0"/>
        <v>3.0975417000000003</v>
      </c>
      <c r="P10" s="183">
        <f t="shared" si="0"/>
        <v>4.3564455000000004</v>
      </c>
      <c r="Q10" s="182">
        <f t="shared" si="0"/>
        <v>6.2715015000000003</v>
      </c>
      <c r="R10" s="180">
        <f t="shared" si="0"/>
        <v>2.8643934</v>
      </c>
      <c r="S10" s="183">
        <f t="shared" si="0"/>
        <v>4.0285410000000006</v>
      </c>
      <c r="T10" s="182">
        <f t="shared" si="0"/>
        <v>5.7994530000000006</v>
      </c>
      <c r="U10" s="180">
        <f t="shared" si="0"/>
        <v>2.7644726999999998</v>
      </c>
      <c r="V10" s="183">
        <f t="shared" si="0"/>
        <v>3.8880105000000005</v>
      </c>
      <c r="W10" s="182">
        <f t="shared" si="0"/>
        <v>5.5971465</v>
      </c>
      <c r="X10" s="180">
        <f t="shared" si="0"/>
        <v>2.4980175</v>
      </c>
      <c r="Y10" s="183">
        <f t="shared" si="0"/>
        <v>3.5132625000000002</v>
      </c>
      <c r="Z10" s="182">
        <f t="shared" si="0"/>
        <v>5.0576625000000002</v>
      </c>
      <c r="AA10" s="180">
        <f t="shared" si="0"/>
        <v>2.3314829999999995</v>
      </c>
      <c r="AB10" s="183">
        <f t="shared" si="0"/>
        <v>3.279045</v>
      </c>
      <c r="AC10" s="182">
        <f t="shared" si="0"/>
        <v>4.720485</v>
      </c>
      <c r="AD10" s="280"/>
      <c r="AE10" s="280"/>
      <c r="AF10" s="280"/>
      <c r="AG10" s="280"/>
    </row>
    <row r="11" spans="1:37" ht="18" customHeight="1">
      <c r="B11" s="1221"/>
      <c r="C11" s="1644" t="s">
        <v>1040</v>
      </c>
      <c r="D11" s="1645"/>
      <c r="E11" s="1225">
        <v>1000</v>
      </c>
      <c r="F11" s="1227">
        <f>E11*D12</f>
        <v>640</v>
      </c>
      <c r="G11" s="1231">
        <f t="shared" ref="G11" si="1">F11*$G$8</f>
        <v>2292.16</v>
      </c>
      <c r="H11" s="1227">
        <f>F11*$H$8*5</f>
        <v>937.59999999999991</v>
      </c>
      <c r="I11" s="1227">
        <f>F11*$I$8*7</f>
        <v>1312.6399999999999</v>
      </c>
      <c r="J11" s="1227">
        <f t="shared" ref="J11" si="2">F11*$J$8*12</f>
        <v>1098.24</v>
      </c>
      <c r="K11" s="1539">
        <f t="shared" ref="K11" si="3">F11*$K$8*12</f>
        <v>898.56000000000017</v>
      </c>
      <c r="L11" s="440">
        <f>H11+G11</f>
        <v>3229.7599999999998</v>
      </c>
      <c r="M11" s="596">
        <f>G11+H11+I11</f>
        <v>4542.3999999999996</v>
      </c>
      <c r="N11" s="443">
        <f>H11+I11+J11+K11+G11</f>
        <v>6539.2</v>
      </c>
      <c r="O11" s="440">
        <f>L11*$Q$5</f>
        <v>3003.6767999999997</v>
      </c>
      <c r="P11" s="596">
        <f>M11*$Q$5</f>
        <v>4224.4319999999998</v>
      </c>
      <c r="Q11" s="443">
        <f>N11*$Q$5</f>
        <v>6081.4560000000001</v>
      </c>
      <c r="R11" s="440">
        <f>L11*$T$5</f>
        <v>2777.5935999999997</v>
      </c>
      <c r="S11" s="596">
        <f>M11*$T$5</f>
        <v>3906.4639999999995</v>
      </c>
      <c r="T11" s="443">
        <f>N11*$T$5</f>
        <v>5623.7119999999995</v>
      </c>
      <c r="U11" s="440">
        <f>L11*$W$5</f>
        <v>2680.7007999999996</v>
      </c>
      <c r="V11" s="596">
        <f>M11*$W$5</f>
        <v>3770.1919999999996</v>
      </c>
      <c r="W11" s="443">
        <f>N11*$W$5</f>
        <v>5427.5359999999991</v>
      </c>
      <c r="X11" s="440">
        <f>L11*$Z$5</f>
        <v>2422.3199999999997</v>
      </c>
      <c r="Y11" s="596">
        <f>M11*$Z$5</f>
        <v>3406.7999999999997</v>
      </c>
      <c r="Z11" s="443">
        <f>N11*$Z$5</f>
        <v>4904.3999999999996</v>
      </c>
      <c r="AA11" s="440">
        <f>L11*$AC$5</f>
        <v>2260.8319999999999</v>
      </c>
      <c r="AB11" s="596">
        <f>M11*$AC$5</f>
        <v>3179.6799999999994</v>
      </c>
      <c r="AC11" s="443">
        <f>N11*$AC$5</f>
        <v>4577.4399999999996</v>
      </c>
      <c r="AD11" s="280"/>
      <c r="AE11" s="280"/>
      <c r="AF11" s="280"/>
      <c r="AG11" s="280"/>
    </row>
    <row r="12" spans="1:37" ht="18" customHeight="1">
      <c r="B12" s="1221"/>
      <c r="C12" s="267" t="s">
        <v>739</v>
      </c>
      <c r="D12" s="427">
        <v>0.64</v>
      </c>
      <c r="E12" s="1225"/>
      <c r="F12" s="1227"/>
      <c r="G12" s="1231"/>
      <c r="H12" s="1227"/>
      <c r="I12" s="1227"/>
      <c r="J12" s="1227"/>
      <c r="K12" s="1539"/>
      <c r="L12" s="180">
        <f t="shared" ref="L12:AC12" si="4">L11/$E11</f>
        <v>3.2297599999999997</v>
      </c>
      <c r="M12" s="183">
        <f t="shared" si="4"/>
        <v>4.5423999999999998</v>
      </c>
      <c r="N12" s="182">
        <f t="shared" si="4"/>
        <v>6.5392000000000001</v>
      </c>
      <c r="O12" s="180">
        <f t="shared" si="4"/>
        <v>3.0036767999999996</v>
      </c>
      <c r="P12" s="183">
        <f t="shared" si="4"/>
        <v>4.2244320000000002</v>
      </c>
      <c r="Q12" s="182">
        <f t="shared" si="4"/>
        <v>6.0814560000000002</v>
      </c>
      <c r="R12" s="180">
        <f t="shared" si="4"/>
        <v>2.7775935999999999</v>
      </c>
      <c r="S12" s="183">
        <f t="shared" si="4"/>
        <v>3.9064639999999993</v>
      </c>
      <c r="T12" s="182">
        <f t="shared" si="4"/>
        <v>5.6237119999999994</v>
      </c>
      <c r="U12" s="180">
        <f t="shared" si="4"/>
        <v>2.6807007999999994</v>
      </c>
      <c r="V12" s="183">
        <f t="shared" si="4"/>
        <v>3.7701919999999998</v>
      </c>
      <c r="W12" s="182">
        <f t="shared" si="4"/>
        <v>5.427535999999999</v>
      </c>
      <c r="X12" s="180">
        <f t="shared" si="4"/>
        <v>2.4223199999999996</v>
      </c>
      <c r="Y12" s="183">
        <f t="shared" si="4"/>
        <v>3.4067999999999996</v>
      </c>
      <c r="Z12" s="182">
        <f t="shared" si="4"/>
        <v>4.9043999999999999</v>
      </c>
      <c r="AA12" s="180">
        <f t="shared" si="4"/>
        <v>2.2608319999999997</v>
      </c>
      <c r="AB12" s="183">
        <f t="shared" si="4"/>
        <v>3.1796799999999994</v>
      </c>
      <c r="AC12" s="182">
        <f t="shared" si="4"/>
        <v>4.5774399999999993</v>
      </c>
      <c r="AD12" s="280"/>
      <c r="AE12" s="280"/>
      <c r="AF12" s="280"/>
      <c r="AG12" s="280"/>
    </row>
    <row r="13" spans="1:37" ht="18" customHeight="1">
      <c r="B13" s="1221"/>
      <c r="C13" s="1644" t="s">
        <v>1041</v>
      </c>
      <c r="D13" s="1645"/>
      <c r="E13" s="1225">
        <v>1000</v>
      </c>
      <c r="F13" s="1227">
        <f>E13*D14</f>
        <v>600</v>
      </c>
      <c r="G13" s="1231">
        <f t="shared" ref="G13" si="5">F13*$G$8</f>
        <v>2148.8999999999996</v>
      </c>
      <c r="H13" s="1227">
        <f>F13*$H$8*5</f>
        <v>878.99999999999989</v>
      </c>
      <c r="I13" s="1227">
        <f>F13*$I$8*7</f>
        <v>1230.5999999999999</v>
      </c>
      <c r="J13" s="1227">
        <f t="shared" ref="J13" si="6">F13*$J$8*12</f>
        <v>1029.5999999999999</v>
      </c>
      <c r="K13" s="1539">
        <f t="shared" ref="K13" si="7">F13*$K$8*12</f>
        <v>842.40000000000009</v>
      </c>
      <c r="L13" s="446">
        <f>H13+G13</f>
        <v>3027.8999999999996</v>
      </c>
      <c r="M13" s="596">
        <f>G13+H13+I13</f>
        <v>4258.5</v>
      </c>
      <c r="N13" s="443">
        <f>H13+I13+J13+K13+G13</f>
        <v>6130.5</v>
      </c>
      <c r="O13" s="440">
        <f>L13*$Q$5</f>
        <v>2815.9469999999997</v>
      </c>
      <c r="P13" s="596">
        <f>M13*$Q$5</f>
        <v>3960.4050000000002</v>
      </c>
      <c r="Q13" s="443">
        <f>N13*$Q$5</f>
        <v>5701.3650000000007</v>
      </c>
      <c r="R13" s="440">
        <f>L13*$T$5</f>
        <v>2603.9939999999997</v>
      </c>
      <c r="S13" s="596">
        <f>M13*$T$5</f>
        <v>3662.31</v>
      </c>
      <c r="T13" s="443">
        <f>N13*$T$5</f>
        <v>5272.23</v>
      </c>
      <c r="U13" s="440">
        <f>L13*$W$5</f>
        <v>2513.1569999999997</v>
      </c>
      <c r="V13" s="596">
        <f>M13*$W$5</f>
        <v>3534.5549999999998</v>
      </c>
      <c r="W13" s="443">
        <f>N13*$W$5</f>
        <v>5088.3149999999996</v>
      </c>
      <c r="X13" s="440">
        <f>L13*$Z$5</f>
        <v>2270.9249999999997</v>
      </c>
      <c r="Y13" s="596">
        <f>M13*$Z$5</f>
        <v>3193.875</v>
      </c>
      <c r="Z13" s="443">
        <f>N13*$Z$5</f>
        <v>4597.875</v>
      </c>
      <c r="AA13" s="440">
        <f>L13*$AC$5</f>
        <v>2119.5299999999997</v>
      </c>
      <c r="AB13" s="596">
        <f>M13*$AC$5</f>
        <v>2980.95</v>
      </c>
      <c r="AC13" s="443">
        <f>N13*$AC$5</f>
        <v>4291.3499999999995</v>
      </c>
      <c r="AD13" s="280"/>
      <c r="AE13" s="280"/>
      <c r="AF13" s="280"/>
      <c r="AG13" s="280"/>
    </row>
    <row r="14" spans="1:37" ht="18" customHeight="1">
      <c r="B14" s="1221"/>
      <c r="C14" s="267" t="s">
        <v>740</v>
      </c>
      <c r="D14" s="427">
        <v>0.6</v>
      </c>
      <c r="E14" s="1225"/>
      <c r="F14" s="1227"/>
      <c r="G14" s="1231"/>
      <c r="H14" s="1227"/>
      <c r="I14" s="1227"/>
      <c r="J14" s="1227"/>
      <c r="K14" s="1539"/>
      <c r="L14" s="180">
        <f>L13/$E13</f>
        <v>3.0278999999999998</v>
      </c>
      <c r="M14" s="183">
        <f>M13/$E13</f>
        <v>4.2584999999999997</v>
      </c>
      <c r="N14" s="182">
        <f>N13/$E13</f>
        <v>6.1304999999999996</v>
      </c>
      <c r="O14" s="180">
        <f t="shared" ref="O14:AC14" si="8">O13/$E13</f>
        <v>2.8159469999999995</v>
      </c>
      <c r="P14" s="183">
        <f t="shared" si="8"/>
        <v>3.9604050000000002</v>
      </c>
      <c r="Q14" s="182">
        <f t="shared" si="8"/>
        <v>5.7013650000000009</v>
      </c>
      <c r="R14" s="180">
        <f t="shared" si="8"/>
        <v>2.6039939999999997</v>
      </c>
      <c r="S14" s="183">
        <f t="shared" si="8"/>
        <v>3.6623099999999997</v>
      </c>
      <c r="T14" s="182">
        <f t="shared" si="8"/>
        <v>5.2722299999999995</v>
      </c>
      <c r="U14" s="180">
        <f t="shared" si="8"/>
        <v>2.5131569999999996</v>
      </c>
      <c r="V14" s="183">
        <f t="shared" si="8"/>
        <v>3.5345549999999997</v>
      </c>
      <c r="W14" s="182">
        <f t="shared" si="8"/>
        <v>5.0883149999999997</v>
      </c>
      <c r="X14" s="180">
        <f t="shared" si="8"/>
        <v>2.2709249999999996</v>
      </c>
      <c r="Y14" s="183">
        <f t="shared" si="8"/>
        <v>3.1938749999999998</v>
      </c>
      <c r="Z14" s="182">
        <f t="shared" si="8"/>
        <v>4.5978750000000002</v>
      </c>
      <c r="AA14" s="180">
        <f t="shared" si="8"/>
        <v>2.1195299999999997</v>
      </c>
      <c r="AB14" s="183">
        <f t="shared" si="8"/>
        <v>2.98095</v>
      </c>
      <c r="AC14" s="182">
        <f t="shared" si="8"/>
        <v>4.2913499999999996</v>
      </c>
      <c r="AD14" s="280"/>
      <c r="AE14" s="280"/>
      <c r="AF14" s="280"/>
      <c r="AG14" s="280"/>
    </row>
    <row r="15" spans="1:37" ht="18" customHeight="1">
      <c r="B15" s="1221"/>
      <c r="C15" s="1644" t="s">
        <v>1042</v>
      </c>
      <c r="D15" s="1645"/>
      <c r="E15" s="1225">
        <v>1000</v>
      </c>
      <c r="F15" s="1227">
        <f>E15*D16</f>
        <v>300</v>
      </c>
      <c r="G15" s="1231">
        <f t="shared" ref="G15" si="9">F15*$G$8</f>
        <v>1074.4499999999998</v>
      </c>
      <c r="H15" s="1227">
        <f>F15*$H$8*5</f>
        <v>439.49999999999994</v>
      </c>
      <c r="I15" s="1227">
        <f>F15*$I$8*7</f>
        <v>615.29999999999995</v>
      </c>
      <c r="J15" s="1227">
        <f t="shared" ref="J15" si="10">F15*$J$8*12</f>
        <v>514.79999999999995</v>
      </c>
      <c r="K15" s="1539">
        <f t="shared" ref="K15" si="11">F15*$K$8*12</f>
        <v>421.20000000000005</v>
      </c>
      <c r="L15" s="446">
        <f>H15+G15</f>
        <v>1513.9499999999998</v>
      </c>
      <c r="M15" s="596">
        <f>G15+H15+I15</f>
        <v>2129.25</v>
      </c>
      <c r="N15" s="443">
        <f>H15+I15+J15+K15+G15</f>
        <v>3065.25</v>
      </c>
      <c r="O15" s="440">
        <f>L15*$Q$5</f>
        <v>1407.9734999999998</v>
      </c>
      <c r="P15" s="596">
        <f>M15*$Q$5</f>
        <v>1980.2025000000001</v>
      </c>
      <c r="Q15" s="443">
        <f>N15*$Q$5</f>
        <v>2850.6825000000003</v>
      </c>
      <c r="R15" s="440">
        <f>L15*$T$5</f>
        <v>1301.9969999999998</v>
      </c>
      <c r="S15" s="596">
        <f>M15*$T$5</f>
        <v>1831.155</v>
      </c>
      <c r="T15" s="443">
        <f>N15*$T$5</f>
        <v>2636.1149999999998</v>
      </c>
      <c r="U15" s="440">
        <f>L15*$W$5</f>
        <v>1256.5784999999998</v>
      </c>
      <c r="V15" s="596">
        <f>M15*$W$5</f>
        <v>1767.2774999999999</v>
      </c>
      <c r="W15" s="443">
        <f>N15*$W$5</f>
        <v>2544.1574999999998</v>
      </c>
      <c r="X15" s="440">
        <f>L15*$Z$5</f>
        <v>1135.4624999999999</v>
      </c>
      <c r="Y15" s="596">
        <f>M15*$Z$5</f>
        <v>1596.9375</v>
      </c>
      <c r="Z15" s="443">
        <f>N15*$Z$5</f>
        <v>2298.9375</v>
      </c>
      <c r="AA15" s="440">
        <f>L15*$AC$5</f>
        <v>1059.7649999999999</v>
      </c>
      <c r="AB15" s="596">
        <f>M15*$AC$5</f>
        <v>1490.4749999999999</v>
      </c>
      <c r="AC15" s="443">
        <f>N15*$AC$5</f>
        <v>2145.6749999999997</v>
      </c>
      <c r="AD15" s="280"/>
      <c r="AE15" s="280"/>
      <c r="AF15" s="280"/>
      <c r="AG15" s="280"/>
    </row>
    <row r="16" spans="1:37" ht="18" customHeight="1" thickBot="1">
      <c r="B16" s="1221"/>
      <c r="C16" s="267" t="s">
        <v>1043</v>
      </c>
      <c r="D16" s="427">
        <v>0.3</v>
      </c>
      <c r="E16" s="1260"/>
      <c r="F16" s="1263"/>
      <c r="G16" s="1264"/>
      <c r="H16" s="1263"/>
      <c r="I16" s="1263"/>
      <c r="J16" s="1263"/>
      <c r="K16" s="1640"/>
      <c r="L16" s="180">
        <f>L15/$E15</f>
        <v>1.5139499999999999</v>
      </c>
      <c r="M16" s="183">
        <f>M15/$E15</f>
        <v>2.1292499999999999</v>
      </c>
      <c r="N16" s="182">
        <f>N15/$E15</f>
        <v>3.0652499999999998</v>
      </c>
      <c r="O16" s="180">
        <f t="shared" ref="O16:AC16" si="12">O15/$E15</f>
        <v>1.4079734999999998</v>
      </c>
      <c r="P16" s="183">
        <f t="shared" si="12"/>
        <v>1.9802025000000001</v>
      </c>
      <c r="Q16" s="182">
        <f t="shared" si="12"/>
        <v>2.8506825000000005</v>
      </c>
      <c r="R16" s="180">
        <f t="shared" si="12"/>
        <v>1.3019969999999998</v>
      </c>
      <c r="S16" s="183">
        <f t="shared" si="12"/>
        <v>1.8311549999999999</v>
      </c>
      <c r="T16" s="182">
        <f t="shared" si="12"/>
        <v>2.6361149999999998</v>
      </c>
      <c r="U16" s="180">
        <f t="shared" si="12"/>
        <v>1.2565784999999998</v>
      </c>
      <c r="V16" s="183">
        <f t="shared" si="12"/>
        <v>1.7672774999999998</v>
      </c>
      <c r="W16" s="182">
        <f t="shared" si="12"/>
        <v>2.5441574999999998</v>
      </c>
      <c r="X16" s="180">
        <f t="shared" si="12"/>
        <v>1.1354624999999998</v>
      </c>
      <c r="Y16" s="183">
        <f t="shared" si="12"/>
        <v>1.5969374999999999</v>
      </c>
      <c r="Z16" s="182">
        <f t="shared" si="12"/>
        <v>2.2989375000000001</v>
      </c>
      <c r="AA16" s="180">
        <f t="shared" si="12"/>
        <v>1.0597649999999998</v>
      </c>
      <c r="AB16" s="183">
        <f t="shared" si="12"/>
        <v>1.490475</v>
      </c>
      <c r="AC16" s="182">
        <f t="shared" si="12"/>
        <v>2.1456749999999998</v>
      </c>
      <c r="AD16" s="280"/>
      <c r="AE16" s="280"/>
      <c r="AF16" s="280"/>
      <c r="AG16" s="280"/>
    </row>
    <row r="17" spans="2:35" ht="18" customHeight="1">
      <c r="B17" s="1220" t="s">
        <v>384</v>
      </c>
      <c r="C17" s="1222" t="s">
        <v>1044</v>
      </c>
      <c r="D17" s="1223"/>
      <c r="E17" s="1224">
        <v>1000</v>
      </c>
      <c r="F17" s="1226">
        <f>E17*D18</f>
        <v>1250</v>
      </c>
      <c r="G17" s="1226">
        <f t="shared" ref="G17" si="13">F17*$G$8</f>
        <v>4476.875</v>
      </c>
      <c r="H17" s="1226">
        <f>F17*$H$8*5</f>
        <v>1831.25</v>
      </c>
      <c r="I17" s="1226">
        <f>F17*$I$8*7</f>
        <v>2563.75</v>
      </c>
      <c r="J17" s="1226">
        <f t="shared" ref="J17" si="14">F17*$J$8*12</f>
        <v>2144.9999999999995</v>
      </c>
      <c r="K17" s="1638">
        <f t="shared" ref="K17" si="15">F17*$K$8*12</f>
        <v>1755</v>
      </c>
      <c r="L17" s="472">
        <f>H17+G17</f>
        <v>6308.125</v>
      </c>
      <c r="M17" s="473">
        <f>G17+H17+I17</f>
        <v>8871.875</v>
      </c>
      <c r="N17" s="441">
        <f>H17+I17+J17+K17+G17</f>
        <v>12771.875</v>
      </c>
      <c r="O17" s="472">
        <f>L17*$Q$5</f>
        <v>5866.5562500000005</v>
      </c>
      <c r="P17" s="473">
        <f>M17*$Q$5</f>
        <v>8250.84375</v>
      </c>
      <c r="Q17" s="441">
        <f>N17*$Q$5</f>
        <v>11877.84375</v>
      </c>
      <c r="R17" s="472">
        <f>L17*$T$5</f>
        <v>5424.9875000000002</v>
      </c>
      <c r="S17" s="473">
        <f>M17*$T$5</f>
        <v>7629.8125</v>
      </c>
      <c r="T17" s="441">
        <f>N17*$T$5</f>
        <v>10983.8125</v>
      </c>
      <c r="U17" s="472">
        <f>L17*$W$5</f>
        <v>5235.7437499999996</v>
      </c>
      <c r="V17" s="473">
        <f>M17*$W$5</f>
        <v>7363.65625</v>
      </c>
      <c r="W17" s="441">
        <f>N17*$W$5</f>
        <v>10600.65625</v>
      </c>
      <c r="X17" s="472">
        <f>L17*$Z$5</f>
        <v>4731.09375</v>
      </c>
      <c r="Y17" s="473">
        <f>M17*$Z$5</f>
        <v>6653.90625</v>
      </c>
      <c r="Z17" s="441">
        <f>N17*$Z$5</f>
        <v>9578.90625</v>
      </c>
      <c r="AA17" s="472">
        <f>L17*$AC$5</f>
        <v>4415.6875</v>
      </c>
      <c r="AB17" s="473">
        <f>M17*$AC$5</f>
        <v>6210.3125</v>
      </c>
      <c r="AC17" s="441">
        <f>N17*$AC$5</f>
        <v>8940.3125</v>
      </c>
      <c r="AD17" s="280"/>
      <c r="AE17" s="280"/>
      <c r="AF17" s="280"/>
      <c r="AG17" s="280"/>
      <c r="AH17" s="280"/>
      <c r="AI17" s="280"/>
    </row>
    <row r="18" spans="2:35" ht="18" customHeight="1" thickBot="1">
      <c r="B18" s="1221"/>
      <c r="C18" s="320" t="s">
        <v>1045</v>
      </c>
      <c r="D18" s="105">
        <v>1.25</v>
      </c>
      <c r="E18" s="1225"/>
      <c r="F18" s="1227"/>
      <c r="G18" s="1227"/>
      <c r="H18" s="1227"/>
      <c r="I18" s="1227"/>
      <c r="J18" s="1227"/>
      <c r="K18" s="1539"/>
      <c r="L18" s="180">
        <f>L17/$E17</f>
        <v>6.3081250000000004</v>
      </c>
      <c r="M18" s="183">
        <f t="shared" ref="M18:AC18" si="16">M17/$E17</f>
        <v>8.8718749999999993</v>
      </c>
      <c r="N18" s="182">
        <f t="shared" si="16"/>
        <v>12.771875</v>
      </c>
      <c r="O18" s="180">
        <f t="shared" si="16"/>
        <v>5.8665562500000004</v>
      </c>
      <c r="P18" s="183">
        <f t="shared" si="16"/>
        <v>8.2508437499999996</v>
      </c>
      <c r="Q18" s="182">
        <f t="shared" si="16"/>
        <v>11.87784375</v>
      </c>
      <c r="R18" s="180">
        <f t="shared" si="16"/>
        <v>5.4249875000000003</v>
      </c>
      <c r="S18" s="183">
        <f t="shared" si="16"/>
        <v>7.6298124999999999</v>
      </c>
      <c r="T18" s="182">
        <f t="shared" si="16"/>
        <v>10.983812500000001</v>
      </c>
      <c r="U18" s="180">
        <f t="shared" si="16"/>
        <v>5.2357437499999993</v>
      </c>
      <c r="V18" s="183">
        <f t="shared" si="16"/>
        <v>7.36365625</v>
      </c>
      <c r="W18" s="182">
        <f t="shared" si="16"/>
        <v>10.60065625</v>
      </c>
      <c r="X18" s="180">
        <f t="shared" si="16"/>
        <v>4.7310937500000003</v>
      </c>
      <c r="Y18" s="183">
        <f t="shared" si="16"/>
        <v>6.6539062500000004</v>
      </c>
      <c r="Z18" s="182">
        <f t="shared" si="16"/>
        <v>9.5789062499999993</v>
      </c>
      <c r="AA18" s="180">
        <f t="shared" si="16"/>
        <v>4.4156874999999998</v>
      </c>
      <c r="AB18" s="183">
        <f t="shared" si="16"/>
        <v>6.2103124999999997</v>
      </c>
      <c r="AC18" s="182">
        <f t="shared" si="16"/>
        <v>8.9403124999999992</v>
      </c>
      <c r="AD18" s="280"/>
      <c r="AE18" s="280"/>
      <c r="AF18" s="280"/>
      <c r="AG18" s="280"/>
    </row>
    <row r="19" spans="2:35" ht="18" customHeight="1">
      <c r="B19" s="1221"/>
      <c r="C19" s="1222" t="s">
        <v>1046</v>
      </c>
      <c r="D19" s="1223"/>
      <c r="E19" s="1239">
        <v>1000</v>
      </c>
      <c r="F19" s="1229">
        <f>E19*D20</f>
        <v>1060</v>
      </c>
      <c r="G19" s="1229">
        <f t="shared" ref="G19" si="17">F19*$G$8</f>
        <v>3796.39</v>
      </c>
      <c r="H19" s="1229">
        <f>F19*$H$8*5</f>
        <v>1552.8999999999999</v>
      </c>
      <c r="I19" s="1229">
        <f>F19*$I$8*7</f>
        <v>2174.06</v>
      </c>
      <c r="J19" s="1229">
        <f t="shared" ref="J19" si="18">F19*$J$8*12</f>
        <v>1818.9599999999998</v>
      </c>
      <c r="K19" s="1241">
        <f t="shared" ref="K19" si="19">F19*$K$8*12</f>
        <v>1488.2400000000002</v>
      </c>
      <c r="L19" s="446">
        <f>H19+G19</f>
        <v>5349.29</v>
      </c>
      <c r="M19" s="910">
        <f>G19+H19+I19</f>
        <v>7523.35</v>
      </c>
      <c r="N19" s="911">
        <f>H19+I19+J19+K19+G19</f>
        <v>10830.55</v>
      </c>
      <c r="O19" s="446">
        <f>L19*$Q$5</f>
        <v>4974.8397000000004</v>
      </c>
      <c r="P19" s="910">
        <f>M19*$Q$5</f>
        <v>6996.7155000000012</v>
      </c>
      <c r="Q19" s="911">
        <f>N19*$Q$5</f>
        <v>10072.4115</v>
      </c>
      <c r="R19" s="446">
        <f>L19*$T$5</f>
        <v>4600.3894</v>
      </c>
      <c r="S19" s="910">
        <f>M19*$T$5</f>
        <v>6470.0810000000001</v>
      </c>
      <c r="T19" s="911">
        <f>N19*$T$5</f>
        <v>9314.2729999999992</v>
      </c>
      <c r="U19" s="446">
        <f>L19*$W$5</f>
        <v>4439.9106999999995</v>
      </c>
      <c r="V19" s="910">
        <f>M19*$W$5</f>
        <v>6244.3805000000002</v>
      </c>
      <c r="W19" s="911">
        <f>N19*$W$5</f>
        <v>8989.3564999999999</v>
      </c>
      <c r="X19" s="446">
        <f>L19*$Z$5</f>
        <v>4011.9674999999997</v>
      </c>
      <c r="Y19" s="910">
        <f>M19*$Z$5</f>
        <v>5642.5125000000007</v>
      </c>
      <c r="Z19" s="911">
        <f>N19*$Z$5</f>
        <v>8122.9124999999995</v>
      </c>
      <c r="AA19" s="446">
        <f>L19*$AC$5</f>
        <v>3744.5029999999997</v>
      </c>
      <c r="AB19" s="910">
        <f>M19*$AC$5</f>
        <v>5266.3450000000003</v>
      </c>
      <c r="AC19" s="911">
        <f>N19*$AC$5</f>
        <v>7581.3849999999993</v>
      </c>
      <c r="AD19" s="280"/>
      <c r="AE19" s="280"/>
      <c r="AF19" s="280"/>
      <c r="AG19" s="280"/>
      <c r="AH19" s="280"/>
      <c r="AI19" s="280"/>
    </row>
    <row r="20" spans="2:35" ht="18" customHeight="1">
      <c r="B20" s="1221"/>
      <c r="C20" s="320" t="s">
        <v>1047</v>
      </c>
      <c r="D20" s="105">
        <v>1.06</v>
      </c>
      <c r="E20" s="1225"/>
      <c r="F20" s="1227"/>
      <c r="G20" s="1227"/>
      <c r="H20" s="1227"/>
      <c r="I20" s="1227"/>
      <c r="J20" s="1227"/>
      <c r="K20" s="1539"/>
      <c r="L20" s="180">
        <f>L19/$E19</f>
        <v>5.3492899999999999</v>
      </c>
      <c r="M20" s="183">
        <f t="shared" ref="M20:AC20" si="20">M19/$E19</f>
        <v>7.5233500000000006</v>
      </c>
      <c r="N20" s="182">
        <f t="shared" si="20"/>
        <v>10.830549999999999</v>
      </c>
      <c r="O20" s="180">
        <f t="shared" si="20"/>
        <v>4.9748397000000004</v>
      </c>
      <c r="P20" s="183">
        <f t="shared" si="20"/>
        <v>6.9967155000000014</v>
      </c>
      <c r="Q20" s="182">
        <f t="shared" si="20"/>
        <v>10.072411499999999</v>
      </c>
      <c r="R20" s="180">
        <f t="shared" si="20"/>
        <v>4.6003894000000001</v>
      </c>
      <c r="S20" s="183">
        <f t="shared" si="20"/>
        <v>6.4700810000000004</v>
      </c>
      <c r="T20" s="182">
        <f t="shared" si="20"/>
        <v>9.314273</v>
      </c>
      <c r="U20" s="180">
        <f t="shared" si="20"/>
        <v>4.4399106999999995</v>
      </c>
      <c r="V20" s="183">
        <f t="shared" si="20"/>
        <v>6.2443805000000001</v>
      </c>
      <c r="W20" s="182">
        <f t="shared" si="20"/>
        <v>8.9893564999999995</v>
      </c>
      <c r="X20" s="180">
        <f t="shared" si="20"/>
        <v>4.0119674999999999</v>
      </c>
      <c r="Y20" s="183">
        <f t="shared" si="20"/>
        <v>5.6425125000000005</v>
      </c>
      <c r="Z20" s="182">
        <f t="shared" si="20"/>
        <v>8.1229125</v>
      </c>
      <c r="AA20" s="180">
        <f t="shared" si="20"/>
        <v>3.7445029999999999</v>
      </c>
      <c r="AB20" s="183">
        <f t="shared" si="20"/>
        <v>5.2663450000000003</v>
      </c>
      <c r="AC20" s="182">
        <f t="shared" si="20"/>
        <v>7.5813849999999992</v>
      </c>
      <c r="AD20" s="280"/>
      <c r="AE20" s="280"/>
      <c r="AF20" s="280"/>
      <c r="AG20" s="280"/>
    </row>
    <row r="21" spans="2:35" ht="18" customHeight="1">
      <c r="B21" s="1221"/>
      <c r="C21" s="1641" t="s">
        <v>1048</v>
      </c>
      <c r="D21" s="1642"/>
      <c r="E21" s="1239">
        <v>1000</v>
      </c>
      <c r="F21" s="1229">
        <f>E21*D22</f>
        <v>1580</v>
      </c>
      <c r="G21" s="1250">
        <f t="shared" ref="G21" si="21">F21*$G$8</f>
        <v>5658.7699999999995</v>
      </c>
      <c r="H21" s="1229">
        <f>F21*$H$8*5</f>
        <v>2314.6999999999998</v>
      </c>
      <c r="I21" s="1229">
        <f>F21*$I$8*7</f>
        <v>3240.58</v>
      </c>
      <c r="J21" s="1229">
        <f t="shared" ref="J21" si="22">F21*$J$8*12</f>
        <v>2711.2799999999997</v>
      </c>
      <c r="K21" s="1241">
        <f t="shared" ref="K21" si="23">F21*$K$8*12</f>
        <v>2218.3200000000002</v>
      </c>
      <c r="L21" s="446">
        <f>H21+G21</f>
        <v>7973.4699999999993</v>
      </c>
      <c r="M21" s="910">
        <f>G21+H21+I21</f>
        <v>11214.05</v>
      </c>
      <c r="N21" s="911">
        <f>H21+I21+J21+K21+G21</f>
        <v>16143.649999999998</v>
      </c>
      <c r="O21" s="446">
        <f>L21*$Q$5</f>
        <v>7415.3270999999995</v>
      </c>
      <c r="P21" s="910">
        <f>M21*$Q$5</f>
        <v>10429.066499999999</v>
      </c>
      <c r="Q21" s="911">
        <f>N21*$Q$5</f>
        <v>15013.594499999999</v>
      </c>
      <c r="R21" s="446">
        <f>L21*$T$5</f>
        <v>6857.1841999999997</v>
      </c>
      <c r="S21" s="910">
        <f>M21*$T$5</f>
        <v>9644.0829999999987</v>
      </c>
      <c r="T21" s="911">
        <f>N21*$T$5</f>
        <v>13883.538999999997</v>
      </c>
      <c r="U21" s="446">
        <f>L21*$W$5</f>
        <v>6617.9800999999989</v>
      </c>
      <c r="V21" s="910">
        <f>M21*$W$5</f>
        <v>9307.6614999999983</v>
      </c>
      <c r="W21" s="911">
        <f>N21*$W$5</f>
        <v>13399.229499999998</v>
      </c>
      <c r="X21" s="446">
        <f>L21*$Z$5</f>
        <v>5980.1024999999991</v>
      </c>
      <c r="Y21" s="910">
        <f>M21*$Z$5</f>
        <v>8410.5374999999985</v>
      </c>
      <c r="Z21" s="911">
        <f>N21*$Z$5</f>
        <v>12107.737499999999</v>
      </c>
      <c r="AA21" s="446">
        <f>L21*$AC$5</f>
        <v>5581.4289999999992</v>
      </c>
      <c r="AB21" s="910">
        <f>M21*$AC$5</f>
        <v>7849.8349999999991</v>
      </c>
      <c r="AC21" s="911">
        <f>N21*$AC$5</f>
        <v>11300.554999999998</v>
      </c>
      <c r="AD21" s="280"/>
      <c r="AE21" s="280"/>
      <c r="AF21" s="280"/>
      <c r="AG21" s="280"/>
    </row>
    <row r="22" spans="2:35" ht="18" customHeight="1">
      <c r="B22" s="1221"/>
      <c r="C22" s="320" t="s">
        <v>1049</v>
      </c>
      <c r="D22" s="105">
        <v>1.58</v>
      </c>
      <c r="E22" s="1225"/>
      <c r="F22" s="1227"/>
      <c r="G22" s="1231"/>
      <c r="H22" s="1227"/>
      <c r="I22" s="1227"/>
      <c r="J22" s="1227"/>
      <c r="K22" s="1539"/>
      <c r="L22" s="180">
        <f>L21/$E21</f>
        <v>7.9734699999999989</v>
      </c>
      <c r="M22" s="183">
        <f t="shared" ref="M22:AC22" si="24">M21/$E21</f>
        <v>11.214049999999999</v>
      </c>
      <c r="N22" s="182">
        <f t="shared" si="24"/>
        <v>16.143649999999997</v>
      </c>
      <c r="O22" s="180">
        <f t="shared" si="24"/>
        <v>7.4153270999999998</v>
      </c>
      <c r="P22" s="183">
        <f t="shared" si="24"/>
        <v>10.429066499999999</v>
      </c>
      <c r="Q22" s="182">
        <f t="shared" si="24"/>
        <v>15.0135945</v>
      </c>
      <c r="R22" s="180">
        <f t="shared" si="24"/>
        <v>6.8571841999999998</v>
      </c>
      <c r="S22" s="183">
        <f t="shared" si="24"/>
        <v>9.6440829999999984</v>
      </c>
      <c r="T22" s="182">
        <f t="shared" si="24"/>
        <v>13.883538999999997</v>
      </c>
      <c r="U22" s="180">
        <f t="shared" si="24"/>
        <v>6.6179800999999987</v>
      </c>
      <c r="V22" s="183">
        <f t="shared" si="24"/>
        <v>9.3076614999999983</v>
      </c>
      <c r="W22" s="182">
        <f t="shared" si="24"/>
        <v>13.399229499999997</v>
      </c>
      <c r="X22" s="180">
        <f t="shared" si="24"/>
        <v>5.9801024999999992</v>
      </c>
      <c r="Y22" s="183">
        <f t="shared" si="24"/>
        <v>8.4105374999999984</v>
      </c>
      <c r="Z22" s="182">
        <f t="shared" si="24"/>
        <v>12.107737499999999</v>
      </c>
      <c r="AA22" s="180">
        <f t="shared" si="24"/>
        <v>5.5814289999999991</v>
      </c>
      <c r="AB22" s="183">
        <f t="shared" si="24"/>
        <v>7.8498349999999988</v>
      </c>
      <c r="AC22" s="182">
        <f t="shared" si="24"/>
        <v>11.300554999999999</v>
      </c>
      <c r="AD22" s="280"/>
      <c r="AE22" s="280"/>
      <c r="AF22" s="280"/>
      <c r="AG22" s="280"/>
    </row>
    <row r="23" spans="2:35" ht="18" customHeight="1">
      <c r="B23" s="1221"/>
      <c r="C23" s="1641" t="s">
        <v>1050</v>
      </c>
      <c r="D23" s="1642"/>
      <c r="E23" s="1225">
        <v>1000</v>
      </c>
      <c r="F23" s="1227">
        <f>E23*D24</f>
        <v>1510</v>
      </c>
      <c r="G23" s="1231">
        <f t="shared" ref="G23" si="25">F23*$G$8</f>
        <v>5408.0649999999996</v>
      </c>
      <c r="H23" s="1227">
        <f>F23*$H$8*5</f>
        <v>2212.1499999999996</v>
      </c>
      <c r="I23" s="1227">
        <f>F23*$I$8*7</f>
        <v>3097.0099999999998</v>
      </c>
      <c r="J23" s="1227">
        <f t="shared" ref="J23" si="26">F23*$J$8*12</f>
        <v>2591.16</v>
      </c>
      <c r="K23" s="1539">
        <f t="shared" ref="K23" si="27">F23*$K$8*12</f>
        <v>2120.04</v>
      </c>
      <c r="L23" s="440">
        <f>H23+G23</f>
        <v>7620.2149999999992</v>
      </c>
      <c r="M23" s="596">
        <f>G23+H23+I23</f>
        <v>10717.224999999999</v>
      </c>
      <c r="N23" s="443">
        <f>H23+I23+J23+K23+G23</f>
        <v>15428.424999999999</v>
      </c>
      <c r="O23" s="440">
        <f>L23*$Q$5</f>
        <v>7086.7999499999996</v>
      </c>
      <c r="P23" s="596">
        <f>M23*$Q$5</f>
        <v>9967.0192499999994</v>
      </c>
      <c r="Q23" s="443">
        <f>N23*$Q$5</f>
        <v>14348.43525</v>
      </c>
      <c r="R23" s="440">
        <f>L23*$T$5</f>
        <v>6553.3848999999991</v>
      </c>
      <c r="S23" s="596">
        <f>M23*$T$5</f>
        <v>9216.8134999999984</v>
      </c>
      <c r="T23" s="443">
        <f>N23*$T$5</f>
        <v>13268.4455</v>
      </c>
      <c r="U23" s="440">
        <f>L23*$W$5</f>
        <v>6324.7784499999989</v>
      </c>
      <c r="V23" s="596">
        <f>M23*$W$5</f>
        <v>8895.2967499999977</v>
      </c>
      <c r="W23" s="443">
        <f>N23*$W$5</f>
        <v>12805.592749999998</v>
      </c>
      <c r="X23" s="440">
        <f>L23*$Z$5</f>
        <v>5715.1612499999992</v>
      </c>
      <c r="Y23" s="596">
        <f>M23*$Z$5</f>
        <v>8037.9187499999989</v>
      </c>
      <c r="Z23" s="443">
        <f>N23*$Z$5</f>
        <v>11571.318749999999</v>
      </c>
      <c r="AA23" s="440">
        <f>L23*$AC$5</f>
        <v>5334.1504999999988</v>
      </c>
      <c r="AB23" s="596">
        <f>M23*$AC$5</f>
        <v>7502.0574999999981</v>
      </c>
      <c r="AC23" s="443">
        <f>N23*$AC$5</f>
        <v>10799.897499999999</v>
      </c>
      <c r="AD23" s="280"/>
      <c r="AE23" s="280"/>
      <c r="AF23" s="280"/>
      <c r="AG23" s="280"/>
    </row>
    <row r="24" spans="2:35" ht="18" customHeight="1">
      <c r="B24" s="1221"/>
      <c r="C24" s="320" t="s">
        <v>1051</v>
      </c>
      <c r="D24" s="105">
        <v>1.51</v>
      </c>
      <c r="E24" s="1225"/>
      <c r="F24" s="1227"/>
      <c r="G24" s="1231"/>
      <c r="H24" s="1227"/>
      <c r="I24" s="1227"/>
      <c r="J24" s="1227"/>
      <c r="K24" s="1539"/>
      <c r="L24" s="180">
        <f t="shared" ref="L24:AC24" si="28">L23/$E23</f>
        <v>7.6202149999999991</v>
      </c>
      <c r="M24" s="183">
        <f t="shared" si="28"/>
        <v>10.717224999999999</v>
      </c>
      <c r="N24" s="182">
        <f t="shared" si="28"/>
        <v>15.428424999999999</v>
      </c>
      <c r="O24" s="180">
        <f t="shared" si="28"/>
        <v>7.0867999499999996</v>
      </c>
      <c r="P24" s="183">
        <f t="shared" si="28"/>
        <v>9.9670192499999999</v>
      </c>
      <c r="Q24" s="182">
        <f t="shared" si="28"/>
        <v>14.34843525</v>
      </c>
      <c r="R24" s="180">
        <f t="shared" si="28"/>
        <v>6.5533848999999993</v>
      </c>
      <c r="S24" s="183">
        <f t="shared" si="28"/>
        <v>9.2168134999999989</v>
      </c>
      <c r="T24" s="182">
        <f t="shared" si="28"/>
        <v>13.2684455</v>
      </c>
      <c r="U24" s="180">
        <f t="shared" si="28"/>
        <v>6.3247784499999993</v>
      </c>
      <c r="V24" s="183">
        <f t="shared" si="28"/>
        <v>8.8952967499999982</v>
      </c>
      <c r="W24" s="182">
        <f t="shared" si="28"/>
        <v>12.805592749999999</v>
      </c>
      <c r="X24" s="180">
        <f t="shared" si="28"/>
        <v>5.7151612499999995</v>
      </c>
      <c r="Y24" s="183">
        <f t="shared" si="28"/>
        <v>8.0379187499999993</v>
      </c>
      <c r="Z24" s="182">
        <f t="shared" si="28"/>
        <v>11.571318749999998</v>
      </c>
      <c r="AA24" s="180">
        <f t="shared" si="28"/>
        <v>5.3341504999999989</v>
      </c>
      <c r="AB24" s="183">
        <f t="shared" si="28"/>
        <v>7.5020574999999985</v>
      </c>
      <c r="AC24" s="182">
        <f t="shared" si="28"/>
        <v>10.799897499999998</v>
      </c>
      <c r="AD24" s="280"/>
      <c r="AE24" s="280"/>
      <c r="AF24" s="280"/>
      <c r="AG24" s="280"/>
    </row>
    <row r="25" spans="2:35" ht="18" customHeight="1">
      <c r="B25" s="1221"/>
      <c r="C25" s="1643" t="s">
        <v>1052</v>
      </c>
      <c r="D25" s="1329"/>
      <c r="E25" s="1332">
        <v>1000</v>
      </c>
      <c r="F25" s="1234">
        <f>E25*D26</f>
        <v>1510</v>
      </c>
      <c r="G25" s="1234">
        <f t="shared" ref="G25" si="29">F25*$G$8</f>
        <v>5408.0649999999996</v>
      </c>
      <c r="H25" s="1234">
        <f>F25*$H$8*5</f>
        <v>2212.1499999999996</v>
      </c>
      <c r="I25" s="1234">
        <f>F25*$I$8*7</f>
        <v>3097.0099999999998</v>
      </c>
      <c r="J25" s="1234">
        <f t="shared" ref="J25" si="30">F25*$J$8*12</f>
        <v>2591.16</v>
      </c>
      <c r="K25" s="1326">
        <f t="shared" ref="K25" si="31">F25*$K$8*12</f>
        <v>2120.04</v>
      </c>
      <c r="L25" s="446">
        <f>H25+G25</f>
        <v>7620.2149999999992</v>
      </c>
      <c r="M25" s="910">
        <f>G25+H25+I25</f>
        <v>10717.224999999999</v>
      </c>
      <c r="N25" s="911">
        <f>H25+I25+J25+K25+G25</f>
        <v>15428.424999999999</v>
      </c>
      <c r="O25" s="446">
        <f>L25*$Q$5</f>
        <v>7086.7999499999996</v>
      </c>
      <c r="P25" s="910">
        <f>M25*$Q$5</f>
        <v>9967.0192499999994</v>
      </c>
      <c r="Q25" s="911">
        <f>N25*$Q$5</f>
        <v>14348.43525</v>
      </c>
      <c r="R25" s="446">
        <f>L25*$T$5</f>
        <v>6553.3848999999991</v>
      </c>
      <c r="S25" s="910">
        <f>M25*$T$5</f>
        <v>9216.8134999999984</v>
      </c>
      <c r="T25" s="911">
        <f>N25*$T$5</f>
        <v>13268.4455</v>
      </c>
      <c r="U25" s="446">
        <f>L25*$W$5</f>
        <v>6324.7784499999989</v>
      </c>
      <c r="V25" s="910">
        <f>M25*$W$5</f>
        <v>8895.2967499999977</v>
      </c>
      <c r="W25" s="911">
        <f>N25*$W$5</f>
        <v>12805.592749999998</v>
      </c>
      <c r="X25" s="446">
        <f>L25*$Z$5</f>
        <v>5715.1612499999992</v>
      </c>
      <c r="Y25" s="910">
        <f>M25*$Z$5</f>
        <v>8037.9187499999989</v>
      </c>
      <c r="Z25" s="911">
        <f>N25*$Z$5</f>
        <v>11571.318749999999</v>
      </c>
      <c r="AA25" s="446">
        <f>L25*$AC$5</f>
        <v>5334.1504999999988</v>
      </c>
      <c r="AB25" s="910">
        <f>M25*$AC$5</f>
        <v>7502.0574999999981</v>
      </c>
      <c r="AC25" s="911">
        <f>N25*$AC$5</f>
        <v>10799.897499999999</v>
      </c>
      <c r="AD25" s="280"/>
      <c r="AE25" s="280"/>
      <c r="AF25" s="280"/>
      <c r="AG25" s="280"/>
    </row>
    <row r="26" spans="2:35" ht="18" customHeight="1" thickBot="1">
      <c r="B26" s="1235"/>
      <c r="C26" s="321" t="s">
        <v>1053</v>
      </c>
      <c r="D26" s="195">
        <v>1.51</v>
      </c>
      <c r="E26" s="1245"/>
      <c r="F26" s="1247"/>
      <c r="G26" s="1247"/>
      <c r="H26" s="1247"/>
      <c r="I26" s="1247"/>
      <c r="J26" s="1247"/>
      <c r="K26" s="1249"/>
      <c r="L26" s="170">
        <f>L25/$E25</f>
        <v>7.6202149999999991</v>
      </c>
      <c r="M26" s="171">
        <f>M25/$E25</f>
        <v>10.717224999999999</v>
      </c>
      <c r="N26" s="172">
        <f>N25/$E25</f>
        <v>15.428424999999999</v>
      </c>
      <c r="O26" s="170">
        <f t="shared" ref="O26:AC26" si="32">O25/$E25</f>
        <v>7.0867999499999996</v>
      </c>
      <c r="P26" s="171">
        <f t="shared" si="32"/>
        <v>9.9670192499999999</v>
      </c>
      <c r="Q26" s="172">
        <f t="shared" si="32"/>
        <v>14.34843525</v>
      </c>
      <c r="R26" s="170">
        <f t="shared" si="32"/>
        <v>6.5533848999999993</v>
      </c>
      <c r="S26" s="171">
        <f t="shared" si="32"/>
        <v>9.2168134999999989</v>
      </c>
      <c r="T26" s="172">
        <f t="shared" si="32"/>
        <v>13.2684455</v>
      </c>
      <c r="U26" s="170">
        <f t="shared" si="32"/>
        <v>6.3247784499999993</v>
      </c>
      <c r="V26" s="171">
        <f t="shared" si="32"/>
        <v>8.8952967499999982</v>
      </c>
      <c r="W26" s="172">
        <f t="shared" si="32"/>
        <v>12.805592749999999</v>
      </c>
      <c r="X26" s="170">
        <f t="shared" si="32"/>
        <v>5.7151612499999995</v>
      </c>
      <c r="Y26" s="171">
        <f t="shared" si="32"/>
        <v>8.0379187499999993</v>
      </c>
      <c r="Z26" s="172">
        <f t="shared" si="32"/>
        <v>11.571318749999998</v>
      </c>
      <c r="AA26" s="170">
        <f t="shared" si="32"/>
        <v>5.3341504999999989</v>
      </c>
      <c r="AB26" s="171">
        <f t="shared" si="32"/>
        <v>7.5020574999999985</v>
      </c>
      <c r="AC26" s="172">
        <f t="shared" si="32"/>
        <v>10.799897499999998</v>
      </c>
      <c r="AD26" s="280"/>
      <c r="AE26" s="280"/>
      <c r="AF26" s="280"/>
      <c r="AG26" s="280"/>
    </row>
    <row r="27" spans="2:35" ht="18" customHeight="1">
      <c r="B27" s="1221" t="s">
        <v>1054</v>
      </c>
      <c r="C27" s="1636" t="s">
        <v>1055</v>
      </c>
      <c r="D27" s="1637"/>
      <c r="E27" s="1239">
        <v>1000</v>
      </c>
      <c r="F27" s="1229">
        <f>E27*D28</f>
        <v>470</v>
      </c>
      <c r="G27" s="1250">
        <f t="shared" ref="G27" si="33">F27*$G$8</f>
        <v>1683.3049999999998</v>
      </c>
      <c r="H27" s="1229">
        <f>F27*$H$8*5</f>
        <v>688.55</v>
      </c>
      <c r="I27" s="1229">
        <f>F27*$I$8*7</f>
        <v>963.9699999999998</v>
      </c>
      <c r="J27" s="1229">
        <f>F27*15.3%*12</f>
        <v>862.92</v>
      </c>
      <c r="K27" s="1241">
        <f>F27*12.7%*12</f>
        <v>716.28</v>
      </c>
      <c r="L27" s="446">
        <f>H27+G27</f>
        <v>2371.8549999999996</v>
      </c>
      <c r="M27" s="910">
        <f>G27+H27+I27</f>
        <v>3335.8249999999994</v>
      </c>
      <c r="N27" s="911">
        <f>H27+I27+G27+J27+K27</f>
        <v>4915.0249999999996</v>
      </c>
      <c r="O27" s="446">
        <f>L27*$Q$5</f>
        <v>2205.8251499999997</v>
      </c>
      <c r="P27" s="910">
        <f>M27*$Q$5</f>
        <v>3102.3172499999996</v>
      </c>
      <c r="Q27" s="911">
        <f>N27*$Q$5</f>
        <v>4570.97325</v>
      </c>
      <c r="R27" s="446">
        <f>L27*$T$5</f>
        <v>2039.7952999999995</v>
      </c>
      <c r="S27" s="910">
        <f>M27*$T$5</f>
        <v>2868.8094999999994</v>
      </c>
      <c r="T27" s="911">
        <f>N27*$T$5</f>
        <v>4226.9214999999995</v>
      </c>
      <c r="U27" s="446">
        <f>L27*$W$5</f>
        <v>1968.6396499999996</v>
      </c>
      <c r="V27" s="910">
        <f>M27*$W$5</f>
        <v>2768.7347499999992</v>
      </c>
      <c r="W27" s="911">
        <f>N27*$W$5</f>
        <v>4079.4707499999995</v>
      </c>
      <c r="X27" s="446">
        <f>L27*$Z$5</f>
        <v>1778.8912499999997</v>
      </c>
      <c r="Y27" s="910">
        <f>M27*$Z$5</f>
        <v>2501.8687499999996</v>
      </c>
      <c r="Z27" s="911">
        <f>N27*$Z$5</f>
        <v>3686.2687499999997</v>
      </c>
      <c r="AA27" s="446">
        <f>L27*$AC$5</f>
        <v>1660.2984999999996</v>
      </c>
      <c r="AB27" s="910">
        <f>M27*$AC$5</f>
        <v>2335.0774999999994</v>
      </c>
      <c r="AC27" s="911">
        <f>N27*$AC$5</f>
        <v>3440.5174999999995</v>
      </c>
      <c r="AD27" s="280"/>
      <c r="AE27" s="280"/>
      <c r="AF27" s="280"/>
      <c r="AG27" s="280"/>
    </row>
    <row r="28" spans="2:35" ht="18" customHeight="1" thickBot="1">
      <c r="B28" s="1235"/>
      <c r="C28" s="269" t="s">
        <v>1056</v>
      </c>
      <c r="D28" s="426">
        <v>0.47</v>
      </c>
      <c r="E28" s="1260"/>
      <c r="F28" s="1263"/>
      <c r="G28" s="1264"/>
      <c r="H28" s="1263"/>
      <c r="I28" s="1263"/>
      <c r="J28" s="1263"/>
      <c r="K28" s="1640"/>
      <c r="L28" s="170">
        <f t="shared" ref="L28:AC28" si="34">L27/$E27</f>
        <v>2.3718549999999996</v>
      </c>
      <c r="M28" s="171">
        <f t="shared" si="34"/>
        <v>3.3358249999999994</v>
      </c>
      <c r="N28" s="172">
        <f t="shared" si="34"/>
        <v>4.915025</v>
      </c>
      <c r="O28" s="170">
        <f t="shared" si="34"/>
        <v>2.2058251499999995</v>
      </c>
      <c r="P28" s="171">
        <f t="shared" si="34"/>
        <v>3.1023172499999996</v>
      </c>
      <c r="Q28" s="172">
        <f t="shared" si="34"/>
        <v>4.5709732499999998</v>
      </c>
      <c r="R28" s="170">
        <f t="shared" si="34"/>
        <v>2.0397952999999998</v>
      </c>
      <c r="S28" s="171">
        <f t="shared" si="34"/>
        <v>2.8688094999999993</v>
      </c>
      <c r="T28" s="172">
        <f t="shared" si="34"/>
        <v>4.2269214999999996</v>
      </c>
      <c r="U28" s="170">
        <f t="shared" si="34"/>
        <v>1.9686396499999996</v>
      </c>
      <c r="V28" s="171">
        <f t="shared" si="34"/>
        <v>2.7687347499999992</v>
      </c>
      <c r="W28" s="172">
        <f t="shared" si="34"/>
        <v>4.0794707499999996</v>
      </c>
      <c r="X28" s="170">
        <f t="shared" si="34"/>
        <v>1.7788912499999996</v>
      </c>
      <c r="Y28" s="171">
        <f t="shared" si="34"/>
        <v>2.5018687499999994</v>
      </c>
      <c r="Z28" s="172">
        <f t="shared" si="34"/>
        <v>3.6862687499999995</v>
      </c>
      <c r="AA28" s="170">
        <f t="shared" si="34"/>
        <v>1.6602984999999997</v>
      </c>
      <c r="AB28" s="171">
        <f t="shared" si="34"/>
        <v>2.3350774999999993</v>
      </c>
      <c r="AC28" s="172">
        <f t="shared" si="34"/>
        <v>3.4405174999999995</v>
      </c>
      <c r="AD28" s="280"/>
      <c r="AE28" s="280"/>
      <c r="AF28" s="280"/>
      <c r="AG28" s="280"/>
    </row>
    <row r="29" spans="2:35" ht="18" customHeight="1">
      <c r="B29" s="1251" t="s">
        <v>1057</v>
      </c>
      <c r="C29" s="1254" t="s">
        <v>741</v>
      </c>
      <c r="D29" s="1255"/>
      <c r="E29" s="1224">
        <v>100000</v>
      </c>
      <c r="F29" s="1226">
        <f>E29*D30</f>
        <v>350</v>
      </c>
      <c r="G29" s="1230">
        <f t="shared" ref="G29" si="35">F29*$G$8</f>
        <v>1253.5249999999999</v>
      </c>
      <c r="H29" s="1226">
        <f>F29*415%</f>
        <v>1452.5000000000002</v>
      </c>
      <c r="I29" s="1226" t="s">
        <v>742</v>
      </c>
      <c r="J29" s="1226" t="s">
        <v>742</v>
      </c>
      <c r="K29" s="1638" t="s">
        <v>742</v>
      </c>
      <c r="L29" s="472">
        <f>H29+G29</f>
        <v>2706.0250000000001</v>
      </c>
      <c r="M29" s="473">
        <f>G29+H29</f>
        <v>2706.0250000000001</v>
      </c>
      <c r="N29" s="441">
        <f>H29+G29</f>
        <v>2706.0250000000001</v>
      </c>
      <c r="O29" s="472">
        <f>L29*$Q$5</f>
        <v>2516.6032500000001</v>
      </c>
      <c r="P29" s="473">
        <f>M29*$Q$5</f>
        <v>2516.6032500000001</v>
      </c>
      <c r="Q29" s="441">
        <f>N29*$Q$5</f>
        <v>2516.6032500000001</v>
      </c>
      <c r="R29" s="472">
        <f>L29*$T$5</f>
        <v>2327.1815000000001</v>
      </c>
      <c r="S29" s="473">
        <f>M29*$T$5</f>
        <v>2327.1815000000001</v>
      </c>
      <c r="T29" s="441">
        <f>N29*$T$5</f>
        <v>2327.1815000000001</v>
      </c>
      <c r="U29" s="472">
        <f>L29*$W$5</f>
        <v>2246.0007500000002</v>
      </c>
      <c r="V29" s="473">
        <f>M29*$W$5</f>
        <v>2246.0007500000002</v>
      </c>
      <c r="W29" s="441">
        <f>N29*$W$5</f>
        <v>2246.0007500000002</v>
      </c>
      <c r="X29" s="472">
        <f>L29*$Z$5</f>
        <v>2029.5187500000002</v>
      </c>
      <c r="Y29" s="473">
        <f>M29*$Z$5</f>
        <v>2029.5187500000002</v>
      </c>
      <c r="Z29" s="441">
        <f>N29*$Z$5</f>
        <v>2029.5187500000002</v>
      </c>
      <c r="AA29" s="472">
        <f>L29*$AC$5</f>
        <v>1894.2175</v>
      </c>
      <c r="AB29" s="473">
        <f>M29*$AC$5</f>
        <v>1894.2175</v>
      </c>
      <c r="AC29" s="441">
        <f>N29*$AC$5</f>
        <v>1894.2175</v>
      </c>
      <c r="AD29" s="280"/>
      <c r="AE29" s="280"/>
      <c r="AF29" s="280"/>
      <c r="AG29" s="280"/>
    </row>
    <row r="30" spans="2:35" ht="26.25" customHeight="1">
      <c r="B30" s="1252"/>
      <c r="C30" s="598" t="s">
        <v>1058</v>
      </c>
      <c r="D30" s="623">
        <v>3.5000000000000001E-3</v>
      </c>
      <c r="E30" s="1225"/>
      <c r="F30" s="1227"/>
      <c r="G30" s="1231"/>
      <c r="H30" s="1227"/>
      <c r="I30" s="1227"/>
      <c r="J30" s="1227"/>
      <c r="K30" s="1539"/>
      <c r="L30" s="180">
        <f>L29/$E29</f>
        <v>2.7060250000000001E-2</v>
      </c>
      <c r="M30" s="183">
        <f>M29/E29</f>
        <v>2.7060250000000001E-2</v>
      </c>
      <c r="N30" s="182">
        <f>N29/$E29</f>
        <v>2.7060250000000001E-2</v>
      </c>
      <c r="O30" s="180">
        <f t="shared" ref="O30:AC30" si="36">O29/$E29</f>
        <v>2.5166032500000001E-2</v>
      </c>
      <c r="P30" s="183">
        <f t="shared" si="36"/>
        <v>2.5166032500000001E-2</v>
      </c>
      <c r="Q30" s="182">
        <f t="shared" si="36"/>
        <v>2.5166032500000001E-2</v>
      </c>
      <c r="R30" s="180">
        <f t="shared" si="36"/>
        <v>2.3271815000000001E-2</v>
      </c>
      <c r="S30" s="183">
        <f t="shared" si="36"/>
        <v>2.3271815000000001E-2</v>
      </c>
      <c r="T30" s="182">
        <f t="shared" si="36"/>
        <v>2.3271815000000001E-2</v>
      </c>
      <c r="U30" s="180">
        <f t="shared" si="36"/>
        <v>2.24600075E-2</v>
      </c>
      <c r="V30" s="183">
        <f t="shared" si="36"/>
        <v>2.24600075E-2</v>
      </c>
      <c r="W30" s="182">
        <f t="shared" si="36"/>
        <v>2.24600075E-2</v>
      </c>
      <c r="X30" s="180">
        <f t="shared" si="36"/>
        <v>2.0295187500000002E-2</v>
      </c>
      <c r="Y30" s="183">
        <f t="shared" si="36"/>
        <v>2.0295187500000002E-2</v>
      </c>
      <c r="Z30" s="182">
        <f t="shared" si="36"/>
        <v>2.0295187500000002E-2</v>
      </c>
      <c r="AA30" s="180">
        <f t="shared" si="36"/>
        <v>1.8942174999999999E-2</v>
      </c>
      <c r="AB30" s="183">
        <f t="shared" si="36"/>
        <v>1.8942174999999999E-2</v>
      </c>
      <c r="AC30" s="182">
        <f t="shared" si="36"/>
        <v>1.8942174999999999E-2</v>
      </c>
      <c r="AD30" s="280"/>
      <c r="AE30" s="280"/>
      <c r="AF30" s="280"/>
      <c r="AG30" s="280"/>
    </row>
    <row r="31" spans="2:35" ht="18" customHeight="1">
      <c r="B31" s="1252"/>
      <c r="C31" s="1639" t="s">
        <v>1059</v>
      </c>
      <c r="D31" s="1262"/>
      <c r="E31" s="1239">
        <v>100000</v>
      </c>
      <c r="F31" s="1229">
        <f>E31*D32</f>
        <v>540</v>
      </c>
      <c r="G31" s="1250">
        <f t="shared" ref="G31" si="37">F31*$G$8</f>
        <v>1934.0099999999998</v>
      </c>
      <c r="H31" s="1229">
        <f>F31*415%</f>
        <v>2241</v>
      </c>
      <c r="I31" s="1229" t="s">
        <v>742</v>
      </c>
      <c r="J31" s="1229" t="s">
        <v>742</v>
      </c>
      <c r="K31" s="1241" t="s">
        <v>742</v>
      </c>
      <c r="L31" s="446">
        <f>H31+G31</f>
        <v>4175.01</v>
      </c>
      <c r="M31" s="910">
        <f>G31+H31</f>
        <v>4175.01</v>
      </c>
      <c r="N31" s="911">
        <f>H31+G31</f>
        <v>4175.01</v>
      </c>
      <c r="O31" s="446">
        <f>L31*$Q$5</f>
        <v>3882.7593000000006</v>
      </c>
      <c r="P31" s="910">
        <f>M31*$Q$5</f>
        <v>3882.7593000000006</v>
      </c>
      <c r="Q31" s="911">
        <f>N31*$Q$5</f>
        <v>3882.7593000000006</v>
      </c>
      <c r="R31" s="446">
        <f>L31*$T$5</f>
        <v>3590.5086000000001</v>
      </c>
      <c r="S31" s="910">
        <f>M31*$T$5</f>
        <v>3590.5086000000001</v>
      </c>
      <c r="T31" s="911">
        <f>N31*$T$5</f>
        <v>3590.5086000000001</v>
      </c>
      <c r="U31" s="446">
        <f>L31*$W$5</f>
        <v>3465.2583</v>
      </c>
      <c r="V31" s="910">
        <f>M31*$W$5</f>
        <v>3465.2583</v>
      </c>
      <c r="W31" s="911">
        <f>N31*$W$5</f>
        <v>3465.2583</v>
      </c>
      <c r="X31" s="446">
        <f>L31*$Z$5</f>
        <v>3131.2575000000002</v>
      </c>
      <c r="Y31" s="910">
        <f>M31*$Z$5</f>
        <v>3131.2575000000002</v>
      </c>
      <c r="Z31" s="911">
        <f>N31*$Z$5</f>
        <v>3131.2575000000002</v>
      </c>
      <c r="AA31" s="446">
        <f>L31*$AC$5</f>
        <v>2922.5070000000001</v>
      </c>
      <c r="AB31" s="910">
        <f>M31*$AC$5</f>
        <v>2922.5070000000001</v>
      </c>
      <c r="AC31" s="911">
        <f>N31*$AC$5</f>
        <v>2922.5070000000001</v>
      </c>
      <c r="AD31" s="280"/>
      <c r="AE31" s="280"/>
      <c r="AF31" s="280"/>
      <c r="AG31" s="280"/>
    </row>
    <row r="32" spans="2:35" ht="18" customHeight="1" thickBot="1">
      <c r="B32" s="1253"/>
      <c r="C32" s="268" t="s">
        <v>1058</v>
      </c>
      <c r="D32" s="266">
        <v>5.4000000000000003E-3</v>
      </c>
      <c r="E32" s="1260"/>
      <c r="F32" s="1263"/>
      <c r="G32" s="1264"/>
      <c r="H32" s="1263"/>
      <c r="I32" s="1263"/>
      <c r="J32" s="1263"/>
      <c r="K32" s="1640"/>
      <c r="L32" s="170">
        <f>L31/$E31</f>
        <v>4.1750100000000005E-2</v>
      </c>
      <c r="M32" s="171">
        <f>M31/E31</f>
        <v>4.1750100000000005E-2</v>
      </c>
      <c r="N32" s="172">
        <f>N31/$E31</f>
        <v>4.1750100000000005E-2</v>
      </c>
      <c r="O32" s="170">
        <f t="shared" ref="O32:AC32" si="38">O31/$E31</f>
        <v>3.8827593000000007E-2</v>
      </c>
      <c r="P32" s="171">
        <f t="shared" si="38"/>
        <v>3.8827593000000007E-2</v>
      </c>
      <c r="Q32" s="172">
        <f t="shared" si="38"/>
        <v>3.8827593000000007E-2</v>
      </c>
      <c r="R32" s="170">
        <f t="shared" si="38"/>
        <v>3.5905086000000003E-2</v>
      </c>
      <c r="S32" s="171">
        <f t="shared" si="38"/>
        <v>3.5905086000000003E-2</v>
      </c>
      <c r="T32" s="172">
        <f t="shared" si="38"/>
        <v>3.5905086000000003E-2</v>
      </c>
      <c r="U32" s="170">
        <f t="shared" si="38"/>
        <v>3.4652583000000001E-2</v>
      </c>
      <c r="V32" s="171">
        <f t="shared" si="38"/>
        <v>3.4652583000000001E-2</v>
      </c>
      <c r="W32" s="172">
        <f t="shared" si="38"/>
        <v>3.4652583000000001E-2</v>
      </c>
      <c r="X32" s="170">
        <f t="shared" si="38"/>
        <v>3.1312575000000002E-2</v>
      </c>
      <c r="Y32" s="171">
        <f t="shared" si="38"/>
        <v>3.1312575000000002E-2</v>
      </c>
      <c r="Z32" s="172">
        <f t="shared" si="38"/>
        <v>3.1312575000000002E-2</v>
      </c>
      <c r="AA32" s="170">
        <f t="shared" si="38"/>
        <v>2.9225070000000002E-2</v>
      </c>
      <c r="AB32" s="171">
        <f t="shared" si="38"/>
        <v>2.9225070000000002E-2</v>
      </c>
      <c r="AC32" s="172">
        <f t="shared" si="38"/>
        <v>2.9225070000000002E-2</v>
      </c>
      <c r="AD32" s="280"/>
      <c r="AE32" s="280"/>
      <c r="AF32" s="280"/>
      <c r="AG32" s="280"/>
    </row>
    <row r="33" spans="2:30" ht="18" customHeight="1">
      <c r="C33" s="322"/>
      <c r="D33" s="59"/>
      <c r="E33" s="59"/>
      <c r="F33" s="59"/>
      <c r="G33" s="28"/>
      <c r="H33" s="28"/>
      <c r="I33" s="28"/>
      <c r="J33" s="60"/>
      <c r="K33" s="60"/>
      <c r="L33" s="270"/>
      <c r="M33" s="270"/>
      <c r="N33" s="270"/>
      <c r="O33" s="270"/>
      <c r="P33" s="270"/>
      <c r="Q33" s="270"/>
      <c r="R33" s="270"/>
      <c r="S33" s="270"/>
      <c r="T33" s="270"/>
      <c r="U33" s="270"/>
      <c r="V33" s="270"/>
      <c r="W33" s="270"/>
      <c r="X33" s="270"/>
      <c r="Y33" s="270"/>
      <c r="Z33" s="270"/>
      <c r="AA33" s="280"/>
      <c r="AB33" s="280"/>
      <c r="AC33" s="280"/>
      <c r="AD33" s="280"/>
    </row>
    <row r="34" spans="2:30" ht="18" customHeight="1">
      <c r="B34" s="49" t="s">
        <v>455</v>
      </c>
      <c r="C34" s="45"/>
      <c r="D34" s="45"/>
      <c r="E34" s="45"/>
      <c r="F34" s="47"/>
      <c r="G34" s="45"/>
      <c r="H34" s="45"/>
      <c r="I34" s="45"/>
      <c r="J34" s="45"/>
      <c r="K34" s="47"/>
      <c r="L34" s="47"/>
      <c r="M34" s="47"/>
      <c r="N34" s="47"/>
      <c r="O34" s="47"/>
      <c r="P34" s="47"/>
      <c r="Q34" s="47"/>
      <c r="R34" s="47"/>
      <c r="S34" s="47"/>
      <c r="T34" s="47"/>
      <c r="U34" s="47"/>
      <c r="V34" s="47"/>
      <c r="W34" s="47"/>
      <c r="X34" s="47"/>
      <c r="Y34" s="47"/>
    </row>
    <row r="35" spans="2:30" ht="18" customHeight="1">
      <c r="B35" s="47" t="s">
        <v>1060</v>
      </c>
      <c r="C35" s="49"/>
      <c r="D35" s="45"/>
      <c r="E35" s="45"/>
      <c r="F35" s="47"/>
      <c r="G35" s="45"/>
      <c r="H35" s="45"/>
      <c r="I35" s="45"/>
      <c r="J35" s="45"/>
      <c r="K35" s="47"/>
      <c r="L35" s="47"/>
      <c r="M35" s="47"/>
      <c r="N35" s="47"/>
      <c r="O35" s="47"/>
      <c r="P35" s="47"/>
      <c r="Q35" s="47"/>
      <c r="R35" s="47"/>
      <c r="S35" s="47"/>
      <c r="T35" s="47"/>
      <c r="U35" s="47"/>
      <c r="V35" s="47"/>
      <c r="W35" s="47"/>
      <c r="X35" s="47"/>
      <c r="Y35" s="47"/>
    </row>
    <row r="36" spans="2:30" ht="18" customHeight="1">
      <c r="B36" s="61" t="s">
        <v>1061</v>
      </c>
      <c r="C36" s="61"/>
      <c r="D36" s="62"/>
      <c r="E36" s="62"/>
      <c r="F36" s="61"/>
      <c r="G36" s="62"/>
      <c r="H36" s="62"/>
      <c r="I36" s="62"/>
      <c r="J36" s="62"/>
      <c r="K36" s="61"/>
      <c r="L36" s="61"/>
      <c r="M36" s="61"/>
      <c r="N36" s="61"/>
      <c r="O36" s="61"/>
      <c r="P36" s="61"/>
      <c r="Q36" s="61"/>
      <c r="R36" s="61"/>
      <c r="S36" s="61"/>
      <c r="T36" s="61"/>
      <c r="U36" s="61"/>
      <c r="V36" s="61"/>
      <c r="W36" s="61"/>
      <c r="X36" s="61"/>
      <c r="Y36" s="61"/>
    </row>
    <row r="37" spans="2:30" ht="18" customHeight="1">
      <c r="B37" s="47" t="s">
        <v>1062</v>
      </c>
      <c r="C37" s="45"/>
      <c r="D37" s="45"/>
      <c r="E37" s="45"/>
      <c r="F37" s="47"/>
      <c r="G37" s="47"/>
      <c r="H37" s="47"/>
      <c r="I37" s="45"/>
      <c r="J37" s="45"/>
      <c r="K37" s="47"/>
      <c r="L37" s="47"/>
      <c r="M37" s="47"/>
      <c r="N37" s="47"/>
      <c r="O37" s="47"/>
      <c r="P37" s="840"/>
      <c r="Q37" s="47"/>
      <c r="R37" s="47"/>
      <c r="S37" s="47"/>
      <c r="T37" s="47"/>
      <c r="U37" s="47"/>
      <c r="V37" s="47"/>
      <c r="W37" s="47"/>
      <c r="X37" s="47"/>
      <c r="Y37" s="47"/>
    </row>
    <row r="38" spans="2:30" ht="18" customHeight="1">
      <c r="B38" s="47" t="s">
        <v>743</v>
      </c>
      <c r="C38" s="45"/>
      <c r="D38" s="45"/>
      <c r="E38" s="45"/>
      <c r="F38" s="47"/>
      <c r="G38" s="47"/>
      <c r="H38" s="47"/>
      <c r="I38" s="45"/>
      <c r="J38" s="45"/>
      <c r="K38" s="47"/>
      <c r="L38" s="47"/>
      <c r="M38" s="47"/>
      <c r="N38" s="47"/>
      <c r="O38" s="47"/>
      <c r="P38" s="47"/>
      <c r="Q38" s="47"/>
      <c r="R38" s="47"/>
      <c r="S38" s="47"/>
      <c r="T38" s="47"/>
      <c r="U38" s="47"/>
      <c r="V38" s="47"/>
      <c r="W38" s="47"/>
      <c r="X38" s="47"/>
      <c r="Y38" s="47"/>
    </row>
    <row r="39" spans="2:30" ht="18" customHeight="1">
      <c r="B39" s="61" t="s">
        <v>1063</v>
      </c>
      <c r="C39" s="45"/>
      <c r="D39" s="45"/>
      <c r="E39" s="45"/>
      <c r="F39" s="47"/>
      <c r="G39" s="45"/>
      <c r="H39" s="45"/>
      <c r="I39" s="45"/>
      <c r="J39" s="45"/>
      <c r="K39" s="47"/>
      <c r="L39" s="47"/>
      <c r="M39" s="47"/>
      <c r="N39" s="47"/>
      <c r="O39" s="47"/>
      <c r="P39" s="47"/>
      <c r="Q39" s="47"/>
      <c r="R39" s="47"/>
      <c r="S39" s="47"/>
      <c r="T39" s="47"/>
      <c r="U39" s="47"/>
      <c r="V39" s="47"/>
      <c r="W39" s="47"/>
      <c r="X39" s="47"/>
      <c r="Y39" s="47"/>
    </row>
  </sheetData>
  <mergeCells count="139">
    <mergeCell ref="T5:T6"/>
    <mergeCell ref="U5:V6"/>
    <mergeCell ref="W5:W6"/>
    <mergeCell ref="X5:Y6"/>
    <mergeCell ref="Z5:Z6"/>
    <mergeCell ref="AA5:AB6"/>
    <mergeCell ref="B1:AC1"/>
    <mergeCell ref="F5:F8"/>
    <mergeCell ref="G5:G7"/>
    <mergeCell ref="H5:I6"/>
    <mergeCell ref="J5:K6"/>
    <mergeCell ref="L5:N6"/>
    <mergeCell ref="O5:P6"/>
    <mergeCell ref="Q5:Q6"/>
    <mergeCell ref="B5:D6"/>
    <mergeCell ref="E5:E8"/>
    <mergeCell ref="C9:D9"/>
    <mergeCell ref="E9:E10"/>
    <mergeCell ref="F9:F10"/>
    <mergeCell ref="G9:G10"/>
    <mergeCell ref="H9:H10"/>
    <mergeCell ref="I9:I10"/>
    <mergeCell ref="J9:J10"/>
    <mergeCell ref="K9:K10"/>
    <mergeCell ref="R5:S6"/>
    <mergeCell ref="H27:H28"/>
    <mergeCell ref="I27:I28"/>
    <mergeCell ref="K21:K22"/>
    <mergeCell ref="E15:E16"/>
    <mergeCell ref="F15:F16"/>
    <mergeCell ref="G15:G16"/>
    <mergeCell ref="H15:H16"/>
    <mergeCell ref="I15:I16"/>
    <mergeCell ref="J15:J16"/>
    <mergeCell ref="K15:K16"/>
    <mergeCell ref="J27:J28"/>
    <mergeCell ref="K27:K28"/>
    <mergeCell ref="C15:D15"/>
    <mergeCell ref="AC5:AC6"/>
    <mergeCell ref="B7:B8"/>
    <mergeCell ref="C7:C8"/>
    <mergeCell ref="D7:D8"/>
    <mergeCell ref="L7:L8"/>
    <mergeCell ref="M7:M8"/>
    <mergeCell ref="N7:N8"/>
    <mergeCell ref="O7:O8"/>
    <mergeCell ref="P7:P8"/>
    <mergeCell ref="Q7:Q8"/>
    <mergeCell ref="R7:R8"/>
    <mergeCell ref="S7:S8"/>
    <mergeCell ref="T7:T8"/>
    <mergeCell ref="U7:U8"/>
    <mergeCell ref="V7:V8"/>
    <mergeCell ref="W7:W8"/>
    <mergeCell ref="X7:X8"/>
    <mergeCell ref="Y7:Y8"/>
    <mergeCell ref="Z7:Z8"/>
    <mergeCell ref="AA7:AA8"/>
    <mergeCell ref="AB7:AB8"/>
    <mergeCell ref="AC7:AC8"/>
    <mergeCell ref="B9:B16"/>
    <mergeCell ref="C11:D11"/>
    <mergeCell ref="E11:E12"/>
    <mergeCell ref="F11:F12"/>
    <mergeCell ref="G11:G12"/>
    <mergeCell ref="H11:H12"/>
    <mergeCell ref="I11:I12"/>
    <mergeCell ref="J11:J12"/>
    <mergeCell ref="K11:K12"/>
    <mergeCell ref="C13:D13"/>
    <mergeCell ref="E13:E14"/>
    <mergeCell ref="F13:F14"/>
    <mergeCell ref="G13:G14"/>
    <mergeCell ref="H13:H14"/>
    <mergeCell ref="I13:I14"/>
    <mergeCell ref="J13:J14"/>
    <mergeCell ref="K13:K14"/>
    <mergeCell ref="B17:B26"/>
    <mergeCell ref="C17:D17"/>
    <mergeCell ref="E17:E18"/>
    <mergeCell ref="F17:F18"/>
    <mergeCell ref="G17:G18"/>
    <mergeCell ref="H17:H18"/>
    <mergeCell ref="I17:I18"/>
    <mergeCell ref="J17:J18"/>
    <mergeCell ref="K17:K18"/>
    <mergeCell ref="C19:D19"/>
    <mergeCell ref="E19:E20"/>
    <mergeCell ref="F19:F20"/>
    <mergeCell ref="G19:G20"/>
    <mergeCell ref="H19:H20"/>
    <mergeCell ref="I19:I20"/>
    <mergeCell ref="J19:J20"/>
    <mergeCell ref="K19:K20"/>
    <mergeCell ref="C21:D21"/>
    <mergeCell ref="E21:E22"/>
    <mergeCell ref="F21:F22"/>
    <mergeCell ref="G21:G22"/>
    <mergeCell ref="H21:H22"/>
    <mergeCell ref="I21:I22"/>
    <mergeCell ref="J21:J22"/>
    <mergeCell ref="C23:D23"/>
    <mergeCell ref="E23:E24"/>
    <mergeCell ref="F23:F24"/>
    <mergeCell ref="G23:G24"/>
    <mergeCell ref="H23:H24"/>
    <mergeCell ref="I23:I24"/>
    <mergeCell ref="J23:J24"/>
    <mergeCell ref="K23:K24"/>
    <mergeCell ref="C25:D25"/>
    <mergeCell ref="E25:E26"/>
    <mergeCell ref="F25:F26"/>
    <mergeCell ref="G25:G26"/>
    <mergeCell ref="H25:H26"/>
    <mergeCell ref="I25:I26"/>
    <mergeCell ref="J25:J26"/>
    <mergeCell ref="K25:K26"/>
    <mergeCell ref="H29:H30"/>
    <mergeCell ref="I29:I30"/>
    <mergeCell ref="J29:J30"/>
    <mergeCell ref="K29:K30"/>
    <mergeCell ref="C31:D31"/>
    <mergeCell ref="E31:E32"/>
    <mergeCell ref="F31:F32"/>
    <mergeCell ref="G31:G32"/>
    <mergeCell ref="H31:H32"/>
    <mergeCell ref="I31:I32"/>
    <mergeCell ref="J31:J32"/>
    <mergeCell ref="K31:K32"/>
    <mergeCell ref="B27:B28"/>
    <mergeCell ref="C27:D27"/>
    <mergeCell ref="E27:E28"/>
    <mergeCell ref="F27:F28"/>
    <mergeCell ref="G27:G28"/>
    <mergeCell ref="B29:B32"/>
    <mergeCell ref="C29:D29"/>
    <mergeCell ref="E29:E30"/>
    <mergeCell ref="F29:F30"/>
    <mergeCell ref="G29:G30"/>
  </mergeCells>
  <phoneticPr fontId="100" type="noConversion"/>
  <printOptions horizontalCentered="1"/>
  <pageMargins left="0.31496062992125984" right="0.31496062992125984" top="0.31496062992125984" bottom="0.31496062992125984" header="0" footer="0"/>
  <pageSetup paperSize="9" scale="58" orientation="landscape" r:id="rId1"/>
  <legacy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66FF"/>
    <pageSetUpPr fitToPage="1"/>
  </sheetPr>
  <dimension ref="A1:O43"/>
  <sheetViews>
    <sheetView zoomScaleNormal="100" workbookViewId="0">
      <pane ySplit="1" topLeftCell="A2" activePane="bottomLeft" state="frozen"/>
      <selection activeCell="B1" sqref="B1:O1"/>
      <selection pane="bottomLeft" activeCell="B1" sqref="B1:O1"/>
    </sheetView>
  </sheetViews>
  <sheetFormatPr defaultRowHeight="20.100000000000001" customHeight="1"/>
  <cols>
    <col min="1" max="1" width="1" style="625" customWidth="1"/>
    <col min="2" max="2" width="11" style="625" customWidth="1"/>
    <col min="3" max="3" width="12.125" style="235" customWidth="1"/>
    <col min="4" max="5" width="9.125" style="235" customWidth="1"/>
    <col min="6" max="6" width="10.875" style="235" customWidth="1"/>
    <col min="7" max="15" width="10.875" style="625" customWidth="1"/>
    <col min="16" max="16384" width="9" style="625"/>
  </cols>
  <sheetData>
    <row r="1" spans="1:15" ht="30" customHeight="1" thickBot="1">
      <c r="A1" s="311"/>
      <c r="B1" s="1083" t="s">
        <v>1373</v>
      </c>
      <c r="C1" s="1083"/>
      <c r="D1" s="1083"/>
      <c r="E1" s="1083"/>
      <c r="F1" s="1083"/>
      <c r="G1" s="1083"/>
      <c r="H1" s="1083"/>
      <c r="I1" s="1083"/>
      <c r="J1" s="1083"/>
      <c r="K1" s="1083"/>
      <c r="L1" s="1083"/>
      <c r="M1" s="1083"/>
      <c r="N1" s="1083"/>
      <c r="O1" s="1083"/>
    </row>
    <row r="2" spans="1:15" s="235" customFormat="1" ht="18" customHeight="1" thickTop="1">
      <c r="A2" s="65"/>
      <c r="B2" s="64"/>
      <c r="C2" s="64"/>
      <c r="D2" s="65"/>
      <c r="E2" s="65"/>
      <c r="F2" s="66"/>
      <c r="G2" s="66"/>
      <c r="H2" s="66"/>
      <c r="I2" s="66"/>
      <c r="J2" s="66"/>
      <c r="K2" s="65"/>
      <c r="L2" s="65"/>
      <c r="M2" s="65"/>
      <c r="N2" s="65"/>
      <c r="O2" s="65"/>
    </row>
    <row r="3" spans="1:15" ht="18" customHeight="1" thickBot="1">
      <c r="A3" s="66"/>
      <c r="B3" s="626" t="s">
        <v>1374</v>
      </c>
      <c r="C3" s="65"/>
      <c r="D3" s="65"/>
      <c r="E3" s="65"/>
      <c r="F3" s="66"/>
      <c r="G3" s="66"/>
      <c r="H3" s="66"/>
      <c r="I3" s="66"/>
      <c r="J3" s="66"/>
      <c r="K3" s="66"/>
      <c r="L3" s="66"/>
      <c r="M3" s="66"/>
      <c r="N3" s="66"/>
      <c r="O3" s="66"/>
    </row>
    <row r="4" spans="1:15" s="628" customFormat="1" ht="18" customHeight="1">
      <c r="A4" s="627"/>
      <c r="B4" s="1189" t="s">
        <v>1375</v>
      </c>
      <c r="C4" s="1190"/>
      <c r="D4" s="1198" t="s">
        <v>1376</v>
      </c>
      <c r="E4" s="1199"/>
      <c r="F4" s="1199"/>
      <c r="G4" s="1199"/>
      <c r="H4" s="1199"/>
      <c r="I4" s="1199"/>
      <c r="J4" s="1289"/>
      <c r="K4" s="1190" t="s">
        <v>1377</v>
      </c>
      <c r="L4" s="1190"/>
      <c r="M4" s="1190"/>
      <c r="N4" s="1190"/>
      <c r="O4" s="1191"/>
    </row>
    <row r="5" spans="1:15" s="628" customFormat="1" ht="18" customHeight="1">
      <c r="A5" s="627"/>
      <c r="B5" s="1192" t="s">
        <v>1378</v>
      </c>
      <c r="C5" s="1193"/>
      <c r="D5" s="629"/>
      <c r="E5" s="630"/>
      <c r="F5" s="630"/>
      <c r="G5" s="998" t="s">
        <v>1379</v>
      </c>
      <c r="H5" s="630"/>
      <c r="I5" s="630"/>
      <c r="J5" s="631"/>
      <c r="K5" s="1700"/>
      <c r="L5" s="1700"/>
      <c r="M5" s="1700"/>
      <c r="N5" s="1700"/>
      <c r="O5" s="1701"/>
    </row>
    <row r="6" spans="1:15" s="628" customFormat="1" ht="18" customHeight="1">
      <c r="A6" s="627"/>
      <c r="B6" s="1192" t="s">
        <v>1380</v>
      </c>
      <c r="C6" s="1193"/>
      <c r="D6" s="1702" t="s">
        <v>1381</v>
      </c>
      <c r="E6" s="1703"/>
      <c r="F6" s="1703"/>
      <c r="G6" s="1703" t="s">
        <v>1382</v>
      </c>
      <c r="H6" s="1703"/>
      <c r="I6" s="1703"/>
      <c r="J6" s="1704"/>
      <c r="K6" s="1700"/>
      <c r="L6" s="1700"/>
      <c r="M6" s="1700"/>
      <c r="N6" s="1700"/>
      <c r="O6" s="1701"/>
    </row>
    <row r="7" spans="1:15" s="628" customFormat="1" ht="18" customHeight="1">
      <c r="A7" s="627"/>
      <c r="B7" s="1192" t="s">
        <v>1383</v>
      </c>
      <c r="C7" s="1193"/>
      <c r="D7" s="1702" t="s">
        <v>1384</v>
      </c>
      <c r="E7" s="1703"/>
      <c r="F7" s="1703"/>
      <c r="G7" s="1703" t="s">
        <v>1384</v>
      </c>
      <c r="H7" s="1703"/>
      <c r="I7" s="1703"/>
      <c r="J7" s="1704"/>
      <c r="K7" s="1700"/>
      <c r="L7" s="1700"/>
      <c r="M7" s="1700"/>
      <c r="N7" s="1700"/>
      <c r="O7" s="1701"/>
    </row>
    <row r="8" spans="1:15" s="628" customFormat="1" ht="18" customHeight="1">
      <c r="A8" s="627"/>
      <c r="B8" s="1718" t="s">
        <v>1385</v>
      </c>
      <c r="C8" s="1719"/>
      <c r="D8" s="1707" t="s">
        <v>1386</v>
      </c>
      <c r="E8" s="1490"/>
      <c r="F8" s="1490"/>
      <c r="G8" s="1490"/>
      <c r="H8" s="1490"/>
      <c r="I8" s="1490"/>
      <c r="J8" s="1708"/>
      <c r="K8" s="1707" t="s">
        <v>1387</v>
      </c>
      <c r="L8" s="1490"/>
      <c r="M8" s="1490"/>
      <c r="N8" s="1490"/>
      <c r="O8" s="1696"/>
    </row>
    <row r="9" spans="1:15" s="628" customFormat="1" ht="18" customHeight="1" thickBot="1">
      <c r="A9" s="627"/>
      <c r="B9" s="1720"/>
      <c r="C9" s="1721"/>
      <c r="D9" s="1697" t="s">
        <v>1388</v>
      </c>
      <c r="E9" s="1698"/>
      <c r="F9" s="1698"/>
      <c r="G9" s="1698"/>
      <c r="H9" s="1698"/>
      <c r="I9" s="1698"/>
      <c r="J9" s="1723"/>
      <c r="K9" s="1697"/>
      <c r="L9" s="1698"/>
      <c r="M9" s="1698"/>
      <c r="N9" s="1698"/>
      <c r="O9" s="1722"/>
    </row>
    <row r="10" spans="1:15" ht="18" customHeight="1">
      <c r="A10" s="66"/>
      <c r="B10" s="66"/>
      <c r="C10" s="65"/>
      <c r="D10" s="65"/>
      <c r="E10" s="65"/>
      <c r="F10" s="66"/>
      <c r="G10" s="66"/>
      <c r="H10" s="66"/>
      <c r="I10" s="66"/>
      <c r="J10" s="66"/>
      <c r="K10" s="66"/>
      <c r="L10" s="66"/>
      <c r="M10" s="66"/>
      <c r="N10" s="66"/>
      <c r="O10" s="66"/>
    </row>
    <row r="11" spans="1:15" ht="18" customHeight="1" thickBot="1">
      <c r="A11" s="66"/>
      <c r="B11" s="626" t="s">
        <v>1389</v>
      </c>
      <c r="C11" s="65"/>
      <c r="D11" s="65"/>
      <c r="E11" s="65"/>
      <c r="F11" s="66"/>
      <c r="G11" s="66"/>
      <c r="H11" s="66"/>
      <c r="I11" s="66"/>
      <c r="J11" s="66"/>
      <c r="K11" s="66"/>
      <c r="L11" s="66"/>
      <c r="M11" s="66"/>
      <c r="N11" s="66"/>
      <c r="O11" s="66"/>
    </row>
    <row r="12" spans="1:15" s="628" customFormat="1" ht="18" customHeight="1">
      <c r="A12" s="627"/>
      <c r="B12" s="1189" t="s">
        <v>1375</v>
      </c>
      <c r="C12" s="1190"/>
      <c r="D12" s="1198" t="s">
        <v>1390</v>
      </c>
      <c r="E12" s="1199"/>
      <c r="F12" s="1199"/>
      <c r="G12" s="1199"/>
      <c r="H12" s="1199"/>
      <c r="I12" s="1199"/>
      <c r="J12" s="1289"/>
      <c r="K12" s="1190" t="s">
        <v>1391</v>
      </c>
      <c r="L12" s="1190"/>
      <c r="M12" s="1190"/>
      <c r="N12" s="1190"/>
      <c r="O12" s="1191"/>
    </row>
    <row r="13" spans="1:15" s="628" customFormat="1" ht="18" customHeight="1">
      <c r="A13" s="627"/>
      <c r="B13" s="1192" t="s">
        <v>1392</v>
      </c>
      <c r="C13" s="1193"/>
      <c r="D13" s="1707" t="s">
        <v>1393</v>
      </c>
      <c r="E13" s="1490"/>
      <c r="F13" s="1490"/>
      <c r="G13" s="1490"/>
      <c r="H13" s="1490"/>
      <c r="I13" s="1490"/>
      <c r="J13" s="1708"/>
      <c r="K13" s="1707" t="s">
        <v>1394</v>
      </c>
      <c r="L13" s="1490"/>
      <c r="M13" s="1490"/>
      <c r="N13" s="1490"/>
      <c r="O13" s="1696"/>
    </row>
    <row r="14" spans="1:15" s="628" customFormat="1" ht="18" customHeight="1">
      <c r="A14" s="627"/>
      <c r="B14" s="1192"/>
      <c r="C14" s="1193"/>
      <c r="D14" s="1724" t="s">
        <v>1395</v>
      </c>
      <c r="E14" s="1725"/>
      <c r="F14" s="1725"/>
      <c r="G14" s="1725"/>
      <c r="H14" s="1725"/>
      <c r="I14" s="1725"/>
      <c r="J14" s="1726"/>
      <c r="K14" s="1727" t="s">
        <v>1396</v>
      </c>
      <c r="L14" s="1728"/>
      <c r="M14" s="1728"/>
      <c r="N14" s="1728"/>
      <c r="O14" s="1729"/>
    </row>
    <row r="15" spans="1:15" s="628" customFormat="1" ht="18" customHeight="1">
      <c r="A15" s="627"/>
      <c r="B15" s="1705" t="s">
        <v>1397</v>
      </c>
      <c r="C15" s="1706"/>
      <c r="D15" s="1707" t="s">
        <v>1398</v>
      </c>
      <c r="E15" s="1490"/>
      <c r="F15" s="1490"/>
      <c r="G15" s="1490"/>
      <c r="H15" s="1490"/>
      <c r="I15" s="1490"/>
      <c r="J15" s="1708"/>
      <c r="K15" s="1712" t="s">
        <v>1399</v>
      </c>
      <c r="L15" s="1713"/>
      <c r="M15" s="1713"/>
      <c r="N15" s="1713"/>
      <c r="O15" s="1714"/>
    </row>
    <row r="16" spans="1:15" s="628" customFormat="1" ht="18" customHeight="1">
      <c r="A16" s="627"/>
      <c r="B16" s="1705"/>
      <c r="C16" s="1706"/>
      <c r="D16" s="1709"/>
      <c r="E16" s="1710"/>
      <c r="F16" s="1710"/>
      <c r="G16" s="1710"/>
      <c r="H16" s="1710"/>
      <c r="I16" s="1710"/>
      <c r="J16" s="1711"/>
      <c r="K16" s="1715" t="s">
        <v>1400</v>
      </c>
      <c r="L16" s="1716"/>
      <c r="M16" s="1716"/>
      <c r="N16" s="1716"/>
      <c r="O16" s="1717"/>
    </row>
    <row r="17" spans="1:15" s="628" customFormat="1" ht="18" customHeight="1">
      <c r="A17" s="627"/>
      <c r="B17" s="1694" t="s">
        <v>1401</v>
      </c>
      <c r="C17" s="1193"/>
      <c r="D17" s="1707" t="s">
        <v>1402</v>
      </c>
      <c r="E17" s="1490"/>
      <c r="F17" s="1490"/>
      <c r="G17" s="1490"/>
      <c r="H17" s="1490"/>
      <c r="I17" s="1490"/>
      <c r="J17" s="1708"/>
      <c r="K17" s="1707"/>
      <c r="L17" s="1490"/>
      <c r="M17" s="1490"/>
      <c r="N17" s="1490"/>
      <c r="O17" s="1696"/>
    </row>
    <row r="18" spans="1:15" s="628" customFormat="1" ht="18" customHeight="1">
      <c r="A18" s="627"/>
      <c r="B18" s="1192"/>
      <c r="C18" s="1193"/>
      <c r="D18" s="1709" t="s">
        <v>1403</v>
      </c>
      <c r="E18" s="1710"/>
      <c r="F18" s="1710"/>
      <c r="G18" s="1710"/>
      <c r="H18" s="1710"/>
      <c r="I18" s="1710"/>
      <c r="J18" s="1711"/>
      <c r="K18" s="1709"/>
      <c r="L18" s="1710"/>
      <c r="M18" s="1710"/>
      <c r="N18" s="1710"/>
      <c r="O18" s="1730"/>
    </row>
    <row r="19" spans="1:15" s="628" customFormat="1" ht="18" customHeight="1">
      <c r="A19" s="627"/>
      <c r="B19" s="1192" t="s">
        <v>1404</v>
      </c>
      <c r="C19" s="1193"/>
      <c r="D19" s="1707" t="s">
        <v>23</v>
      </c>
      <c r="E19" s="1490"/>
      <c r="F19" s="1490"/>
      <c r="G19" s="1490" t="s">
        <v>1405</v>
      </c>
      <c r="H19" s="1490"/>
      <c r="I19" s="1490"/>
      <c r="J19" s="1708"/>
      <c r="K19" s="1707"/>
      <c r="L19" s="1490"/>
      <c r="M19" s="1490"/>
      <c r="N19" s="1490"/>
      <c r="O19" s="1696"/>
    </row>
    <row r="20" spans="1:15" s="628" customFormat="1" ht="18" customHeight="1" thickBot="1">
      <c r="A20" s="627"/>
      <c r="B20" s="1184"/>
      <c r="C20" s="1185"/>
      <c r="D20" s="1697" t="s">
        <v>1406</v>
      </c>
      <c r="E20" s="1698"/>
      <c r="F20" s="1698"/>
      <c r="G20" s="1698"/>
      <c r="H20" s="1698"/>
      <c r="I20" s="1698"/>
      <c r="J20" s="1723"/>
      <c r="K20" s="1697"/>
      <c r="L20" s="1698"/>
      <c r="M20" s="1698"/>
      <c r="N20" s="1698"/>
      <c r="O20" s="1722"/>
    </row>
    <row r="21" spans="1:15" ht="18" customHeight="1">
      <c r="A21" s="66"/>
      <c r="B21" s="502"/>
      <c r="C21" s="1015"/>
      <c r="D21" s="1015"/>
      <c r="E21" s="65"/>
      <c r="F21" s="66"/>
      <c r="G21" s="66"/>
      <c r="H21" s="66"/>
      <c r="I21" s="66"/>
      <c r="J21" s="66"/>
      <c r="K21" s="66"/>
      <c r="L21" s="66"/>
      <c r="M21" s="66"/>
      <c r="N21" s="66"/>
      <c r="O21" s="66"/>
    </row>
    <row r="22" spans="1:15" ht="18" customHeight="1" thickBot="1">
      <c r="A22" s="66"/>
      <c r="B22" s="626" t="s">
        <v>1407</v>
      </c>
      <c r="C22" s="65"/>
      <c r="D22" s="65"/>
      <c r="E22" s="65"/>
      <c r="F22" s="66"/>
      <c r="G22" s="66"/>
      <c r="H22" s="66"/>
      <c r="I22" s="66"/>
      <c r="J22" s="66"/>
      <c r="K22" s="66"/>
      <c r="L22" s="66"/>
      <c r="M22" s="66"/>
      <c r="N22" s="66"/>
      <c r="O22" s="66"/>
    </row>
    <row r="23" spans="1:15" s="628" customFormat="1" ht="18" customHeight="1">
      <c r="A23" s="627"/>
      <c r="B23" s="1288" t="s">
        <v>1408</v>
      </c>
      <c r="C23" s="1289"/>
      <c r="D23" s="1198" t="s">
        <v>1409</v>
      </c>
      <c r="E23" s="1199"/>
      <c r="F23" s="1199"/>
      <c r="G23" s="1199"/>
      <c r="H23" s="1199"/>
      <c r="I23" s="1199"/>
      <c r="J23" s="1289"/>
      <c r="K23" s="1198" t="s">
        <v>1410</v>
      </c>
      <c r="L23" s="1199"/>
      <c r="M23" s="1199"/>
      <c r="N23" s="1199"/>
      <c r="O23" s="1200"/>
    </row>
    <row r="24" spans="1:15" s="628" customFormat="1" ht="18" customHeight="1">
      <c r="A24" s="627"/>
      <c r="B24" s="1512" t="s">
        <v>1411</v>
      </c>
      <c r="C24" s="1734"/>
      <c r="D24" s="629"/>
      <c r="E24" s="632"/>
      <c r="F24" s="632"/>
      <c r="G24" s="997" t="s">
        <v>1412</v>
      </c>
      <c r="H24" s="632"/>
      <c r="I24" s="632"/>
      <c r="J24" s="632"/>
      <c r="K24" s="1702" t="s">
        <v>1413</v>
      </c>
      <c r="L24" s="1703"/>
      <c r="M24" s="1703"/>
      <c r="N24" s="1703"/>
      <c r="O24" s="1735"/>
    </row>
    <row r="25" spans="1:15" s="628" customFormat="1" ht="18" customHeight="1">
      <c r="A25" s="627"/>
      <c r="B25" s="1731" t="s">
        <v>1414</v>
      </c>
      <c r="C25" s="1732"/>
      <c r="D25" s="1707" t="s">
        <v>1415</v>
      </c>
      <c r="E25" s="1490"/>
      <c r="F25" s="1490"/>
      <c r="G25" s="1490"/>
      <c r="H25" s="1490"/>
      <c r="I25" s="1490"/>
      <c r="J25" s="1708"/>
      <c r="K25" s="1712" t="s">
        <v>1399</v>
      </c>
      <c r="L25" s="1713"/>
      <c r="M25" s="1713"/>
      <c r="N25" s="1713"/>
      <c r="O25" s="1714"/>
    </row>
    <row r="26" spans="1:15" s="628" customFormat="1" ht="18" customHeight="1">
      <c r="A26" s="627"/>
      <c r="B26" s="1731"/>
      <c r="C26" s="1732"/>
      <c r="D26" s="633"/>
      <c r="E26" s="634"/>
      <c r="F26" s="634"/>
      <c r="G26" s="1009" t="s">
        <v>1416</v>
      </c>
      <c r="H26" s="634"/>
      <c r="I26" s="634"/>
      <c r="J26" s="635"/>
      <c r="K26" s="1724" t="s">
        <v>1417</v>
      </c>
      <c r="L26" s="1725"/>
      <c r="M26" s="1725"/>
      <c r="N26" s="1725"/>
      <c r="O26" s="1733"/>
    </row>
    <row r="27" spans="1:15" s="628" customFormat="1" ht="18" customHeight="1">
      <c r="A27" s="627"/>
      <c r="B27" s="1731"/>
      <c r="C27" s="1732"/>
      <c r="D27" s="636"/>
      <c r="E27" s="637"/>
      <c r="F27" s="637"/>
      <c r="G27" s="1008" t="s">
        <v>1418</v>
      </c>
      <c r="H27" s="637"/>
      <c r="I27" s="637"/>
      <c r="J27" s="637"/>
      <c r="K27" s="1709" t="s">
        <v>1419</v>
      </c>
      <c r="L27" s="1710"/>
      <c r="M27" s="1710"/>
      <c r="N27" s="1710"/>
      <c r="O27" s="1730"/>
    </row>
    <row r="28" spans="1:15" s="628" customFormat="1" ht="18" customHeight="1">
      <c r="A28" s="627"/>
      <c r="B28" s="1512" t="s">
        <v>1420</v>
      </c>
      <c r="C28" s="1734"/>
      <c r="D28" s="1707" t="s">
        <v>1421</v>
      </c>
      <c r="E28" s="1490"/>
      <c r="F28" s="1490"/>
      <c r="G28" s="1490"/>
      <c r="H28" s="1490"/>
      <c r="I28" s="1490"/>
      <c r="J28" s="1708"/>
      <c r="K28" s="1712" t="s">
        <v>1422</v>
      </c>
      <c r="L28" s="1713"/>
      <c r="M28" s="1713"/>
      <c r="N28" s="1713"/>
      <c r="O28" s="1714"/>
    </row>
    <row r="29" spans="1:15" s="628" customFormat="1" ht="18" customHeight="1">
      <c r="A29" s="627"/>
      <c r="B29" s="1512"/>
      <c r="C29" s="1734"/>
      <c r="D29" s="1739" t="s">
        <v>1423</v>
      </c>
      <c r="E29" s="1740"/>
      <c r="F29" s="1740"/>
      <c r="G29" s="1740"/>
      <c r="H29" s="1740"/>
      <c r="I29" s="1740"/>
      <c r="J29" s="1711"/>
      <c r="K29" s="1736"/>
      <c r="L29" s="1737"/>
      <c r="M29" s="1737"/>
      <c r="N29" s="1737"/>
      <c r="O29" s="1738"/>
    </row>
    <row r="30" spans="1:15" s="628" customFormat="1" ht="18" customHeight="1" thickBot="1">
      <c r="A30" s="627"/>
      <c r="B30" s="1741" t="s">
        <v>1424</v>
      </c>
      <c r="C30" s="1742"/>
      <c r="D30" s="1743" t="s">
        <v>1425</v>
      </c>
      <c r="E30" s="1744"/>
      <c r="F30" s="1744"/>
      <c r="G30" s="1744"/>
      <c r="H30" s="1744"/>
      <c r="I30" s="1744"/>
      <c r="J30" s="1744"/>
      <c r="K30" s="1744"/>
      <c r="L30" s="1744"/>
      <c r="M30" s="1744"/>
      <c r="N30" s="1744"/>
      <c r="O30" s="1745"/>
    </row>
    <row r="31" spans="1:15" s="628" customFormat="1" ht="18" customHeight="1">
      <c r="A31" s="627"/>
      <c r="B31" s="627"/>
      <c r="C31" s="502"/>
      <c r="D31" s="1015"/>
      <c r="E31" s="1015"/>
      <c r="F31" s="1015"/>
      <c r="G31" s="1015"/>
      <c r="H31" s="1015"/>
      <c r="I31" s="1015"/>
      <c r="J31" s="1015"/>
      <c r="K31" s="638"/>
      <c r="L31" s="638"/>
      <c r="M31" s="638"/>
      <c r="N31" s="638"/>
      <c r="O31" s="638"/>
    </row>
    <row r="32" spans="1:15" s="235" customFormat="1" ht="18" customHeight="1" thickBot="1">
      <c r="A32" s="65"/>
      <c r="B32" s="626" t="s">
        <v>1426</v>
      </c>
      <c r="C32" s="65"/>
      <c r="D32" s="65"/>
      <c r="E32" s="617"/>
      <c r="F32" s="66"/>
      <c r="G32" s="66"/>
      <c r="H32" s="66"/>
      <c r="I32" s="66"/>
      <c r="J32" s="66"/>
      <c r="K32" s="65"/>
      <c r="L32" s="65"/>
      <c r="M32" s="65"/>
      <c r="N32" s="65"/>
      <c r="O32" s="65"/>
    </row>
    <row r="33" spans="1:15" s="628" customFormat="1" ht="18" customHeight="1">
      <c r="A33" s="627"/>
      <c r="B33" s="1189" t="s">
        <v>1427</v>
      </c>
      <c r="C33" s="1190"/>
      <c r="D33" s="1190" t="s">
        <v>1428</v>
      </c>
      <c r="E33" s="1190"/>
      <c r="F33" s="1190"/>
      <c r="G33" s="1190"/>
      <c r="H33" s="1190"/>
      <c r="I33" s="1190"/>
      <c r="J33" s="1190"/>
      <c r="K33" s="1190" t="s">
        <v>1429</v>
      </c>
      <c r="L33" s="1190"/>
      <c r="M33" s="1190"/>
      <c r="N33" s="1190"/>
      <c r="O33" s="1191"/>
    </row>
    <row r="34" spans="1:15" s="628" customFormat="1" ht="18" customHeight="1">
      <c r="A34" s="627"/>
      <c r="B34" s="1265" t="s">
        <v>1430</v>
      </c>
      <c r="C34" s="1266"/>
      <c r="D34" s="1746" t="s">
        <v>38</v>
      </c>
      <c r="E34" s="1747"/>
      <c r="F34" s="1747"/>
      <c r="G34" s="1747"/>
      <c r="H34" s="1747"/>
      <c r="I34" s="1747"/>
      <c r="J34" s="1748"/>
      <c r="K34" s="1746" t="s">
        <v>39</v>
      </c>
      <c r="L34" s="1747"/>
      <c r="M34" s="1747"/>
      <c r="N34" s="1747"/>
      <c r="O34" s="1749"/>
    </row>
    <row r="35" spans="1:15" s="628" customFormat="1" ht="21.75" customHeight="1">
      <c r="A35" s="627"/>
      <c r="B35" s="1267"/>
      <c r="C35" s="1268"/>
      <c r="D35" s="1750" t="s">
        <v>1431</v>
      </c>
      <c r="E35" s="1489"/>
      <c r="F35" s="1489"/>
      <c r="G35" s="1489"/>
      <c r="H35" s="1489"/>
      <c r="I35" s="1489"/>
      <c r="J35" s="1751"/>
      <c r="K35" s="1752" t="s">
        <v>1432</v>
      </c>
      <c r="L35" s="1753"/>
      <c r="M35" s="1753"/>
      <c r="N35" s="1753"/>
      <c r="O35" s="1754"/>
    </row>
    <row r="36" spans="1:15" s="628" customFormat="1" ht="18" customHeight="1">
      <c r="A36" s="627"/>
      <c r="B36" s="1267"/>
      <c r="C36" s="1268"/>
      <c r="D36" s="1755" t="s">
        <v>1433</v>
      </c>
      <c r="E36" s="1756"/>
      <c r="F36" s="1756"/>
      <c r="G36" s="1756"/>
      <c r="H36" s="1756"/>
      <c r="I36" s="1756"/>
      <c r="J36" s="1757"/>
      <c r="K36" s="1758" t="s">
        <v>1434</v>
      </c>
      <c r="L36" s="1759"/>
      <c r="M36" s="1759"/>
      <c r="N36" s="1759"/>
      <c r="O36" s="1760"/>
    </row>
    <row r="37" spans="1:15" s="628" customFormat="1" ht="18" customHeight="1">
      <c r="A37" s="627"/>
      <c r="B37" s="1265" t="s">
        <v>1435</v>
      </c>
      <c r="C37" s="1266"/>
      <c r="D37" s="1762" t="s">
        <v>1436</v>
      </c>
      <c r="E37" s="1763"/>
      <c r="F37" s="1763"/>
      <c r="G37" s="1763"/>
      <c r="H37" s="1763"/>
      <c r="I37" s="1763"/>
      <c r="J37" s="1764"/>
      <c r="K37" s="1765" t="s">
        <v>1437</v>
      </c>
      <c r="L37" s="1766"/>
      <c r="M37" s="1766"/>
      <c r="N37" s="1766"/>
      <c r="O37" s="1767"/>
    </row>
    <row r="38" spans="1:15" s="628" customFormat="1" ht="19.5" customHeight="1">
      <c r="A38" s="627"/>
      <c r="B38" s="1267"/>
      <c r="C38" s="1268"/>
      <c r="D38" s="1752" t="s">
        <v>1438</v>
      </c>
      <c r="E38" s="1725"/>
      <c r="F38" s="1725"/>
      <c r="G38" s="1725"/>
      <c r="H38" s="1725"/>
      <c r="I38" s="1725"/>
      <c r="J38" s="1726"/>
      <c r="K38" s="1724"/>
      <c r="L38" s="1725"/>
      <c r="M38" s="1725"/>
      <c r="N38" s="1725"/>
      <c r="O38" s="1733"/>
    </row>
    <row r="39" spans="1:15" s="628" customFormat="1" ht="19.5" customHeight="1">
      <c r="A39" s="627"/>
      <c r="B39" s="1454"/>
      <c r="C39" s="1455"/>
      <c r="D39" s="1709"/>
      <c r="E39" s="1710"/>
      <c r="F39" s="1710"/>
      <c r="G39" s="1710"/>
      <c r="H39" s="1710"/>
      <c r="I39" s="1710"/>
      <c r="J39" s="1711"/>
      <c r="K39" s="1709"/>
      <c r="L39" s="1710"/>
      <c r="M39" s="1710"/>
      <c r="N39" s="1710"/>
      <c r="O39" s="1730"/>
    </row>
    <row r="40" spans="1:15" ht="18" customHeight="1">
      <c r="A40" s="627"/>
      <c r="B40" s="1192" t="s">
        <v>1439</v>
      </c>
      <c r="C40" s="1193"/>
      <c r="D40" s="1761" t="s">
        <v>1440</v>
      </c>
      <c r="E40" s="1761"/>
      <c r="F40" s="1761"/>
      <c r="G40" s="1761"/>
      <c r="H40" s="1761"/>
      <c r="I40" s="1761"/>
      <c r="J40" s="1761"/>
      <c r="K40" s="1770" t="s">
        <v>40</v>
      </c>
      <c r="L40" s="1771"/>
      <c r="M40" s="1771"/>
      <c r="N40" s="1771"/>
      <c r="O40" s="1772"/>
    </row>
    <row r="41" spans="1:15" ht="18" customHeight="1">
      <c r="A41" s="627"/>
      <c r="B41" s="1768"/>
      <c r="C41" s="1769"/>
      <c r="D41" s="1750" t="s">
        <v>41</v>
      </c>
      <c r="E41" s="1750"/>
      <c r="F41" s="1750"/>
      <c r="G41" s="1750"/>
      <c r="H41" s="1750"/>
      <c r="I41" s="1750"/>
      <c r="J41" s="1750"/>
      <c r="K41" s="1773"/>
      <c r="L41" s="1773"/>
      <c r="M41" s="1773"/>
      <c r="N41" s="1773"/>
      <c r="O41" s="1774"/>
    </row>
    <row r="42" spans="1:15" ht="18" customHeight="1">
      <c r="A42" s="627"/>
      <c r="B42" s="1694" t="s">
        <v>1441</v>
      </c>
      <c r="C42" s="1193"/>
      <c r="D42" s="1695" t="s">
        <v>1442</v>
      </c>
      <c r="E42" s="1490"/>
      <c r="F42" s="1490"/>
      <c r="G42" s="1490"/>
      <c r="H42" s="1490"/>
      <c r="I42" s="1490"/>
      <c r="J42" s="1490"/>
      <c r="K42" s="1490"/>
      <c r="L42" s="1490"/>
      <c r="M42" s="1490"/>
      <c r="N42" s="1490"/>
      <c r="O42" s="1696"/>
    </row>
    <row r="43" spans="1:15" ht="24.95" customHeight="1" thickBot="1">
      <c r="A43" s="627"/>
      <c r="B43" s="1184"/>
      <c r="C43" s="1185"/>
      <c r="D43" s="1697"/>
      <c r="E43" s="1698"/>
      <c r="F43" s="1698"/>
      <c r="G43" s="1698"/>
      <c r="H43" s="1698"/>
      <c r="I43" s="1698"/>
      <c r="J43" s="1698"/>
      <c r="K43" s="1698"/>
      <c r="L43" s="1698"/>
      <c r="M43" s="1698"/>
      <c r="N43" s="1698"/>
      <c r="O43" s="1699"/>
    </row>
  </sheetData>
  <mergeCells count="72">
    <mergeCell ref="D40:J40"/>
    <mergeCell ref="B37:C39"/>
    <mergeCell ref="D37:J37"/>
    <mergeCell ref="K37:O39"/>
    <mergeCell ref="D38:J39"/>
    <mergeCell ref="B40:C41"/>
    <mergeCell ref="K40:O41"/>
    <mergeCell ref="D41:J41"/>
    <mergeCell ref="B33:C33"/>
    <mergeCell ref="D33:J33"/>
    <mergeCell ref="K33:O33"/>
    <mergeCell ref="B34:C36"/>
    <mergeCell ref="D34:J34"/>
    <mergeCell ref="K34:O34"/>
    <mergeCell ref="D35:J35"/>
    <mergeCell ref="K35:O35"/>
    <mergeCell ref="D36:J36"/>
    <mergeCell ref="K36:O36"/>
    <mergeCell ref="B28:C29"/>
    <mergeCell ref="D28:J28"/>
    <mergeCell ref="K28:O29"/>
    <mergeCell ref="D29:J29"/>
    <mergeCell ref="B30:C30"/>
    <mergeCell ref="D30:O30"/>
    <mergeCell ref="B23:C23"/>
    <mergeCell ref="D23:J23"/>
    <mergeCell ref="K23:O23"/>
    <mergeCell ref="B24:C24"/>
    <mergeCell ref="K24:O24"/>
    <mergeCell ref="B25:C27"/>
    <mergeCell ref="D25:J25"/>
    <mergeCell ref="K25:O25"/>
    <mergeCell ref="K26:O26"/>
    <mergeCell ref="K27:O27"/>
    <mergeCell ref="B17:C18"/>
    <mergeCell ref="D17:J17"/>
    <mergeCell ref="K17:O18"/>
    <mergeCell ref="D18:J18"/>
    <mergeCell ref="B19:C20"/>
    <mergeCell ref="D19:J19"/>
    <mergeCell ref="K19:O20"/>
    <mergeCell ref="D20:J20"/>
    <mergeCell ref="K15:O15"/>
    <mergeCell ref="K16:O16"/>
    <mergeCell ref="B8:C9"/>
    <mergeCell ref="D8:J8"/>
    <mergeCell ref="K8:O9"/>
    <mergeCell ref="D9:J9"/>
    <mergeCell ref="B12:C12"/>
    <mergeCell ref="D12:J12"/>
    <mergeCell ref="K12:O12"/>
    <mergeCell ref="B13:C14"/>
    <mergeCell ref="D13:J13"/>
    <mergeCell ref="K13:O13"/>
    <mergeCell ref="D14:J14"/>
    <mergeCell ref="K14:O14"/>
    <mergeCell ref="B42:C43"/>
    <mergeCell ref="D42:O43"/>
    <mergeCell ref="B1:O1"/>
    <mergeCell ref="B4:C4"/>
    <mergeCell ref="D4:J4"/>
    <mergeCell ref="K4:O4"/>
    <mergeCell ref="B5:C5"/>
    <mergeCell ref="K5:O5"/>
    <mergeCell ref="B6:C6"/>
    <mergeCell ref="D6:J6"/>
    <mergeCell ref="K6:O6"/>
    <mergeCell ref="B7:C7"/>
    <mergeCell ref="D7:J7"/>
    <mergeCell ref="K7:O7"/>
    <mergeCell ref="B15:C16"/>
    <mergeCell ref="D15:J16"/>
  </mergeCells>
  <phoneticPr fontId="100" type="noConversion"/>
  <printOptions horizontalCentered="1"/>
  <pageMargins left="0.31496062992125984" right="0.31496062992125984" top="0.31496062992125984" bottom="0.31496062992125984" header="0" footer="0"/>
  <pageSetup paperSize="9" scale="68"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K52"/>
  <sheetViews>
    <sheetView zoomScaleNormal="100" workbookViewId="0">
      <selection activeCell="B1" sqref="B1:AK1"/>
    </sheetView>
  </sheetViews>
  <sheetFormatPr defaultRowHeight="18" customHeight="1"/>
  <cols>
    <col min="1" max="1" width="1.125" style="625" customWidth="1"/>
    <col min="2" max="3" width="8.375" style="625" customWidth="1"/>
    <col min="4" max="5" width="8.375" style="235" customWidth="1"/>
    <col min="6" max="7" width="5.5" style="235" customWidth="1"/>
    <col min="8" max="8" width="8.875" style="235" bestFit="1" customWidth="1"/>
    <col min="9" max="9" width="7.375" style="235" customWidth="1"/>
    <col min="10" max="10" width="8.875" style="235" bestFit="1" customWidth="1"/>
    <col min="11" max="11" width="9.125" style="625" customWidth="1"/>
    <col min="12" max="14" width="5.5" style="625" customWidth="1"/>
    <col min="15" max="15" width="7.25" style="625" customWidth="1"/>
    <col min="16" max="19" width="5" style="625" customWidth="1"/>
    <col min="20" max="34" width="7.875" style="625" customWidth="1"/>
    <col min="35" max="16384" width="9" style="625"/>
  </cols>
  <sheetData>
    <row r="1" spans="1:37" ht="30" customHeight="1" thickBot="1">
      <c r="A1" s="136"/>
      <c r="B1" s="1083" t="s">
        <v>1527</v>
      </c>
      <c r="C1" s="1083"/>
      <c r="D1" s="1083"/>
      <c r="E1" s="1083"/>
      <c r="F1" s="1083"/>
      <c r="G1" s="1083"/>
      <c r="H1" s="1083"/>
      <c r="I1" s="1083"/>
      <c r="J1" s="1083"/>
      <c r="K1" s="1083"/>
      <c r="L1" s="1083"/>
      <c r="M1" s="1083"/>
      <c r="N1" s="1083"/>
      <c r="O1" s="1083"/>
      <c r="P1" s="1083"/>
      <c r="Q1" s="1083"/>
      <c r="R1" s="1083"/>
      <c r="S1" s="1083"/>
      <c r="T1" s="1083"/>
      <c r="U1" s="1083"/>
      <c r="V1" s="1083"/>
      <c r="W1" s="1083"/>
      <c r="X1" s="1083"/>
      <c r="Y1" s="1083"/>
      <c r="Z1" s="1083"/>
      <c r="AA1" s="1083"/>
      <c r="AB1" s="1083"/>
      <c r="AC1" s="1083"/>
      <c r="AD1" s="1083"/>
      <c r="AE1" s="1083"/>
      <c r="AF1" s="1083"/>
      <c r="AG1" s="1083"/>
      <c r="AH1" s="1083"/>
      <c r="AI1" s="1083"/>
      <c r="AJ1" s="1083"/>
      <c r="AK1" s="1083"/>
    </row>
    <row r="2" spans="1:37" s="235" customFormat="1" ht="6" customHeight="1" thickTop="1">
      <c r="A2" s="65"/>
      <c r="B2" s="64"/>
      <c r="C2" s="64"/>
      <c r="D2" s="64"/>
      <c r="E2" s="64"/>
      <c r="F2" s="64"/>
      <c r="G2" s="64"/>
      <c r="H2" s="65"/>
      <c r="I2" s="65"/>
      <c r="J2" s="66"/>
      <c r="K2" s="66"/>
      <c r="L2" s="65"/>
      <c r="M2" s="65"/>
      <c r="N2" s="65"/>
      <c r="O2" s="65"/>
      <c r="P2" s="65"/>
      <c r="Q2" s="65"/>
      <c r="R2" s="65"/>
      <c r="S2" s="65"/>
      <c r="T2" s="65"/>
      <c r="U2" s="65"/>
      <c r="V2" s="65"/>
      <c r="W2" s="65"/>
      <c r="X2" s="65"/>
      <c r="Y2" s="65"/>
      <c r="Z2" s="65"/>
      <c r="AA2" s="65"/>
      <c r="AB2" s="65"/>
      <c r="AC2" s="65"/>
      <c r="AD2" s="65"/>
      <c r="AE2" s="65"/>
      <c r="AF2" s="65"/>
      <c r="AG2" s="65"/>
      <c r="AH2" s="65"/>
    </row>
    <row r="3" spans="1:37" s="262" customFormat="1" ht="18" customHeight="1">
      <c r="B3" s="350" t="s">
        <v>1443</v>
      </c>
      <c r="C3" s="261"/>
      <c r="D3" s="261"/>
      <c r="E3" s="261"/>
      <c r="F3" s="261"/>
      <c r="G3" s="261"/>
      <c r="M3" s="263"/>
      <c r="N3" s="263"/>
      <c r="O3" s="263"/>
      <c r="P3" s="263"/>
    </row>
    <row r="4" spans="1:37" s="235" customFormat="1" ht="6" customHeight="1" thickBot="1">
      <c r="A4" s="65"/>
      <c r="B4" s="64"/>
      <c r="C4" s="64"/>
      <c r="D4" s="64"/>
      <c r="E4" s="64"/>
      <c r="F4" s="64"/>
      <c r="G4" s="64"/>
      <c r="H4" s="65"/>
      <c r="I4" s="65"/>
      <c r="J4" s="66"/>
      <c r="K4" s="66"/>
      <c r="L4" s="65"/>
      <c r="M4" s="65"/>
      <c r="N4" s="65"/>
      <c r="O4" s="65"/>
      <c r="P4" s="65"/>
      <c r="Q4" s="65"/>
      <c r="R4" s="65"/>
      <c r="S4" s="65"/>
      <c r="T4" s="65"/>
      <c r="U4" s="65"/>
      <c r="V4" s="65"/>
      <c r="W4" s="65"/>
      <c r="X4" s="65"/>
      <c r="Y4" s="65"/>
      <c r="Z4" s="65"/>
      <c r="AA4" s="65"/>
      <c r="AB4" s="65"/>
      <c r="AC4" s="65"/>
      <c r="AD4" s="65"/>
      <c r="AE4" s="65"/>
      <c r="AF4" s="65"/>
      <c r="AG4" s="65"/>
      <c r="AH4" s="65"/>
    </row>
    <row r="5" spans="1:37" s="66" customFormat="1" ht="18" customHeight="1">
      <c r="A5" s="323"/>
      <c r="B5" s="1834" t="s">
        <v>1444</v>
      </c>
      <c r="C5" s="1835"/>
      <c r="D5" s="1835"/>
      <c r="E5" s="1836"/>
      <c r="F5" s="1820" t="s">
        <v>1445</v>
      </c>
      <c r="G5" s="1822"/>
      <c r="H5" s="1821" t="s">
        <v>1446</v>
      </c>
      <c r="I5" s="1837"/>
      <c r="J5" s="1837"/>
      <c r="K5" s="639" t="s">
        <v>1447</v>
      </c>
      <c r="L5" s="1819" t="s">
        <v>1448</v>
      </c>
      <c r="M5" s="1820"/>
      <c r="N5" s="1820"/>
      <c r="O5" s="1821"/>
      <c r="P5" s="1819" t="s">
        <v>1449</v>
      </c>
      <c r="Q5" s="1820"/>
      <c r="R5" s="1820"/>
      <c r="S5" s="1822"/>
      <c r="T5" s="1823" t="s">
        <v>1450</v>
      </c>
      <c r="U5" s="1824"/>
      <c r="V5" s="1824"/>
      <c r="W5" s="1825" t="s">
        <v>1451</v>
      </c>
      <c r="X5" s="1826"/>
      <c r="Y5" s="640">
        <v>0.93</v>
      </c>
      <c r="Z5" s="1825" t="s">
        <v>1452</v>
      </c>
      <c r="AA5" s="1826"/>
      <c r="AB5" s="640">
        <v>0.86</v>
      </c>
      <c r="AC5" s="1827" t="s">
        <v>1453</v>
      </c>
      <c r="AD5" s="1826"/>
      <c r="AE5" s="641">
        <v>0.83</v>
      </c>
      <c r="AF5" s="1825" t="s">
        <v>1454</v>
      </c>
      <c r="AG5" s="1826"/>
      <c r="AH5" s="640">
        <v>0.75</v>
      </c>
      <c r="AI5" s="1823" t="s">
        <v>1455</v>
      </c>
      <c r="AJ5" s="1828"/>
      <c r="AK5" s="640">
        <v>0.7</v>
      </c>
    </row>
    <row r="6" spans="1:37" s="66" customFormat="1" ht="24.95" customHeight="1" thickBot="1">
      <c r="A6" s="323"/>
      <c r="B6" s="989" t="s">
        <v>1456</v>
      </c>
      <c r="C6" s="990" t="s">
        <v>1457</v>
      </c>
      <c r="D6" s="990" t="s">
        <v>1458</v>
      </c>
      <c r="E6" s="642" t="s">
        <v>1459</v>
      </c>
      <c r="F6" s="643" t="s">
        <v>1460</v>
      </c>
      <c r="G6" s="642" t="s">
        <v>1461</v>
      </c>
      <c r="H6" s="644" t="s">
        <v>1462</v>
      </c>
      <c r="I6" s="645" t="s">
        <v>1463</v>
      </c>
      <c r="J6" s="645" t="s">
        <v>1464</v>
      </c>
      <c r="K6" s="436">
        <v>3.2</v>
      </c>
      <c r="L6" s="1058" t="s">
        <v>1465</v>
      </c>
      <c r="M6" s="1059" t="s">
        <v>1466</v>
      </c>
      <c r="N6" s="1060" t="s">
        <v>1467</v>
      </c>
      <c r="O6" s="1061" t="s">
        <v>1468</v>
      </c>
      <c r="P6" s="646" t="s">
        <v>1469</v>
      </c>
      <c r="Q6" s="647" t="s">
        <v>1470</v>
      </c>
      <c r="R6" s="647" t="s">
        <v>1471</v>
      </c>
      <c r="S6" s="648" t="s">
        <v>1472</v>
      </c>
      <c r="T6" s="834" t="s">
        <v>1473</v>
      </c>
      <c r="U6" s="835" t="s">
        <v>1474</v>
      </c>
      <c r="V6" s="836" t="s">
        <v>1475</v>
      </c>
      <c r="W6" s="834" t="s">
        <v>1476</v>
      </c>
      <c r="X6" s="835" t="s">
        <v>1477</v>
      </c>
      <c r="Y6" s="836" t="s">
        <v>1478</v>
      </c>
      <c r="Z6" s="834" t="s">
        <v>1479</v>
      </c>
      <c r="AA6" s="835" t="s">
        <v>1480</v>
      </c>
      <c r="AB6" s="836" t="s">
        <v>1481</v>
      </c>
      <c r="AC6" s="834" t="s">
        <v>1482</v>
      </c>
      <c r="AD6" s="835" t="s">
        <v>1483</v>
      </c>
      <c r="AE6" s="836" t="s">
        <v>1484</v>
      </c>
      <c r="AF6" s="834" t="s">
        <v>1485</v>
      </c>
      <c r="AG6" s="835" t="s">
        <v>1486</v>
      </c>
      <c r="AH6" s="836" t="s">
        <v>202</v>
      </c>
      <c r="AI6" s="834" t="s">
        <v>467</v>
      </c>
      <c r="AJ6" s="835" t="s">
        <v>1487</v>
      </c>
      <c r="AK6" s="836" t="s">
        <v>1488</v>
      </c>
    </row>
    <row r="7" spans="1:37" s="66" customFormat="1" ht="18" customHeight="1">
      <c r="A7" s="323"/>
      <c r="B7" s="1829" t="s">
        <v>1489</v>
      </c>
      <c r="C7" s="1830"/>
      <c r="D7" s="1830"/>
      <c r="E7" s="1831"/>
      <c r="F7" s="1782">
        <v>12</v>
      </c>
      <c r="G7" s="1784">
        <v>36</v>
      </c>
      <c r="H7" s="1808">
        <v>1000</v>
      </c>
      <c r="I7" s="1788">
        <f>H7*C8</f>
        <v>700</v>
      </c>
      <c r="J7" s="1788">
        <f>H7*D8</f>
        <v>560</v>
      </c>
      <c r="K7" s="1833">
        <f>I7*K6</f>
        <v>2240</v>
      </c>
      <c r="L7" s="1792">
        <f>J7*33%</f>
        <v>184.8</v>
      </c>
      <c r="M7" s="1794">
        <f>L7*12</f>
        <v>2217.6000000000004</v>
      </c>
      <c r="N7" s="1832">
        <f>(F7-12)*L7</f>
        <v>0</v>
      </c>
      <c r="O7" s="1838">
        <f>J7*10%*6</f>
        <v>336</v>
      </c>
      <c r="P7" s="1839">
        <f>H7*E8</f>
        <v>32</v>
      </c>
      <c r="Q7" s="1801">
        <f>P7*7</f>
        <v>224</v>
      </c>
      <c r="R7" s="1803">
        <f>P7*17</f>
        <v>544</v>
      </c>
      <c r="S7" s="1782">
        <f>P7*12</f>
        <v>384</v>
      </c>
      <c r="T7" s="649">
        <f>K7+L7</f>
        <v>2424.8000000000002</v>
      </c>
      <c r="U7" s="650">
        <f>K7+M7+Q7</f>
        <v>4681.6000000000004</v>
      </c>
      <c r="V7" s="651">
        <f>K7+M7+N7+Q7+R7+S7+O7</f>
        <v>5945.6</v>
      </c>
      <c r="W7" s="649">
        <f>T7*$Y$5</f>
        <v>2255.0640000000003</v>
      </c>
      <c r="X7" s="650">
        <f>U7*$Y$5</f>
        <v>4353.8880000000008</v>
      </c>
      <c r="Y7" s="652">
        <f>V7*$Y$5</f>
        <v>5529.4080000000004</v>
      </c>
      <c r="Z7" s="653">
        <f>T7*$AB$5</f>
        <v>2085.328</v>
      </c>
      <c r="AA7" s="654">
        <f>U7*$AB$5</f>
        <v>4026.1760000000004</v>
      </c>
      <c r="AB7" s="655">
        <f>V7*$AB$5</f>
        <v>5113.2160000000003</v>
      </c>
      <c r="AC7" s="656">
        <f>T7*$AE$5</f>
        <v>2012.5840000000001</v>
      </c>
      <c r="AD7" s="650">
        <f>U7*$AE$5</f>
        <v>3885.7280000000001</v>
      </c>
      <c r="AE7" s="651">
        <f>V7*$AE$5</f>
        <v>4934.848</v>
      </c>
      <c r="AF7" s="649">
        <f>T7*$AH$5</f>
        <v>1818.6000000000001</v>
      </c>
      <c r="AG7" s="650">
        <f>U7*$AH$5</f>
        <v>3511.2000000000003</v>
      </c>
      <c r="AH7" s="652">
        <f>V7*$AH$5</f>
        <v>4459.2000000000007</v>
      </c>
      <c r="AI7" s="649">
        <f>T7*$AK$5</f>
        <v>1697.3600000000001</v>
      </c>
      <c r="AJ7" s="651">
        <f>U7*$AK$5</f>
        <v>3277.12</v>
      </c>
      <c r="AK7" s="652">
        <f>V7*$AK$5</f>
        <v>4161.92</v>
      </c>
    </row>
    <row r="8" spans="1:37" s="66" customFormat="1" ht="18" customHeight="1">
      <c r="A8" s="323"/>
      <c r="B8" s="657" t="s">
        <v>1490</v>
      </c>
      <c r="C8" s="658">
        <v>0.7</v>
      </c>
      <c r="D8" s="658">
        <v>0.56000000000000005</v>
      </c>
      <c r="E8" s="347">
        <v>3.2000000000000001E-2</v>
      </c>
      <c r="F8" s="1775"/>
      <c r="G8" s="1814"/>
      <c r="H8" s="1832"/>
      <c r="I8" s="1816"/>
      <c r="J8" s="1816"/>
      <c r="K8" s="1788"/>
      <c r="L8" s="1792"/>
      <c r="M8" s="1794"/>
      <c r="N8" s="1832"/>
      <c r="O8" s="1809"/>
      <c r="P8" s="1810"/>
      <c r="Q8" s="1801"/>
      <c r="R8" s="1813"/>
      <c r="S8" s="1775"/>
      <c r="T8" s="289">
        <f>T7/H7</f>
        <v>2.4248000000000003</v>
      </c>
      <c r="U8" s="290">
        <f>U7/H7</f>
        <v>4.6816000000000004</v>
      </c>
      <c r="V8" s="291">
        <f>V7/H7</f>
        <v>5.9456000000000007</v>
      </c>
      <c r="W8" s="659">
        <f>W7/H7</f>
        <v>2.2550640000000004</v>
      </c>
      <c r="X8" s="660">
        <f>X7/H7</f>
        <v>4.3538880000000004</v>
      </c>
      <c r="Y8" s="661">
        <f>Y7/H7</f>
        <v>5.5294080000000001</v>
      </c>
      <c r="Z8" s="659">
        <f>Z7/H7</f>
        <v>2.0853280000000001</v>
      </c>
      <c r="AA8" s="660">
        <f>AA7/H7</f>
        <v>4.0261760000000004</v>
      </c>
      <c r="AB8" s="661">
        <f>AB7/H7</f>
        <v>5.1132160000000004</v>
      </c>
      <c r="AC8" s="662">
        <f>AC7/H7</f>
        <v>2.0125839999999999</v>
      </c>
      <c r="AD8" s="660">
        <f>AD7/H7</f>
        <v>3.8857279999999998</v>
      </c>
      <c r="AE8" s="663">
        <f>AE7/H7</f>
        <v>4.9348479999999997</v>
      </c>
      <c r="AF8" s="659">
        <f>AF7/H7</f>
        <v>1.8186000000000002</v>
      </c>
      <c r="AG8" s="660">
        <f>AG7/H7</f>
        <v>3.5112000000000001</v>
      </c>
      <c r="AH8" s="661">
        <f>AH7/H7</f>
        <v>4.4592000000000009</v>
      </c>
      <c r="AI8" s="659">
        <f>AI7/H7</f>
        <v>1.6973600000000002</v>
      </c>
      <c r="AJ8" s="663">
        <f>AJ7/H7</f>
        <v>3.27712</v>
      </c>
      <c r="AK8" s="661">
        <f>AK7/H7</f>
        <v>4.1619200000000003</v>
      </c>
    </row>
    <row r="9" spans="1:37" s="66" customFormat="1" ht="18" customHeight="1">
      <c r="A9" s="323"/>
      <c r="B9" s="1779" t="s">
        <v>1491</v>
      </c>
      <c r="C9" s="1780"/>
      <c r="D9" s="1780"/>
      <c r="E9" s="1781"/>
      <c r="F9" s="1775">
        <v>12</v>
      </c>
      <c r="G9" s="1814">
        <v>36</v>
      </c>
      <c r="H9" s="1832">
        <v>1000</v>
      </c>
      <c r="I9" s="1816">
        <f>H9*C10</f>
        <v>700</v>
      </c>
      <c r="J9" s="1816">
        <f>H9*D10</f>
        <v>630</v>
      </c>
      <c r="K9" s="1840">
        <f>I9*K6</f>
        <v>2240</v>
      </c>
      <c r="L9" s="1817">
        <f>J9*33%</f>
        <v>207.9</v>
      </c>
      <c r="M9" s="1818">
        <f>L9*12</f>
        <v>2494.8000000000002</v>
      </c>
      <c r="N9" s="1832">
        <f>(F9-12)*L9</f>
        <v>0</v>
      </c>
      <c r="O9" s="1798">
        <f>J9*10%*6</f>
        <v>378</v>
      </c>
      <c r="P9" s="1799">
        <f>H9*E10</f>
        <v>32</v>
      </c>
      <c r="Q9" s="1811">
        <f>P9*7</f>
        <v>224</v>
      </c>
      <c r="R9" s="1803">
        <f>P9*17</f>
        <v>544</v>
      </c>
      <c r="S9" s="1775">
        <f>P9*12</f>
        <v>384</v>
      </c>
      <c r="T9" s="649">
        <f>K9+L9</f>
        <v>2447.9</v>
      </c>
      <c r="U9" s="650">
        <f>K9+M9+Q9</f>
        <v>4958.8</v>
      </c>
      <c r="V9" s="651">
        <f>K9+M9+N9+Q9+R9+S9+O9</f>
        <v>6264.8</v>
      </c>
      <c r="W9" s="664">
        <f>T9*$Y$5</f>
        <v>2276.547</v>
      </c>
      <c r="X9" s="665">
        <f>U9*$Y$5</f>
        <v>4611.6840000000002</v>
      </c>
      <c r="Y9" s="666">
        <f>V9*$Y$5</f>
        <v>5826.2640000000001</v>
      </c>
      <c r="Z9" s="649">
        <f t="shared" ref="Z9:AB9" si="0">T9*$AB$5</f>
        <v>2105.194</v>
      </c>
      <c r="AA9" s="650">
        <f t="shared" si="0"/>
        <v>4264.5680000000002</v>
      </c>
      <c r="AB9" s="652">
        <f t="shared" si="0"/>
        <v>5387.7280000000001</v>
      </c>
      <c r="AC9" s="667">
        <f>T9*$AE$5</f>
        <v>2031.7570000000001</v>
      </c>
      <c r="AD9" s="650">
        <f>U9*$AE$5</f>
        <v>4115.8040000000001</v>
      </c>
      <c r="AE9" s="668">
        <f>V9*$AE$5</f>
        <v>5199.7839999999997</v>
      </c>
      <c r="AF9" s="664">
        <f>T9*$AH$5</f>
        <v>1835.9250000000002</v>
      </c>
      <c r="AG9" s="650">
        <f>U9*$AH$5</f>
        <v>3719.1000000000004</v>
      </c>
      <c r="AH9" s="666">
        <f>V9*$AH$5</f>
        <v>4698.6000000000004</v>
      </c>
      <c r="AI9" s="664">
        <f>T9*$AK$5</f>
        <v>1713.53</v>
      </c>
      <c r="AJ9" s="651">
        <f>U9*$AK$5</f>
        <v>3471.16</v>
      </c>
      <c r="AK9" s="666">
        <f>V9*$AK$5</f>
        <v>4385.3599999999997</v>
      </c>
    </row>
    <row r="10" spans="1:37" s="66" customFormat="1" ht="18" customHeight="1">
      <c r="A10" s="323"/>
      <c r="B10" s="657" t="s">
        <v>1492</v>
      </c>
      <c r="C10" s="658">
        <v>0.7</v>
      </c>
      <c r="D10" s="658">
        <v>0.63</v>
      </c>
      <c r="E10" s="347">
        <v>3.2000000000000001E-2</v>
      </c>
      <c r="F10" s="1775"/>
      <c r="G10" s="1814"/>
      <c r="H10" s="1832"/>
      <c r="I10" s="1816"/>
      <c r="J10" s="1816"/>
      <c r="K10" s="1788"/>
      <c r="L10" s="1792"/>
      <c r="M10" s="1794"/>
      <c r="N10" s="1832"/>
      <c r="O10" s="1809"/>
      <c r="P10" s="1810"/>
      <c r="Q10" s="1812"/>
      <c r="R10" s="1813"/>
      <c r="S10" s="1775"/>
      <c r="T10" s="289">
        <f>T9/H9</f>
        <v>2.4479000000000002</v>
      </c>
      <c r="U10" s="290">
        <f>U9/H9</f>
        <v>4.9588000000000001</v>
      </c>
      <c r="V10" s="291">
        <f>V9/H9</f>
        <v>6.2648000000000001</v>
      </c>
      <c r="W10" s="659">
        <f>W9/H9</f>
        <v>2.2765469999999999</v>
      </c>
      <c r="X10" s="660">
        <f>X9/H9</f>
        <v>4.6116840000000003</v>
      </c>
      <c r="Y10" s="661">
        <f>Y9/H9</f>
        <v>5.8262640000000001</v>
      </c>
      <c r="Z10" s="659">
        <f t="shared" ref="Z10" si="1">Z9/H9</f>
        <v>2.105194</v>
      </c>
      <c r="AA10" s="660">
        <f t="shared" ref="AA10" si="2">AA9/H9</f>
        <v>4.2645680000000006</v>
      </c>
      <c r="AB10" s="661">
        <f t="shared" ref="AB10" si="3">AB9/H9</f>
        <v>5.3877280000000001</v>
      </c>
      <c r="AC10" s="662">
        <f>AC9/H9</f>
        <v>2.0317570000000003</v>
      </c>
      <c r="AD10" s="660">
        <f>AD9/H9</f>
        <v>4.1158039999999998</v>
      </c>
      <c r="AE10" s="663">
        <f>AE9/H9</f>
        <v>5.1997839999999993</v>
      </c>
      <c r="AF10" s="659">
        <f>AF9/H9</f>
        <v>1.8359250000000003</v>
      </c>
      <c r="AG10" s="660">
        <f>AG9/H9</f>
        <v>3.7191000000000005</v>
      </c>
      <c r="AH10" s="661">
        <f>AH9/H9</f>
        <v>4.6986000000000008</v>
      </c>
      <c r="AI10" s="659">
        <f>AI9/H9</f>
        <v>1.71353</v>
      </c>
      <c r="AJ10" s="663">
        <f>AJ9/H9</f>
        <v>3.4711599999999998</v>
      </c>
      <c r="AK10" s="661">
        <f>AK9/H9</f>
        <v>4.3853599999999995</v>
      </c>
    </row>
    <row r="11" spans="1:37" s="66" customFormat="1" ht="18" customHeight="1">
      <c r="A11" s="323"/>
      <c r="B11" s="1779" t="s">
        <v>1493</v>
      </c>
      <c r="C11" s="1780"/>
      <c r="D11" s="1780"/>
      <c r="E11" s="1781"/>
      <c r="F11" s="1775">
        <v>18</v>
      </c>
      <c r="G11" s="1814" t="s">
        <v>1494</v>
      </c>
      <c r="H11" s="1832">
        <v>1000</v>
      </c>
      <c r="I11" s="1816">
        <f>H11*C12</f>
        <v>1600</v>
      </c>
      <c r="J11" s="1816">
        <f>H11*D12</f>
        <v>1500</v>
      </c>
      <c r="K11" s="1840">
        <f>I11*K6</f>
        <v>5120</v>
      </c>
      <c r="L11" s="1817">
        <f>J11*36%</f>
        <v>540</v>
      </c>
      <c r="M11" s="1818">
        <f>L11*12</f>
        <v>6480</v>
      </c>
      <c r="N11" s="1832">
        <f>(F11-12)*L11</f>
        <v>3240</v>
      </c>
      <c r="O11" s="1798">
        <f>J11*10%*7</f>
        <v>1050</v>
      </c>
      <c r="P11" s="1799"/>
      <c r="Q11" s="1811"/>
      <c r="R11" s="1813"/>
      <c r="S11" s="1775"/>
      <c r="T11" s="649">
        <f>K11+L11</f>
        <v>5660</v>
      </c>
      <c r="U11" s="650">
        <f>K11+M11+Q11</f>
        <v>11600</v>
      </c>
      <c r="V11" s="651">
        <f>K11+M11+N11+Q11+R11+S11+O11</f>
        <v>15890</v>
      </c>
      <c r="W11" s="664">
        <f>T11*$Y$5</f>
        <v>5263.8</v>
      </c>
      <c r="X11" s="665">
        <f>U11*$Y$5</f>
        <v>10788</v>
      </c>
      <c r="Y11" s="666">
        <f>V11*$Y$5</f>
        <v>14777.7</v>
      </c>
      <c r="Z11" s="649">
        <f t="shared" ref="Z11:AB11" si="4">T11*$AB$5</f>
        <v>4867.6000000000004</v>
      </c>
      <c r="AA11" s="650">
        <f t="shared" si="4"/>
        <v>9976</v>
      </c>
      <c r="AB11" s="652">
        <f t="shared" si="4"/>
        <v>13665.4</v>
      </c>
      <c r="AC11" s="667">
        <f>T11*$AE$5</f>
        <v>4697.8</v>
      </c>
      <c r="AD11" s="650">
        <f>U11*$AE$5</f>
        <v>9628</v>
      </c>
      <c r="AE11" s="668">
        <f>V11*$AE$5</f>
        <v>13188.699999999999</v>
      </c>
      <c r="AF11" s="664">
        <f>T11*$AH$5</f>
        <v>4245</v>
      </c>
      <c r="AG11" s="650">
        <f>U11*$AH$5</f>
        <v>8700</v>
      </c>
      <c r="AH11" s="666">
        <f>V11*$AH$5</f>
        <v>11917.5</v>
      </c>
      <c r="AI11" s="664">
        <f>T11*$AK$5</f>
        <v>3961.9999999999995</v>
      </c>
      <c r="AJ11" s="651">
        <f>U11*$AK$5</f>
        <v>8119.9999999999991</v>
      </c>
      <c r="AK11" s="666">
        <f>V11*$AK$5</f>
        <v>11123</v>
      </c>
    </row>
    <row r="12" spans="1:37" s="66" customFormat="1" ht="18" customHeight="1">
      <c r="A12" s="323"/>
      <c r="B12" s="657" t="s">
        <v>1495</v>
      </c>
      <c r="C12" s="658">
        <v>1.6</v>
      </c>
      <c r="D12" s="658">
        <v>1.5</v>
      </c>
      <c r="E12" s="347" t="s">
        <v>1496</v>
      </c>
      <c r="F12" s="1775"/>
      <c r="G12" s="1814"/>
      <c r="H12" s="1832"/>
      <c r="I12" s="1816"/>
      <c r="J12" s="1816"/>
      <c r="K12" s="1788"/>
      <c r="L12" s="1792"/>
      <c r="M12" s="1794"/>
      <c r="N12" s="1832"/>
      <c r="O12" s="1809"/>
      <c r="P12" s="1810"/>
      <c r="Q12" s="1812"/>
      <c r="R12" s="1813"/>
      <c r="S12" s="1775"/>
      <c r="T12" s="289">
        <f>T11/H11</f>
        <v>5.66</v>
      </c>
      <c r="U12" s="290">
        <f>U11/H11</f>
        <v>11.6</v>
      </c>
      <c r="V12" s="291">
        <f>V11/H11</f>
        <v>15.89</v>
      </c>
      <c r="W12" s="659">
        <f>W11/H11</f>
        <v>5.2637999999999998</v>
      </c>
      <c r="X12" s="660">
        <f>X11/H11</f>
        <v>10.788</v>
      </c>
      <c r="Y12" s="661">
        <f>Y11/H11</f>
        <v>14.777700000000001</v>
      </c>
      <c r="Z12" s="659">
        <f t="shared" ref="Z12" si="5">Z11/H11</f>
        <v>4.8676000000000004</v>
      </c>
      <c r="AA12" s="660">
        <f t="shared" ref="AA12" si="6">AA11/H11</f>
        <v>9.9760000000000009</v>
      </c>
      <c r="AB12" s="661">
        <f t="shared" ref="AB12" si="7">AB11/H11</f>
        <v>13.6654</v>
      </c>
      <c r="AC12" s="662">
        <f>AC11/H11</f>
        <v>4.6978</v>
      </c>
      <c r="AD12" s="660">
        <f>AD11/H11</f>
        <v>9.6280000000000001</v>
      </c>
      <c r="AE12" s="663">
        <f>AE11/H11</f>
        <v>13.188699999999999</v>
      </c>
      <c r="AF12" s="659">
        <f>AF11/H11</f>
        <v>4.2450000000000001</v>
      </c>
      <c r="AG12" s="660">
        <f>AG11/H11</f>
        <v>8.6999999999999993</v>
      </c>
      <c r="AH12" s="661">
        <f>AH11/H11</f>
        <v>11.9175</v>
      </c>
      <c r="AI12" s="659">
        <f>AI11/H11</f>
        <v>3.9619999999999997</v>
      </c>
      <c r="AJ12" s="663">
        <f>AJ11/H11</f>
        <v>8.1199999999999992</v>
      </c>
      <c r="AK12" s="661">
        <f>AK11/H11</f>
        <v>11.122999999999999</v>
      </c>
    </row>
    <row r="13" spans="1:37" s="66" customFormat="1" ht="18" customHeight="1">
      <c r="A13" s="323"/>
      <c r="B13" s="1779" t="s">
        <v>1497</v>
      </c>
      <c r="C13" s="1780"/>
      <c r="D13" s="1780"/>
      <c r="E13" s="1781"/>
      <c r="F13" s="1775">
        <v>12</v>
      </c>
      <c r="G13" s="1814">
        <v>36</v>
      </c>
      <c r="H13" s="1832">
        <v>1000</v>
      </c>
      <c r="I13" s="1816">
        <f>H13*C14</f>
        <v>650</v>
      </c>
      <c r="J13" s="1816">
        <f>H13*D14</f>
        <v>550</v>
      </c>
      <c r="K13" s="1840">
        <f>I13*K6</f>
        <v>2080</v>
      </c>
      <c r="L13" s="1817">
        <f>J13*27%</f>
        <v>148.5</v>
      </c>
      <c r="M13" s="1818">
        <f>L13*12</f>
        <v>1782</v>
      </c>
      <c r="N13" s="1832">
        <f>(F13-12)*L13</f>
        <v>0</v>
      </c>
      <c r="O13" s="1798">
        <f>J13*10%*6</f>
        <v>330</v>
      </c>
      <c r="P13" s="1799">
        <f>H13*E14</f>
        <v>35</v>
      </c>
      <c r="Q13" s="1811">
        <f>P13*7</f>
        <v>245</v>
      </c>
      <c r="R13" s="1803">
        <f>P13*17</f>
        <v>595</v>
      </c>
      <c r="S13" s="1775">
        <f>P13*12</f>
        <v>420</v>
      </c>
      <c r="T13" s="649">
        <f>K13+L13</f>
        <v>2228.5</v>
      </c>
      <c r="U13" s="650">
        <f>K13+M13+Q13</f>
        <v>4107</v>
      </c>
      <c r="V13" s="651">
        <f>K13+M13+N13+Q13+R13+S13+O13</f>
        <v>5452</v>
      </c>
      <c r="W13" s="664">
        <f>T13*$Y$5</f>
        <v>2072.5050000000001</v>
      </c>
      <c r="X13" s="665">
        <f>U13*$Y$5</f>
        <v>3819.51</v>
      </c>
      <c r="Y13" s="666">
        <f>V13*$Y$5</f>
        <v>5070.3600000000006</v>
      </c>
      <c r="Z13" s="649">
        <f>T13*$AB$5</f>
        <v>1916.51</v>
      </c>
      <c r="AA13" s="650">
        <f t="shared" ref="AA13:AB13" si="8">U13*$AB$5</f>
        <v>3532.02</v>
      </c>
      <c r="AB13" s="652">
        <f t="shared" si="8"/>
        <v>4688.72</v>
      </c>
      <c r="AC13" s="667">
        <f>T13*$AE$5</f>
        <v>1849.655</v>
      </c>
      <c r="AD13" s="650">
        <f>U13*$AE$5</f>
        <v>3408.81</v>
      </c>
      <c r="AE13" s="668">
        <f>V13*$AE$5</f>
        <v>4525.16</v>
      </c>
      <c r="AF13" s="664">
        <f>T13*$AH$5</f>
        <v>1671.375</v>
      </c>
      <c r="AG13" s="650">
        <f>U13*$AH$5</f>
        <v>3080.25</v>
      </c>
      <c r="AH13" s="666">
        <f>V13*$AH$5</f>
        <v>4089</v>
      </c>
      <c r="AI13" s="664">
        <f>T13*$AK$5</f>
        <v>1559.9499999999998</v>
      </c>
      <c r="AJ13" s="651">
        <f>U13*$AK$5</f>
        <v>2874.8999999999996</v>
      </c>
      <c r="AK13" s="666">
        <f>V13*$AK$5</f>
        <v>3816.3999999999996</v>
      </c>
    </row>
    <row r="14" spans="1:37" s="66" customFormat="1" ht="18" customHeight="1">
      <c r="A14" s="323"/>
      <c r="B14" s="657" t="s">
        <v>1498</v>
      </c>
      <c r="C14" s="658">
        <v>0.65</v>
      </c>
      <c r="D14" s="658">
        <v>0.55000000000000004</v>
      </c>
      <c r="E14" s="347">
        <v>3.5000000000000003E-2</v>
      </c>
      <c r="F14" s="1775"/>
      <c r="G14" s="1814"/>
      <c r="H14" s="1832"/>
      <c r="I14" s="1816"/>
      <c r="J14" s="1816"/>
      <c r="K14" s="1788"/>
      <c r="L14" s="1799"/>
      <c r="M14" s="1794"/>
      <c r="N14" s="1832"/>
      <c r="O14" s="1809"/>
      <c r="P14" s="1810"/>
      <c r="Q14" s="1812"/>
      <c r="R14" s="1813"/>
      <c r="S14" s="1775"/>
      <c r="T14" s="289">
        <f>T13/H13</f>
        <v>2.2284999999999999</v>
      </c>
      <c r="U14" s="290">
        <f>U13/H13</f>
        <v>4.1070000000000002</v>
      </c>
      <c r="V14" s="291">
        <f>V13/H13</f>
        <v>5.452</v>
      </c>
      <c r="W14" s="659">
        <f>W13/H13</f>
        <v>2.072505</v>
      </c>
      <c r="X14" s="660">
        <f>X13/H13</f>
        <v>3.8195100000000002</v>
      </c>
      <c r="Y14" s="661">
        <f>Y13/H13</f>
        <v>5.0703600000000009</v>
      </c>
      <c r="Z14" s="659">
        <f t="shared" ref="Z14" si="9">Z13/H13</f>
        <v>1.9165099999999999</v>
      </c>
      <c r="AA14" s="660">
        <f t="shared" ref="AA14" si="10">AA13/H13</f>
        <v>3.5320200000000002</v>
      </c>
      <c r="AB14" s="661">
        <f t="shared" ref="AB14" si="11">AB13/H13</f>
        <v>4.68872</v>
      </c>
      <c r="AC14" s="662">
        <f>AC13/H13</f>
        <v>1.849655</v>
      </c>
      <c r="AD14" s="660">
        <f>AD13/H13</f>
        <v>3.4088099999999999</v>
      </c>
      <c r="AE14" s="663">
        <f>AE13/H13</f>
        <v>4.5251599999999996</v>
      </c>
      <c r="AF14" s="659">
        <f>AF13/H13</f>
        <v>1.6713750000000001</v>
      </c>
      <c r="AG14" s="660">
        <f>AG13/H13</f>
        <v>3.0802499999999999</v>
      </c>
      <c r="AH14" s="661">
        <f>AH13/H13</f>
        <v>4.0890000000000004</v>
      </c>
      <c r="AI14" s="659">
        <f>AI13/H13</f>
        <v>1.5599499999999997</v>
      </c>
      <c r="AJ14" s="663">
        <f>AJ13/H13</f>
        <v>2.8748999999999998</v>
      </c>
      <c r="AK14" s="661">
        <f>AK13/H13</f>
        <v>3.8163999999999998</v>
      </c>
    </row>
    <row r="15" spans="1:37" s="66" customFormat="1" ht="18" customHeight="1">
      <c r="A15" s="323"/>
      <c r="B15" s="1779" t="s">
        <v>1499</v>
      </c>
      <c r="C15" s="1780"/>
      <c r="D15" s="1780"/>
      <c r="E15" s="1781"/>
      <c r="F15" s="1775">
        <v>12</v>
      </c>
      <c r="G15" s="1814" t="s">
        <v>1500</v>
      </c>
      <c r="H15" s="1832">
        <v>1000</v>
      </c>
      <c r="I15" s="1816">
        <f>H15*C16</f>
        <v>1400</v>
      </c>
      <c r="J15" s="1816">
        <f>H15*D16</f>
        <v>1300</v>
      </c>
      <c r="K15" s="1840">
        <f>I15*K6</f>
        <v>4480</v>
      </c>
      <c r="L15" s="1817">
        <f>J15*33%</f>
        <v>429</v>
      </c>
      <c r="M15" s="1818">
        <f>L15*12</f>
        <v>5148</v>
      </c>
      <c r="N15" s="1832">
        <f>(F15-12)*L15</f>
        <v>0</v>
      </c>
      <c r="O15" s="1798">
        <f>J15*10%*6</f>
        <v>780</v>
      </c>
      <c r="P15" s="1799"/>
      <c r="Q15" s="1801"/>
      <c r="R15" s="1803"/>
      <c r="S15" s="1775"/>
      <c r="T15" s="649">
        <f>K15+L15</f>
        <v>4909</v>
      </c>
      <c r="U15" s="650">
        <f>K15+M15+Q15</f>
        <v>9628</v>
      </c>
      <c r="V15" s="651">
        <f>K15+M15+N15+Q15+R15+S15+O15</f>
        <v>10408</v>
      </c>
      <c r="W15" s="664">
        <f>T15*$Y$5</f>
        <v>4565.37</v>
      </c>
      <c r="X15" s="665">
        <f>U15*$Y$5</f>
        <v>8954.0400000000009</v>
      </c>
      <c r="Y15" s="666">
        <f>V15*$Y$5</f>
        <v>9679.44</v>
      </c>
      <c r="Z15" s="649">
        <f t="shared" ref="Z15:AB15" si="12">T15*$AB$5</f>
        <v>4221.74</v>
      </c>
      <c r="AA15" s="650">
        <f t="shared" si="12"/>
        <v>8280.08</v>
      </c>
      <c r="AB15" s="652">
        <f t="shared" si="12"/>
        <v>8950.8799999999992</v>
      </c>
      <c r="AC15" s="667">
        <f>T15*$AE$5</f>
        <v>4074.47</v>
      </c>
      <c r="AD15" s="650">
        <f>U15*$AE$5</f>
        <v>7991.24</v>
      </c>
      <c r="AE15" s="668">
        <f>V15*$AE$5</f>
        <v>8638.64</v>
      </c>
      <c r="AF15" s="664">
        <f>T15*$AH$5</f>
        <v>3681.75</v>
      </c>
      <c r="AG15" s="650">
        <f>U15*$AH$5</f>
        <v>7221</v>
      </c>
      <c r="AH15" s="666">
        <f>V15*$AH$5</f>
        <v>7806</v>
      </c>
      <c r="AI15" s="664">
        <f>T15*$AK$5</f>
        <v>3436.2999999999997</v>
      </c>
      <c r="AJ15" s="651">
        <f>U15*$AK$5</f>
        <v>6739.5999999999995</v>
      </c>
      <c r="AK15" s="666">
        <f>V15*$AK$5</f>
        <v>7285.5999999999995</v>
      </c>
    </row>
    <row r="16" spans="1:37" s="66" customFormat="1" ht="18" customHeight="1">
      <c r="A16" s="323"/>
      <c r="B16" s="657" t="s">
        <v>1501</v>
      </c>
      <c r="C16" s="658">
        <v>1.4</v>
      </c>
      <c r="D16" s="658">
        <v>1.3</v>
      </c>
      <c r="E16" s="347" t="s">
        <v>1502</v>
      </c>
      <c r="F16" s="1775"/>
      <c r="G16" s="1814"/>
      <c r="H16" s="1832"/>
      <c r="I16" s="1816"/>
      <c r="J16" s="1816"/>
      <c r="K16" s="1788"/>
      <c r="L16" s="1799"/>
      <c r="M16" s="1794"/>
      <c r="N16" s="1832"/>
      <c r="O16" s="1809"/>
      <c r="P16" s="1810"/>
      <c r="Q16" s="1801"/>
      <c r="R16" s="1813"/>
      <c r="S16" s="1775"/>
      <c r="T16" s="289">
        <f>T15/H15</f>
        <v>4.9089999999999998</v>
      </c>
      <c r="U16" s="290">
        <f>U15/H15</f>
        <v>9.6280000000000001</v>
      </c>
      <c r="V16" s="291">
        <f>V15/H15</f>
        <v>10.407999999999999</v>
      </c>
      <c r="W16" s="659">
        <f>W15/H15</f>
        <v>4.5653699999999997</v>
      </c>
      <c r="X16" s="660">
        <f>X15/H15</f>
        <v>8.9540400000000009</v>
      </c>
      <c r="Y16" s="661">
        <f>Y15/H15</f>
        <v>9.6794400000000014</v>
      </c>
      <c r="Z16" s="659">
        <f t="shared" ref="Z16" si="13">Z15/H15</f>
        <v>4.2217399999999996</v>
      </c>
      <c r="AA16" s="660">
        <f t="shared" ref="AA16" si="14">AA15/H15</f>
        <v>8.2800799999999999</v>
      </c>
      <c r="AB16" s="661">
        <f t="shared" ref="AB16" si="15">AB15/H15</f>
        <v>8.9508799999999997</v>
      </c>
      <c r="AC16" s="662">
        <f>AC15/H15</f>
        <v>4.0744699999999998</v>
      </c>
      <c r="AD16" s="660">
        <f>AD15/H15</f>
        <v>7.9912399999999995</v>
      </c>
      <c r="AE16" s="663">
        <f>AE15/H15</f>
        <v>8.6386399999999988</v>
      </c>
      <c r="AF16" s="659">
        <f>AF15/H15</f>
        <v>3.6817500000000001</v>
      </c>
      <c r="AG16" s="660">
        <f>AG15/H15</f>
        <v>7.2210000000000001</v>
      </c>
      <c r="AH16" s="661">
        <f>AH15/H15</f>
        <v>7.806</v>
      </c>
      <c r="AI16" s="659">
        <f>AI15/H15</f>
        <v>3.4362999999999997</v>
      </c>
      <c r="AJ16" s="663">
        <f>AJ15/H15</f>
        <v>6.7395999999999994</v>
      </c>
      <c r="AK16" s="661">
        <f>AK15/H15</f>
        <v>7.2855999999999996</v>
      </c>
    </row>
    <row r="17" spans="1:37" s="66" customFormat="1" ht="18" customHeight="1">
      <c r="A17" s="323"/>
      <c r="B17" s="1779" t="s">
        <v>1503</v>
      </c>
      <c r="C17" s="1780"/>
      <c r="D17" s="1780"/>
      <c r="E17" s="1781"/>
      <c r="F17" s="1842" t="s">
        <v>1504</v>
      </c>
      <c r="G17" s="1841">
        <v>36</v>
      </c>
      <c r="H17" s="1842">
        <v>1000</v>
      </c>
      <c r="I17" s="1840">
        <v>0</v>
      </c>
      <c r="J17" s="1840">
        <v>0</v>
      </c>
      <c r="K17" s="1840">
        <v>0</v>
      </c>
      <c r="L17" s="1817">
        <v>0</v>
      </c>
      <c r="M17" s="1811">
        <v>0</v>
      </c>
      <c r="N17" s="1843">
        <v>0</v>
      </c>
      <c r="O17" s="1798"/>
      <c r="P17" s="1817">
        <f>H17*E18*130%</f>
        <v>26</v>
      </c>
      <c r="Q17" s="1811">
        <f>P17*12</f>
        <v>312</v>
      </c>
      <c r="R17" s="1811">
        <f>P17*12</f>
        <v>312</v>
      </c>
      <c r="S17" s="1776">
        <f>P17*12</f>
        <v>312</v>
      </c>
      <c r="T17" s="664">
        <f>P17</f>
        <v>26</v>
      </c>
      <c r="U17" s="665">
        <f>Q17</f>
        <v>312</v>
      </c>
      <c r="V17" s="668">
        <f>Q17+R17+S17</f>
        <v>936</v>
      </c>
      <c r="W17" s="664">
        <f>T17*$Y$5</f>
        <v>24.18</v>
      </c>
      <c r="X17" s="665">
        <f>U17*$Y$5</f>
        <v>290.16000000000003</v>
      </c>
      <c r="Y17" s="666">
        <f>V17*$Y$5</f>
        <v>870.48</v>
      </c>
      <c r="Z17" s="649">
        <f t="shared" ref="Z17:AB17" si="16">T17*$AB$5</f>
        <v>22.36</v>
      </c>
      <c r="AA17" s="650">
        <f t="shared" si="16"/>
        <v>268.32</v>
      </c>
      <c r="AB17" s="652">
        <f t="shared" si="16"/>
        <v>804.96</v>
      </c>
      <c r="AC17" s="667">
        <f>T17*$AE$5</f>
        <v>21.58</v>
      </c>
      <c r="AD17" s="665">
        <f>U17*$AE$5</f>
        <v>258.95999999999998</v>
      </c>
      <c r="AE17" s="668">
        <f>V17*$AE$5</f>
        <v>776.88</v>
      </c>
      <c r="AF17" s="664">
        <f>T17*$AH$5</f>
        <v>19.5</v>
      </c>
      <c r="AG17" s="665">
        <f>U17*$AH$5</f>
        <v>234</v>
      </c>
      <c r="AH17" s="666">
        <f>V17*$AH$5</f>
        <v>702</v>
      </c>
      <c r="AI17" s="664">
        <f>T17*$AK$5</f>
        <v>18.2</v>
      </c>
      <c r="AJ17" s="668">
        <f>U17*$AK$5</f>
        <v>218.39999999999998</v>
      </c>
      <c r="AK17" s="666">
        <f>V17*$AK$5</f>
        <v>655.19999999999993</v>
      </c>
    </row>
    <row r="18" spans="1:37" s="66" customFormat="1" ht="18" customHeight="1">
      <c r="A18" s="323"/>
      <c r="B18" s="657" t="s">
        <v>1505</v>
      </c>
      <c r="C18" s="658">
        <v>0</v>
      </c>
      <c r="D18" s="658">
        <v>0</v>
      </c>
      <c r="E18" s="347">
        <v>0.02</v>
      </c>
      <c r="F18" s="1786"/>
      <c r="G18" s="1784"/>
      <c r="H18" s="1786"/>
      <c r="I18" s="1788"/>
      <c r="J18" s="1788"/>
      <c r="K18" s="1788"/>
      <c r="L18" s="1799"/>
      <c r="M18" s="1812"/>
      <c r="N18" s="1844"/>
      <c r="O18" s="1809"/>
      <c r="P18" s="1799"/>
      <c r="Q18" s="1812"/>
      <c r="R18" s="1812"/>
      <c r="S18" s="1777"/>
      <c r="T18" s="289">
        <f>T17/H17</f>
        <v>2.5999999999999999E-2</v>
      </c>
      <c r="U18" s="290">
        <f>U17/H17</f>
        <v>0.312</v>
      </c>
      <c r="V18" s="291">
        <f>V17/H17</f>
        <v>0.93600000000000005</v>
      </c>
      <c r="W18" s="659">
        <f>W17/H17</f>
        <v>2.418E-2</v>
      </c>
      <c r="X18" s="660">
        <f>X17/H17</f>
        <v>0.29016000000000003</v>
      </c>
      <c r="Y18" s="661">
        <f>Y17/H17</f>
        <v>0.87048000000000003</v>
      </c>
      <c r="Z18" s="659">
        <f t="shared" ref="Z18" si="17">Z17/H17</f>
        <v>2.2359999999999998E-2</v>
      </c>
      <c r="AA18" s="660">
        <f t="shared" ref="AA18" si="18">AA17/H17</f>
        <v>0.26832</v>
      </c>
      <c r="AB18" s="661">
        <f t="shared" ref="AB18" si="19">AB17/H17</f>
        <v>0.80496000000000001</v>
      </c>
      <c r="AC18" s="662">
        <f>AC17/H17</f>
        <v>2.1579999999999998E-2</v>
      </c>
      <c r="AD18" s="660">
        <f>AD17/H17</f>
        <v>0.25895999999999997</v>
      </c>
      <c r="AE18" s="663">
        <f>AE17/H17</f>
        <v>0.77688000000000001</v>
      </c>
      <c r="AF18" s="659">
        <f>AF17/H17</f>
        <v>1.95E-2</v>
      </c>
      <c r="AG18" s="660">
        <f>AG17/H17</f>
        <v>0.23400000000000001</v>
      </c>
      <c r="AH18" s="661">
        <f>AH17/H17</f>
        <v>0.70199999999999996</v>
      </c>
      <c r="AI18" s="659">
        <f>AI17/H17</f>
        <v>1.8200000000000001E-2</v>
      </c>
      <c r="AJ18" s="663">
        <f>AJ17/H17</f>
        <v>0.21839999999999998</v>
      </c>
      <c r="AK18" s="661">
        <f>AK17/H17</f>
        <v>0.65519999999999989</v>
      </c>
    </row>
    <row r="19" spans="1:37" s="66" customFormat="1" ht="18" customHeight="1">
      <c r="A19" s="323"/>
      <c r="B19" s="1779" t="s">
        <v>1506</v>
      </c>
      <c r="C19" s="1780"/>
      <c r="D19" s="1780"/>
      <c r="E19" s="1781"/>
      <c r="F19" s="1775">
        <v>1</v>
      </c>
      <c r="G19" s="1814" t="s">
        <v>1507</v>
      </c>
      <c r="H19" s="1815">
        <v>100000</v>
      </c>
      <c r="I19" s="1816">
        <f>H19*2%*C20</f>
        <v>1000</v>
      </c>
      <c r="J19" s="1816">
        <f>H19*2%*D20*12</f>
        <v>12000</v>
      </c>
      <c r="K19" s="1798">
        <f>I19*K6</f>
        <v>3200</v>
      </c>
      <c r="L19" s="1817">
        <f>J19*36%</f>
        <v>4320</v>
      </c>
      <c r="M19" s="1818">
        <v>0</v>
      </c>
      <c r="N19" s="1807">
        <v>0</v>
      </c>
      <c r="O19" s="1798">
        <f>J19/12*10%*7</f>
        <v>700</v>
      </c>
      <c r="P19" s="1810"/>
      <c r="Q19" s="1811"/>
      <c r="R19" s="1813"/>
      <c r="S19" s="1778"/>
      <c r="T19" s="664">
        <f>K19+L19+O19</f>
        <v>8220</v>
      </c>
      <c r="U19" s="665">
        <f>K19+L19+Q19+O19</f>
        <v>8220</v>
      </c>
      <c r="V19" s="668">
        <f>K19+L19+N19+Q19+R19+S19+O19</f>
        <v>8220</v>
      </c>
      <c r="W19" s="664">
        <f>T19*$Y$5</f>
        <v>7644.6</v>
      </c>
      <c r="X19" s="665">
        <f>U19*$Y$5</f>
        <v>7644.6</v>
      </c>
      <c r="Y19" s="666">
        <f>V19*$Y$5</f>
        <v>7644.6</v>
      </c>
      <c r="Z19" s="664">
        <f t="shared" ref="Z19:AB19" si="20">T19*$AB$5</f>
        <v>7069.2</v>
      </c>
      <c r="AA19" s="665">
        <f t="shared" si="20"/>
        <v>7069.2</v>
      </c>
      <c r="AB19" s="666">
        <f t="shared" si="20"/>
        <v>7069.2</v>
      </c>
      <c r="AC19" s="664">
        <f>T19*$AE$5</f>
        <v>6822.5999999999995</v>
      </c>
      <c r="AD19" s="665">
        <f>U19*$AE$5</f>
        <v>6822.5999999999995</v>
      </c>
      <c r="AE19" s="666">
        <f>V19*$AE$5</f>
        <v>6822.5999999999995</v>
      </c>
      <c r="AF19" s="664">
        <f>T19*$AH$5</f>
        <v>6165</v>
      </c>
      <c r="AG19" s="665">
        <f>U19*$AH$5</f>
        <v>6165</v>
      </c>
      <c r="AH19" s="666">
        <f>V19*$AH$5</f>
        <v>6165</v>
      </c>
      <c r="AI19" s="664">
        <f>T19*$AK$5</f>
        <v>5754</v>
      </c>
      <c r="AJ19" s="668">
        <f>U19*$AK$5</f>
        <v>5754</v>
      </c>
      <c r="AK19" s="666">
        <f>V19*$AK$5</f>
        <v>5754</v>
      </c>
    </row>
    <row r="20" spans="1:37" s="66" customFormat="1" ht="18" customHeight="1">
      <c r="A20" s="323"/>
      <c r="B20" s="847" t="s">
        <v>1508</v>
      </c>
      <c r="C20" s="658">
        <v>0.5</v>
      </c>
      <c r="D20" s="658">
        <v>0.5</v>
      </c>
      <c r="E20" s="347" t="s">
        <v>1509</v>
      </c>
      <c r="F20" s="1775"/>
      <c r="G20" s="1814"/>
      <c r="H20" s="1815"/>
      <c r="I20" s="1816"/>
      <c r="J20" s="1816"/>
      <c r="K20" s="1809"/>
      <c r="L20" s="1799"/>
      <c r="M20" s="1803"/>
      <c r="N20" s="1808"/>
      <c r="O20" s="1809"/>
      <c r="P20" s="1810"/>
      <c r="Q20" s="1812"/>
      <c r="R20" s="1813"/>
      <c r="S20" s="1778"/>
      <c r="T20" s="289">
        <f>T19/H19</f>
        <v>8.2199999999999995E-2</v>
      </c>
      <c r="U20" s="290">
        <f>U19/H19</f>
        <v>8.2199999999999995E-2</v>
      </c>
      <c r="V20" s="536">
        <f>V19/H19</f>
        <v>8.2199999999999995E-2</v>
      </c>
      <c r="W20" s="659">
        <f>W19/H19</f>
        <v>7.6446E-2</v>
      </c>
      <c r="X20" s="660">
        <f>X19/H19</f>
        <v>7.6446E-2</v>
      </c>
      <c r="Y20" s="661">
        <f>Y19/H19</f>
        <v>7.6446E-2</v>
      </c>
      <c r="Z20" s="659">
        <f t="shared" ref="Z20" si="21">Z19/H19</f>
        <v>7.0692000000000005E-2</v>
      </c>
      <c r="AA20" s="660">
        <f t="shared" ref="AA20" si="22">AA19/H19</f>
        <v>7.0692000000000005E-2</v>
      </c>
      <c r="AB20" s="661">
        <f t="shared" ref="AB20" si="23">AB19/H19</f>
        <v>7.0692000000000005E-2</v>
      </c>
      <c r="AC20" s="659">
        <f>AC19/H19</f>
        <v>6.8225999999999995E-2</v>
      </c>
      <c r="AD20" s="660">
        <f>AD19/H19</f>
        <v>6.8225999999999995E-2</v>
      </c>
      <c r="AE20" s="661">
        <f>AE19/H19</f>
        <v>6.8225999999999995E-2</v>
      </c>
      <c r="AF20" s="659">
        <f>AF19/H19</f>
        <v>6.1650000000000003E-2</v>
      </c>
      <c r="AG20" s="660">
        <f>AG19/H19</f>
        <v>6.1650000000000003E-2</v>
      </c>
      <c r="AH20" s="661">
        <f>AH19/H19</f>
        <v>6.1650000000000003E-2</v>
      </c>
      <c r="AI20" s="659">
        <f>AI19/H19</f>
        <v>5.7540000000000001E-2</v>
      </c>
      <c r="AJ20" s="663">
        <f>AJ19/H19</f>
        <v>5.7540000000000001E-2</v>
      </c>
      <c r="AK20" s="661">
        <f>AK19/H19</f>
        <v>5.7540000000000001E-2</v>
      </c>
    </row>
    <row r="21" spans="1:37" s="66" customFormat="1" ht="18" customHeight="1">
      <c r="A21" s="323"/>
      <c r="B21" s="1779" t="s">
        <v>1510</v>
      </c>
      <c r="C21" s="1780"/>
      <c r="D21" s="1780"/>
      <c r="E21" s="1781"/>
      <c r="F21" s="1775">
        <v>1</v>
      </c>
      <c r="G21" s="1814" t="s">
        <v>1509</v>
      </c>
      <c r="H21" s="1815">
        <v>100000</v>
      </c>
      <c r="I21" s="1816">
        <f>H21*2%*C22</f>
        <v>540</v>
      </c>
      <c r="J21" s="1816">
        <f>H21*2%*D22*12</f>
        <v>6480</v>
      </c>
      <c r="K21" s="1798">
        <f>I21*K6</f>
        <v>1728</v>
      </c>
      <c r="L21" s="1817">
        <f>J21*33%</f>
        <v>2138.4</v>
      </c>
      <c r="M21" s="1818">
        <v>0</v>
      </c>
      <c r="N21" s="1807">
        <v>0</v>
      </c>
      <c r="O21" s="1798">
        <f>J21/12*10%*6</f>
        <v>324</v>
      </c>
      <c r="P21" s="1810"/>
      <c r="Q21" s="1811"/>
      <c r="R21" s="1813"/>
      <c r="S21" s="1778"/>
      <c r="T21" s="664">
        <f>K21+L21+O21</f>
        <v>4190.3999999999996</v>
      </c>
      <c r="U21" s="665">
        <f>K21+L21+Q21+O21</f>
        <v>4190.3999999999996</v>
      </c>
      <c r="V21" s="668">
        <f>K21+L21+N21+Q21+R21+S21+O21</f>
        <v>4190.3999999999996</v>
      </c>
      <c r="W21" s="664">
        <f>T21*$Y$5</f>
        <v>3897.0719999999997</v>
      </c>
      <c r="X21" s="665">
        <f>U21*$Y$5</f>
        <v>3897.0719999999997</v>
      </c>
      <c r="Y21" s="666">
        <f>V21*$Y$5</f>
        <v>3897.0719999999997</v>
      </c>
      <c r="Z21" s="664">
        <f t="shared" ref="Z21:AB21" si="24">T21*$AB$5</f>
        <v>3603.7439999999997</v>
      </c>
      <c r="AA21" s="665">
        <f t="shared" si="24"/>
        <v>3603.7439999999997</v>
      </c>
      <c r="AB21" s="666">
        <f t="shared" si="24"/>
        <v>3603.7439999999997</v>
      </c>
      <c r="AC21" s="664">
        <f>T21*$AE$5</f>
        <v>3478.0319999999997</v>
      </c>
      <c r="AD21" s="665">
        <f>U21*$AE$5</f>
        <v>3478.0319999999997</v>
      </c>
      <c r="AE21" s="666">
        <f>V21*$AE$5</f>
        <v>3478.0319999999997</v>
      </c>
      <c r="AF21" s="664">
        <f>T21*$AH$5</f>
        <v>3142.7999999999997</v>
      </c>
      <c r="AG21" s="665">
        <f>U21*$AH$5</f>
        <v>3142.7999999999997</v>
      </c>
      <c r="AH21" s="666">
        <f>V21*$AH$5</f>
        <v>3142.7999999999997</v>
      </c>
      <c r="AI21" s="664">
        <f>T21*$AK$5</f>
        <v>2933.2799999999997</v>
      </c>
      <c r="AJ21" s="668">
        <f>U21*$AK$5</f>
        <v>2933.2799999999997</v>
      </c>
      <c r="AK21" s="666">
        <f>V21*$AK$5</f>
        <v>2933.2799999999997</v>
      </c>
    </row>
    <row r="22" spans="1:37" s="66" customFormat="1" ht="18" customHeight="1">
      <c r="A22" s="323"/>
      <c r="B22" s="847" t="s">
        <v>1511</v>
      </c>
      <c r="C22" s="658">
        <v>0.27</v>
      </c>
      <c r="D22" s="658">
        <v>0.27</v>
      </c>
      <c r="E22" s="347" t="s">
        <v>1494</v>
      </c>
      <c r="F22" s="1775"/>
      <c r="G22" s="1814"/>
      <c r="H22" s="1815"/>
      <c r="I22" s="1816"/>
      <c r="J22" s="1816"/>
      <c r="K22" s="1809"/>
      <c r="L22" s="1799"/>
      <c r="M22" s="1803"/>
      <c r="N22" s="1808"/>
      <c r="O22" s="1809"/>
      <c r="P22" s="1810"/>
      <c r="Q22" s="1812"/>
      <c r="R22" s="1813"/>
      <c r="S22" s="1778"/>
      <c r="T22" s="289">
        <f>T21/H21</f>
        <v>4.1903999999999997E-2</v>
      </c>
      <c r="U22" s="290">
        <f>U21/H21</f>
        <v>4.1903999999999997E-2</v>
      </c>
      <c r="V22" s="536">
        <f>V21/H21</f>
        <v>4.1903999999999997E-2</v>
      </c>
      <c r="W22" s="659">
        <f>W21/H21</f>
        <v>3.8970719999999993E-2</v>
      </c>
      <c r="X22" s="660">
        <f>X21/H21</f>
        <v>3.8970719999999993E-2</v>
      </c>
      <c r="Y22" s="661">
        <f>Y21/H21</f>
        <v>3.8970719999999993E-2</v>
      </c>
      <c r="Z22" s="659">
        <f t="shared" ref="Z22" si="25">Z21/H21</f>
        <v>3.6037439999999997E-2</v>
      </c>
      <c r="AA22" s="660">
        <f t="shared" ref="AA22" si="26">AA21/H21</f>
        <v>3.6037439999999997E-2</v>
      </c>
      <c r="AB22" s="661">
        <f t="shared" ref="AB22" si="27">AB21/H21</f>
        <v>3.6037439999999997E-2</v>
      </c>
      <c r="AC22" s="659">
        <f>AC21/H21</f>
        <v>3.4780319999999997E-2</v>
      </c>
      <c r="AD22" s="660">
        <f>AD21/H21</f>
        <v>3.4780319999999997E-2</v>
      </c>
      <c r="AE22" s="661">
        <f>AE21/H21</f>
        <v>3.4780319999999997E-2</v>
      </c>
      <c r="AF22" s="659">
        <f>AF21/H21</f>
        <v>3.1427999999999998E-2</v>
      </c>
      <c r="AG22" s="660">
        <f>AG21/H21</f>
        <v>3.1427999999999998E-2</v>
      </c>
      <c r="AH22" s="661">
        <f>AH21/H21</f>
        <v>3.1427999999999998E-2</v>
      </c>
      <c r="AI22" s="659">
        <f>AI21/H21</f>
        <v>2.9332799999999999E-2</v>
      </c>
      <c r="AJ22" s="663">
        <f>AJ21/H21</f>
        <v>2.9332799999999999E-2</v>
      </c>
      <c r="AK22" s="661">
        <f>AK21/H21</f>
        <v>2.9332799999999999E-2</v>
      </c>
    </row>
    <row r="23" spans="1:37" s="66" customFormat="1" ht="18" customHeight="1">
      <c r="A23" s="323"/>
      <c r="B23" s="1779" t="s">
        <v>1512</v>
      </c>
      <c r="C23" s="1780"/>
      <c r="D23" s="1780"/>
      <c r="E23" s="1781"/>
      <c r="F23" s="1782">
        <v>1</v>
      </c>
      <c r="G23" s="1784" t="s">
        <v>1494</v>
      </c>
      <c r="H23" s="1786">
        <v>100000</v>
      </c>
      <c r="I23" s="1788">
        <f>H23*2%*C24</f>
        <v>540</v>
      </c>
      <c r="J23" s="1788">
        <f>H23*2%*D24*12</f>
        <v>6480</v>
      </c>
      <c r="K23" s="1790">
        <f>I23*K8</f>
        <v>0</v>
      </c>
      <c r="L23" s="1792">
        <f>J23*27%</f>
        <v>1749.6000000000001</v>
      </c>
      <c r="M23" s="1794">
        <v>0</v>
      </c>
      <c r="N23" s="1796">
        <v>0</v>
      </c>
      <c r="O23" s="1798">
        <f>J23/12*10%*6</f>
        <v>324</v>
      </c>
      <c r="P23" s="1799"/>
      <c r="Q23" s="1801"/>
      <c r="R23" s="1803"/>
      <c r="S23" s="1805"/>
      <c r="T23" s="649">
        <f>K23+L23+O23</f>
        <v>2073.6000000000004</v>
      </c>
      <c r="U23" s="650">
        <f>K23+L23+Q23+O23</f>
        <v>2073.6000000000004</v>
      </c>
      <c r="V23" s="651">
        <f>K23+L23+N23+Q23+R23+S23+O23</f>
        <v>2073.6000000000004</v>
      </c>
      <c r="W23" s="649">
        <f>T23*$Y$5</f>
        <v>1928.4480000000005</v>
      </c>
      <c r="X23" s="650">
        <f>U23*$Y$5</f>
        <v>1928.4480000000005</v>
      </c>
      <c r="Y23" s="652">
        <f>V23*$Y$5</f>
        <v>1928.4480000000005</v>
      </c>
      <c r="Z23" s="649">
        <f t="shared" ref="Z23:AB23" si="28">T23*$AB$5</f>
        <v>1783.2960000000003</v>
      </c>
      <c r="AA23" s="650">
        <f t="shared" si="28"/>
        <v>1783.2960000000003</v>
      </c>
      <c r="AB23" s="652">
        <f t="shared" si="28"/>
        <v>1783.2960000000003</v>
      </c>
      <c r="AC23" s="649">
        <f>T23*$AE$5</f>
        <v>1721.0880000000002</v>
      </c>
      <c r="AD23" s="650">
        <f>U23*$AE$5</f>
        <v>1721.0880000000002</v>
      </c>
      <c r="AE23" s="652">
        <f>V23*$AE$5</f>
        <v>1721.0880000000002</v>
      </c>
      <c r="AF23" s="649">
        <f>T23*$AH$5</f>
        <v>1555.2000000000003</v>
      </c>
      <c r="AG23" s="650">
        <f>U23*$AH$5</f>
        <v>1555.2000000000003</v>
      </c>
      <c r="AH23" s="652">
        <f>V23*$AH$5</f>
        <v>1555.2000000000003</v>
      </c>
      <c r="AI23" s="649">
        <f>T23*$AK$5</f>
        <v>1451.5200000000002</v>
      </c>
      <c r="AJ23" s="651">
        <f>U23*$AK$5</f>
        <v>1451.5200000000002</v>
      </c>
      <c r="AK23" s="652">
        <f>V23*$AK$5</f>
        <v>1451.5200000000002</v>
      </c>
    </row>
    <row r="24" spans="1:37" s="66" customFormat="1" ht="18" customHeight="1" thickBot="1">
      <c r="A24" s="323"/>
      <c r="B24" s="669" t="s">
        <v>1513</v>
      </c>
      <c r="C24" s="670">
        <v>0.27</v>
      </c>
      <c r="D24" s="670">
        <v>0.27</v>
      </c>
      <c r="E24" s="348" t="s">
        <v>1514</v>
      </c>
      <c r="F24" s="1783"/>
      <c r="G24" s="1785"/>
      <c r="H24" s="1787"/>
      <c r="I24" s="1789"/>
      <c r="J24" s="1789"/>
      <c r="K24" s="1791"/>
      <c r="L24" s="1793"/>
      <c r="M24" s="1795"/>
      <c r="N24" s="1797"/>
      <c r="O24" s="1791"/>
      <c r="P24" s="1800"/>
      <c r="Q24" s="1802"/>
      <c r="R24" s="1804"/>
      <c r="S24" s="1806"/>
      <c r="T24" s="292">
        <f>T23/H23</f>
        <v>2.0736000000000004E-2</v>
      </c>
      <c r="U24" s="293">
        <f>U23/H23</f>
        <v>2.0736000000000004E-2</v>
      </c>
      <c r="V24" s="294">
        <f>V23/H23</f>
        <v>2.0736000000000004E-2</v>
      </c>
      <c r="W24" s="671">
        <f>W23/H23</f>
        <v>1.9284480000000007E-2</v>
      </c>
      <c r="X24" s="672">
        <f>X23/H23</f>
        <v>1.9284480000000007E-2</v>
      </c>
      <c r="Y24" s="673">
        <f>Y23/H23</f>
        <v>1.9284480000000007E-2</v>
      </c>
      <c r="Z24" s="671">
        <f t="shared" ref="Z24" si="29">Z23/H23</f>
        <v>1.7832960000000002E-2</v>
      </c>
      <c r="AA24" s="672">
        <f t="shared" ref="AA24" si="30">AA23/H23</f>
        <v>1.7832960000000002E-2</v>
      </c>
      <c r="AB24" s="673">
        <f t="shared" ref="AB24" si="31">AB23/H23</f>
        <v>1.7832960000000002E-2</v>
      </c>
      <c r="AC24" s="671">
        <f>AC23/H23</f>
        <v>1.7210880000000001E-2</v>
      </c>
      <c r="AD24" s="672">
        <f>AD23/H23</f>
        <v>1.7210880000000001E-2</v>
      </c>
      <c r="AE24" s="673">
        <f>AE23/H23</f>
        <v>1.7210880000000001E-2</v>
      </c>
      <c r="AF24" s="671">
        <f>AF23/H23</f>
        <v>1.5552000000000003E-2</v>
      </c>
      <c r="AG24" s="672">
        <f>AG23/H23</f>
        <v>1.5552000000000003E-2</v>
      </c>
      <c r="AH24" s="673">
        <f>AH23/H23</f>
        <v>1.5552000000000003E-2</v>
      </c>
      <c r="AI24" s="671">
        <f>AI23/H23</f>
        <v>1.4515200000000002E-2</v>
      </c>
      <c r="AJ24" s="674">
        <f>AJ23/H23</f>
        <v>1.4515200000000002E-2</v>
      </c>
      <c r="AK24" s="673">
        <f>AK23/H23</f>
        <v>1.4515200000000002E-2</v>
      </c>
    </row>
    <row r="25" spans="1:37" s="66" customFormat="1" ht="18" customHeight="1">
      <c r="D25" s="65"/>
      <c r="E25" s="65"/>
      <c r="F25" s="65"/>
      <c r="G25" s="65"/>
      <c r="H25" s="65"/>
      <c r="I25" s="65"/>
      <c r="J25" s="65"/>
    </row>
    <row r="26" spans="1:37" s="66" customFormat="1" ht="18" customHeight="1">
      <c r="B26" s="67" t="s">
        <v>1515</v>
      </c>
      <c r="C26" s="65"/>
      <c r="D26" s="65"/>
      <c r="E26" s="65"/>
      <c r="F26" s="65"/>
      <c r="G26" s="65"/>
      <c r="H26" s="65"/>
      <c r="I26" s="65"/>
    </row>
    <row r="27" spans="1:37" s="66" customFormat="1" ht="18" customHeight="1">
      <c r="B27" s="66" t="s">
        <v>1516</v>
      </c>
      <c r="C27" s="65"/>
      <c r="D27" s="65"/>
      <c r="E27" s="65"/>
      <c r="F27" s="65"/>
      <c r="G27" s="65"/>
      <c r="H27" s="65"/>
      <c r="I27" s="65"/>
    </row>
    <row r="28" spans="1:37" s="66" customFormat="1" ht="18" customHeight="1">
      <c r="B28" s="675" t="s">
        <v>1517</v>
      </c>
      <c r="C28" s="67"/>
      <c r="D28" s="67"/>
      <c r="E28" s="67"/>
      <c r="F28" s="67"/>
      <c r="G28" s="65"/>
      <c r="H28" s="65"/>
      <c r="I28" s="65"/>
    </row>
    <row r="29" spans="1:37" s="139" customFormat="1" ht="18" customHeight="1">
      <c r="B29" s="139" t="s">
        <v>746</v>
      </c>
      <c r="C29" s="138"/>
      <c r="D29" s="138"/>
      <c r="E29" s="138"/>
      <c r="F29" s="138"/>
      <c r="G29" s="138"/>
      <c r="H29" s="138"/>
    </row>
    <row r="30" spans="1:37" s="66" customFormat="1" ht="18" customHeight="1">
      <c r="B30" s="66" t="s">
        <v>1518</v>
      </c>
      <c r="C30" s="65"/>
      <c r="D30" s="65"/>
      <c r="E30" s="65"/>
      <c r="F30" s="65"/>
      <c r="G30" s="65"/>
      <c r="H30" s="65"/>
      <c r="I30" s="65"/>
    </row>
    <row r="31" spans="1:37" s="66" customFormat="1" ht="18" customHeight="1">
      <c r="B31" s="66" t="s">
        <v>1519</v>
      </c>
      <c r="C31" s="65"/>
      <c r="D31" s="65"/>
      <c r="E31" s="65"/>
      <c r="F31" s="65"/>
      <c r="G31" s="65"/>
      <c r="H31" s="65"/>
      <c r="I31" s="65"/>
    </row>
    <row r="32" spans="1:37" s="66" customFormat="1" ht="18" customHeight="1">
      <c r="A32" s="139"/>
      <c r="B32" s="139" t="s">
        <v>1520</v>
      </c>
      <c r="C32" s="138"/>
      <c r="D32" s="138"/>
      <c r="E32" s="138"/>
      <c r="F32" s="138"/>
      <c r="G32" s="138"/>
      <c r="H32" s="138"/>
      <c r="I32" s="138"/>
      <c r="J32" s="139"/>
      <c r="K32" s="139"/>
      <c r="L32" s="139"/>
      <c r="M32" s="139"/>
      <c r="N32" s="139"/>
      <c r="O32" s="139"/>
      <c r="P32" s="139"/>
      <c r="Q32" s="139"/>
      <c r="R32" s="139"/>
      <c r="S32" s="139"/>
      <c r="T32" s="139"/>
      <c r="U32" s="139"/>
      <c r="V32" s="139"/>
      <c r="W32" s="139"/>
      <c r="X32" s="139"/>
      <c r="Y32" s="138"/>
      <c r="Z32" s="138"/>
      <c r="AA32" s="138"/>
      <c r="AB32" s="138"/>
      <c r="AC32" s="138"/>
      <c r="AD32" s="139"/>
      <c r="AE32" s="139"/>
      <c r="AF32" s="139"/>
      <c r="AG32" s="139"/>
    </row>
    <row r="33" spans="1:34" s="66" customFormat="1" ht="18" customHeight="1">
      <c r="B33" s="66" t="s">
        <v>1521</v>
      </c>
      <c r="C33" s="65"/>
      <c r="D33" s="65"/>
      <c r="E33" s="65"/>
      <c r="F33" s="65"/>
      <c r="G33" s="65"/>
      <c r="H33" s="65"/>
      <c r="I33" s="65"/>
    </row>
    <row r="34" spans="1:34" s="66" customFormat="1" ht="18" customHeight="1">
      <c r="B34" s="139" t="s">
        <v>1522</v>
      </c>
      <c r="C34" s="65"/>
      <c r="D34" s="65"/>
      <c r="E34" s="65"/>
      <c r="F34" s="65"/>
      <c r="G34" s="65"/>
      <c r="H34" s="65"/>
      <c r="I34" s="65"/>
    </row>
    <row r="35" spans="1:34" s="66" customFormat="1" ht="18" customHeight="1">
      <c r="B35" s="139" t="s">
        <v>1523</v>
      </c>
      <c r="C35" s="65"/>
      <c r="D35" s="65"/>
      <c r="E35" s="65"/>
      <c r="F35" s="65"/>
      <c r="G35" s="65"/>
      <c r="H35" s="65"/>
      <c r="I35" s="65"/>
    </row>
    <row r="36" spans="1:34" s="66" customFormat="1" ht="18" customHeight="1">
      <c r="B36" s="139" t="s">
        <v>1524</v>
      </c>
      <c r="C36" s="65"/>
      <c r="D36" s="65"/>
      <c r="E36" s="65"/>
      <c r="F36" s="65"/>
      <c r="G36" s="65"/>
      <c r="H36" s="65"/>
      <c r="I36" s="65"/>
    </row>
    <row r="37" spans="1:34" s="66" customFormat="1" ht="18" customHeight="1">
      <c r="B37" s="66" t="s">
        <v>1525</v>
      </c>
      <c r="C37" s="65"/>
      <c r="D37" s="65"/>
      <c r="E37" s="65"/>
      <c r="F37" s="65"/>
      <c r="G37" s="65"/>
      <c r="H37" s="65"/>
      <c r="I37" s="65"/>
    </row>
    <row r="38" spans="1:34" s="66" customFormat="1" ht="18" customHeight="1">
      <c r="B38" s="676" t="s">
        <v>1526</v>
      </c>
      <c r="C38" s="65"/>
      <c r="D38" s="65"/>
      <c r="E38" s="65"/>
      <c r="F38" s="65"/>
      <c r="G38" s="65"/>
      <c r="H38" s="65"/>
      <c r="I38" s="65"/>
    </row>
    <row r="39" spans="1:34" ht="18" customHeight="1">
      <c r="A39" s="66"/>
      <c r="C39" s="66"/>
      <c r="D39" s="65"/>
      <c r="E39" s="65"/>
      <c r="F39" s="65"/>
      <c r="G39" s="65"/>
      <c r="H39" s="65"/>
      <c r="I39" s="65"/>
      <c r="J39" s="65"/>
      <c r="K39" s="66"/>
      <c r="L39" s="66"/>
      <c r="M39" s="66"/>
      <c r="N39" s="66"/>
      <c r="O39" s="66"/>
      <c r="P39" s="66"/>
      <c r="Q39" s="66"/>
      <c r="R39" s="66"/>
      <c r="S39" s="66"/>
      <c r="T39" s="66"/>
      <c r="U39" s="66"/>
      <c r="V39" s="66"/>
      <c r="W39" s="66"/>
      <c r="X39" s="66"/>
      <c r="Y39" s="66"/>
      <c r="Z39" s="66"/>
      <c r="AA39" s="66"/>
      <c r="AB39" s="66"/>
      <c r="AC39" s="66"/>
      <c r="AD39" s="66"/>
      <c r="AE39" s="66"/>
      <c r="AF39" s="66"/>
      <c r="AG39" s="66"/>
      <c r="AH39" s="66"/>
    </row>
    <row r="40" spans="1:34" ht="18" customHeight="1">
      <c r="A40" s="66"/>
      <c r="B40" s="66"/>
      <c r="C40" s="66"/>
      <c r="D40" s="65"/>
      <c r="E40" s="65"/>
      <c r="F40" s="65"/>
      <c r="G40" s="65"/>
      <c r="H40" s="65"/>
      <c r="I40" s="65"/>
      <c r="J40" s="65"/>
      <c r="K40" s="66"/>
      <c r="L40" s="66"/>
      <c r="M40" s="66"/>
      <c r="N40" s="66"/>
      <c r="O40" s="66"/>
      <c r="P40" s="66"/>
      <c r="Q40" s="66"/>
      <c r="R40" s="66"/>
      <c r="S40" s="66"/>
      <c r="T40" s="66"/>
      <c r="U40" s="66"/>
      <c r="V40" s="66"/>
      <c r="W40" s="66"/>
      <c r="X40" s="66"/>
      <c r="Y40" s="66"/>
      <c r="Z40" s="66"/>
      <c r="AA40" s="66"/>
      <c r="AB40" s="66"/>
      <c r="AC40" s="66"/>
      <c r="AD40" s="66"/>
      <c r="AE40" s="66"/>
      <c r="AF40" s="66"/>
      <c r="AG40" s="66"/>
      <c r="AH40" s="66"/>
    </row>
    <row r="41" spans="1:34" ht="18" customHeight="1">
      <c r="A41" s="66"/>
      <c r="B41" s="66"/>
      <c r="C41" s="66"/>
      <c r="D41" s="65"/>
      <c r="E41" s="65"/>
      <c r="F41" s="65"/>
      <c r="G41" s="65"/>
      <c r="H41" s="65"/>
      <c r="I41" s="65"/>
      <c r="J41" s="65"/>
      <c r="K41" s="66"/>
      <c r="L41" s="66"/>
      <c r="M41" s="66"/>
      <c r="N41" s="66"/>
      <c r="O41" s="66"/>
      <c r="P41" s="66"/>
      <c r="Q41" s="66"/>
      <c r="R41" s="66"/>
      <c r="S41" s="66"/>
      <c r="T41" s="66"/>
      <c r="U41" s="66"/>
      <c r="V41" s="66"/>
      <c r="W41" s="66"/>
      <c r="X41" s="66"/>
      <c r="Y41" s="66"/>
      <c r="Z41" s="66"/>
      <c r="AA41" s="66"/>
      <c r="AB41" s="66"/>
      <c r="AC41" s="66"/>
      <c r="AD41" s="66"/>
      <c r="AE41" s="66"/>
      <c r="AF41" s="66"/>
      <c r="AG41" s="66"/>
      <c r="AH41" s="66"/>
    </row>
    <row r="42" spans="1:34" ht="18" customHeight="1">
      <c r="A42" s="66"/>
      <c r="B42" s="66"/>
      <c r="C42" s="66"/>
      <c r="D42" s="65"/>
      <c r="E42" s="65"/>
      <c r="F42" s="65"/>
      <c r="G42" s="65"/>
      <c r="H42" s="65"/>
      <c r="I42" s="65"/>
      <c r="J42" s="65"/>
      <c r="K42" s="66"/>
      <c r="L42" s="66"/>
      <c r="M42" s="66"/>
      <c r="N42" s="66"/>
      <c r="O42" s="66"/>
      <c r="P42" s="66"/>
      <c r="Q42" s="66"/>
      <c r="R42" s="66"/>
      <c r="S42" s="66"/>
      <c r="T42" s="66"/>
      <c r="U42" s="66"/>
      <c r="V42" s="66"/>
      <c r="W42" s="66"/>
      <c r="X42" s="66"/>
      <c r="Y42" s="66"/>
      <c r="Z42" s="66"/>
      <c r="AA42" s="66"/>
      <c r="AB42" s="66"/>
      <c r="AC42" s="66"/>
      <c r="AD42" s="66"/>
      <c r="AE42" s="66"/>
      <c r="AF42" s="66"/>
      <c r="AG42" s="66"/>
      <c r="AH42" s="66"/>
    </row>
    <row r="43" spans="1:34" ht="18" customHeight="1">
      <c r="A43" s="66"/>
      <c r="B43" s="66"/>
      <c r="C43" s="66"/>
      <c r="D43" s="65"/>
      <c r="E43" s="65"/>
      <c r="F43" s="65"/>
      <c r="G43" s="65"/>
      <c r="H43" s="65"/>
      <c r="I43" s="65"/>
      <c r="J43" s="65"/>
      <c r="K43" s="66"/>
      <c r="L43" s="66"/>
      <c r="M43" s="66"/>
      <c r="N43" s="66"/>
      <c r="O43" s="66"/>
      <c r="P43" s="66"/>
      <c r="Q43" s="66"/>
      <c r="R43" s="66"/>
      <c r="S43" s="66"/>
      <c r="T43" s="66"/>
      <c r="U43" s="66"/>
      <c r="V43" s="66"/>
      <c r="W43" s="66"/>
      <c r="X43" s="66"/>
      <c r="Y43" s="66"/>
      <c r="Z43" s="66"/>
      <c r="AA43" s="66"/>
      <c r="AB43" s="66"/>
      <c r="AC43" s="66"/>
      <c r="AD43" s="66"/>
      <c r="AE43" s="66"/>
      <c r="AF43" s="66"/>
      <c r="AG43" s="66"/>
      <c r="AH43" s="66"/>
    </row>
    <row r="44" spans="1:34" ht="18" customHeight="1">
      <c r="A44" s="66"/>
      <c r="B44" s="66"/>
      <c r="C44" s="66"/>
      <c r="D44" s="65"/>
      <c r="E44" s="65"/>
      <c r="F44" s="65"/>
      <c r="G44" s="65"/>
      <c r="H44" s="65"/>
      <c r="I44" s="65"/>
      <c r="J44" s="65"/>
      <c r="K44" s="66"/>
      <c r="L44" s="66"/>
      <c r="M44" s="66"/>
      <c r="N44" s="66"/>
      <c r="O44" s="66"/>
      <c r="P44" s="66"/>
      <c r="Q44" s="66"/>
      <c r="R44" s="66"/>
      <c r="S44" s="66"/>
      <c r="T44" s="66"/>
      <c r="U44" s="66"/>
      <c r="V44" s="66"/>
      <c r="W44" s="66"/>
      <c r="X44" s="66"/>
      <c r="Y44" s="66"/>
      <c r="Z44" s="66"/>
      <c r="AA44" s="66"/>
      <c r="AB44" s="66"/>
      <c r="AC44" s="66"/>
      <c r="AD44" s="66"/>
      <c r="AE44" s="66"/>
      <c r="AF44" s="66"/>
      <c r="AG44" s="66"/>
      <c r="AH44" s="66"/>
    </row>
    <row r="45" spans="1:34" ht="18" customHeight="1">
      <c r="A45" s="66"/>
      <c r="B45" s="66"/>
      <c r="C45" s="66"/>
      <c r="D45" s="65"/>
      <c r="E45" s="65"/>
      <c r="F45" s="65"/>
      <c r="G45" s="65"/>
      <c r="H45" s="65"/>
      <c r="I45" s="65"/>
      <c r="J45" s="65"/>
      <c r="K45" s="66"/>
      <c r="L45" s="66"/>
      <c r="M45" s="66"/>
      <c r="N45" s="66"/>
      <c r="O45" s="66"/>
      <c r="P45" s="66"/>
      <c r="Q45" s="66"/>
      <c r="R45" s="66"/>
      <c r="S45" s="66"/>
      <c r="T45" s="66"/>
      <c r="U45" s="66"/>
      <c r="V45" s="66"/>
      <c r="W45" s="66"/>
      <c r="X45" s="66"/>
      <c r="Y45" s="66"/>
      <c r="Z45" s="66"/>
      <c r="AA45" s="66"/>
      <c r="AB45" s="66"/>
      <c r="AC45" s="66"/>
      <c r="AD45" s="66"/>
      <c r="AE45" s="66"/>
      <c r="AF45" s="66"/>
      <c r="AG45" s="66"/>
      <c r="AH45" s="66"/>
    </row>
    <row r="46" spans="1:34" ht="18" customHeight="1">
      <c r="A46" s="66"/>
      <c r="B46" s="66"/>
      <c r="C46" s="66"/>
      <c r="D46" s="65"/>
      <c r="E46" s="65"/>
      <c r="F46" s="65"/>
      <c r="G46" s="65"/>
      <c r="H46" s="65"/>
      <c r="I46" s="65"/>
      <c r="J46" s="65"/>
      <c r="K46" s="66"/>
      <c r="L46" s="66"/>
      <c r="M46" s="66"/>
      <c r="N46" s="66"/>
      <c r="O46" s="66"/>
      <c r="P46" s="66"/>
      <c r="Q46" s="66"/>
      <c r="R46" s="66"/>
      <c r="S46" s="66"/>
      <c r="T46" s="66"/>
      <c r="U46" s="66"/>
      <c r="V46" s="66"/>
      <c r="W46" s="66"/>
      <c r="X46" s="66"/>
      <c r="Y46" s="66"/>
      <c r="Z46" s="66"/>
      <c r="AA46" s="66"/>
      <c r="AB46" s="66"/>
      <c r="AC46" s="66"/>
      <c r="AD46" s="66"/>
      <c r="AE46" s="66"/>
      <c r="AF46" s="66"/>
      <c r="AG46" s="66"/>
      <c r="AH46" s="66"/>
    </row>
    <row r="47" spans="1:34" ht="18" customHeight="1">
      <c r="A47" s="66"/>
      <c r="B47" s="66"/>
      <c r="C47" s="66"/>
      <c r="D47" s="65"/>
      <c r="E47" s="65"/>
      <c r="F47" s="65"/>
      <c r="G47" s="65"/>
      <c r="H47" s="65"/>
      <c r="I47" s="65"/>
      <c r="J47" s="65"/>
      <c r="K47" s="66"/>
      <c r="L47" s="66"/>
      <c r="M47" s="66"/>
      <c r="N47" s="66"/>
      <c r="O47" s="66"/>
      <c r="P47" s="66"/>
      <c r="Q47" s="66"/>
      <c r="R47" s="66"/>
      <c r="S47" s="66"/>
      <c r="T47" s="66"/>
      <c r="U47" s="66"/>
      <c r="V47" s="66"/>
      <c r="W47" s="66"/>
      <c r="X47" s="66"/>
      <c r="Y47" s="66"/>
      <c r="Z47" s="66"/>
      <c r="AA47" s="66"/>
      <c r="AB47" s="66"/>
      <c r="AC47" s="66"/>
      <c r="AD47" s="66"/>
      <c r="AE47" s="66"/>
      <c r="AF47" s="66"/>
      <c r="AG47" s="66"/>
      <c r="AH47" s="66"/>
    </row>
    <row r="48" spans="1:34" ht="18" customHeight="1">
      <c r="A48" s="66"/>
      <c r="B48" s="66"/>
      <c r="C48" s="66"/>
      <c r="D48" s="65"/>
      <c r="E48" s="65"/>
      <c r="F48" s="65"/>
      <c r="G48" s="65"/>
      <c r="H48" s="65"/>
      <c r="I48" s="65"/>
      <c r="J48" s="65"/>
      <c r="K48" s="66"/>
      <c r="L48" s="66"/>
      <c r="M48" s="66"/>
      <c r="N48" s="66"/>
      <c r="O48" s="66"/>
      <c r="P48" s="66"/>
      <c r="Q48" s="66"/>
      <c r="R48" s="66"/>
      <c r="S48" s="66"/>
      <c r="T48" s="66"/>
      <c r="U48" s="66"/>
      <c r="V48" s="66"/>
      <c r="W48" s="66"/>
      <c r="X48" s="66"/>
      <c r="Y48" s="66"/>
      <c r="Z48" s="66"/>
      <c r="AA48" s="66"/>
      <c r="AB48" s="66"/>
      <c r="AC48" s="66"/>
      <c r="AD48" s="66"/>
      <c r="AE48" s="66"/>
      <c r="AF48" s="66"/>
      <c r="AG48" s="66"/>
      <c r="AH48" s="66"/>
    </row>
    <row r="49" spans="1:34" ht="18" customHeight="1">
      <c r="A49" s="66"/>
      <c r="B49" s="66"/>
      <c r="C49" s="66"/>
      <c r="D49" s="65"/>
      <c r="E49" s="65"/>
      <c r="F49" s="65"/>
      <c r="G49" s="65"/>
      <c r="H49" s="65"/>
      <c r="I49" s="65"/>
      <c r="J49" s="65"/>
      <c r="K49" s="66"/>
      <c r="L49" s="66"/>
      <c r="M49" s="66"/>
      <c r="N49" s="66"/>
      <c r="O49" s="66"/>
      <c r="P49" s="66"/>
      <c r="Q49" s="66"/>
      <c r="R49" s="66"/>
      <c r="S49" s="66"/>
      <c r="T49" s="66"/>
      <c r="U49" s="66"/>
      <c r="V49" s="66"/>
      <c r="W49" s="66"/>
      <c r="X49" s="66"/>
      <c r="Y49" s="66"/>
      <c r="Z49" s="66"/>
      <c r="AA49" s="66"/>
      <c r="AB49" s="66"/>
      <c r="AC49" s="66"/>
      <c r="AD49" s="66"/>
      <c r="AE49" s="66"/>
      <c r="AF49" s="66"/>
      <c r="AG49" s="66"/>
      <c r="AH49" s="66"/>
    </row>
    <row r="50" spans="1:34" ht="18" customHeight="1">
      <c r="A50" s="66"/>
      <c r="B50" s="66"/>
      <c r="C50" s="66"/>
      <c r="D50" s="65"/>
      <c r="E50" s="65"/>
      <c r="F50" s="65"/>
      <c r="G50" s="65"/>
      <c r="H50" s="65"/>
      <c r="I50" s="65"/>
      <c r="J50" s="65"/>
      <c r="K50" s="66"/>
      <c r="L50" s="66"/>
      <c r="M50" s="66"/>
      <c r="N50" s="66"/>
      <c r="O50" s="66"/>
      <c r="P50" s="66"/>
      <c r="Q50" s="66"/>
      <c r="R50" s="66"/>
      <c r="S50" s="66"/>
      <c r="T50" s="66"/>
      <c r="U50" s="66"/>
      <c r="V50" s="66"/>
      <c r="W50" s="66"/>
      <c r="X50" s="66"/>
      <c r="Y50" s="66"/>
      <c r="Z50" s="66"/>
      <c r="AA50" s="66"/>
      <c r="AB50" s="66"/>
      <c r="AC50" s="66"/>
      <c r="AD50" s="66"/>
      <c r="AE50" s="66"/>
      <c r="AF50" s="66"/>
      <c r="AG50" s="66"/>
      <c r="AH50" s="66"/>
    </row>
    <row r="51" spans="1:34" ht="18" customHeight="1">
      <c r="A51" s="66"/>
      <c r="B51" s="66"/>
      <c r="C51" s="66"/>
      <c r="D51" s="65"/>
      <c r="E51" s="65"/>
      <c r="F51" s="65"/>
      <c r="G51" s="65"/>
      <c r="H51" s="65"/>
      <c r="I51" s="65"/>
      <c r="J51" s="65"/>
      <c r="K51" s="66"/>
      <c r="L51" s="66"/>
      <c r="M51" s="66"/>
      <c r="N51" s="66"/>
      <c r="O51" s="66"/>
      <c r="P51" s="66"/>
      <c r="Q51" s="66"/>
      <c r="R51" s="66"/>
      <c r="S51" s="66"/>
      <c r="T51" s="66"/>
      <c r="U51" s="66"/>
      <c r="V51" s="66"/>
      <c r="W51" s="66"/>
      <c r="X51" s="66"/>
      <c r="Y51" s="66"/>
      <c r="Z51" s="66"/>
      <c r="AA51" s="66"/>
      <c r="AB51" s="66"/>
      <c r="AC51" s="66"/>
      <c r="AD51" s="66"/>
      <c r="AE51" s="66"/>
      <c r="AF51" s="66"/>
      <c r="AG51" s="66"/>
      <c r="AH51" s="66"/>
    </row>
    <row r="52" spans="1:34" ht="18" customHeight="1">
      <c r="A52" s="66"/>
      <c r="B52" s="66"/>
      <c r="C52" s="66"/>
      <c r="D52" s="65"/>
      <c r="E52" s="65"/>
      <c r="F52" s="65"/>
      <c r="G52" s="65"/>
      <c r="H52" s="65"/>
      <c r="I52" s="65"/>
      <c r="J52" s="65"/>
      <c r="K52" s="66"/>
      <c r="L52" s="66"/>
      <c r="M52" s="66"/>
      <c r="N52" s="66"/>
      <c r="O52" s="66"/>
      <c r="P52" s="66"/>
      <c r="Q52" s="66"/>
      <c r="R52" s="66"/>
      <c r="S52" s="66"/>
      <c r="T52" s="66"/>
      <c r="U52" s="66"/>
      <c r="V52" s="66"/>
      <c r="W52" s="66"/>
      <c r="X52" s="66"/>
      <c r="Y52" s="66"/>
      <c r="Z52" s="66"/>
      <c r="AA52" s="66"/>
      <c r="AB52" s="66"/>
      <c r="AC52" s="66"/>
      <c r="AD52" s="66"/>
      <c r="AE52" s="66"/>
      <c r="AF52" s="66"/>
      <c r="AG52" s="66"/>
      <c r="AH52" s="66"/>
    </row>
  </sheetData>
  <mergeCells count="147">
    <mergeCell ref="M19:M20"/>
    <mergeCell ref="N19:N20"/>
    <mergeCell ref="O19:O20"/>
    <mergeCell ref="P19:P20"/>
    <mergeCell ref="Q19:Q20"/>
    <mergeCell ref="R19:R20"/>
    <mergeCell ref="Q17:Q18"/>
    <mergeCell ref="R17:R18"/>
    <mergeCell ref="B19:E19"/>
    <mergeCell ref="F19:F20"/>
    <mergeCell ref="G19:G20"/>
    <mergeCell ref="H19:H20"/>
    <mergeCell ref="I19:I20"/>
    <mergeCell ref="J19:J20"/>
    <mergeCell ref="K19:K20"/>
    <mergeCell ref="L19:L20"/>
    <mergeCell ref="K17:K18"/>
    <mergeCell ref="L17:L18"/>
    <mergeCell ref="M17:M18"/>
    <mergeCell ref="N17:N18"/>
    <mergeCell ref="O17:O18"/>
    <mergeCell ref="P17:P18"/>
    <mergeCell ref="B17:E17"/>
    <mergeCell ref="F17:F18"/>
    <mergeCell ref="G17:G18"/>
    <mergeCell ref="H17:H18"/>
    <mergeCell ref="I17:I18"/>
    <mergeCell ref="J17:J18"/>
    <mergeCell ref="M15:M16"/>
    <mergeCell ref="N15:N16"/>
    <mergeCell ref="O15:O16"/>
    <mergeCell ref="P15:P16"/>
    <mergeCell ref="Q15:Q16"/>
    <mergeCell ref="R15:R16"/>
    <mergeCell ref="Q13:Q14"/>
    <mergeCell ref="R13:R14"/>
    <mergeCell ref="B15:E15"/>
    <mergeCell ref="F15:F16"/>
    <mergeCell ref="G15:G16"/>
    <mergeCell ref="H15:H16"/>
    <mergeCell ref="I15:I16"/>
    <mergeCell ref="J15:J16"/>
    <mergeCell ref="K15:K16"/>
    <mergeCell ref="L15:L16"/>
    <mergeCell ref="K13:K14"/>
    <mergeCell ref="L13:L14"/>
    <mergeCell ref="M13:M14"/>
    <mergeCell ref="N13:N14"/>
    <mergeCell ref="O13:O14"/>
    <mergeCell ref="P13:P14"/>
    <mergeCell ref="B13:E13"/>
    <mergeCell ref="F13:F14"/>
    <mergeCell ref="G13:G14"/>
    <mergeCell ref="H13:H14"/>
    <mergeCell ref="I13:I14"/>
    <mergeCell ref="J13:J14"/>
    <mergeCell ref="M11:M12"/>
    <mergeCell ref="N11:N12"/>
    <mergeCell ref="O11:O12"/>
    <mergeCell ref="P11:P12"/>
    <mergeCell ref="Q11:Q12"/>
    <mergeCell ref="R11:R12"/>
    <mergeCell ref="Q9:Q10"/>
    <mergeCell ref="R9:R10"/>
    <mergeCell ref="B11:E11"/>
    <mergeCell ref="F11:F12"/>
    <mergeCell ref="G11:G12"/>
    <mergeCell ref="H11:H12"/>
    <mergeCell ref="I11:I12"/>
    <mergeCell ref="J11:J12"/>
    <mergeCell ref="K11:K12"/>
    <mergeCell ref="L11:L12"/>
    <mergeCell ref="K9:K10"/>
    <mergeCell ref="L9:L10"/>
    <mergeCell ref="M9:M10"/>
    <mergeCell ref="N9:N10"/>
    <mergeCell ref="O9:O10"/>
    <mergeCell ref="P9:P10"/>
    <mergeCell ref="B9:E9"/>
    <mergeCell ref="F9:F10"/>
    <mergeCell ref="S7:S8"/>
    <mergeCell ref="G9:G10"/>
    <mergeCell ref="H9:H10"/>
    <mergeCell ref="I9:I10"/>
    <mergeCell ref="J9:J10"/>
    <mergeCell ref="M7:M8"/>
    <mergeCell ref="N7:N8"/>
    <mergeCell ref="O7:O8"/>
    <mergeCell ref="P7:P8"/>
    <mergeCell ref="Q7:Q8"/>
    <mergeCell ref="R7:R8"/>
    <mergeCell ref="S9:S10"/>
    <mergeCell ref="B7:E7"/>
    <mergeCell ref="F7:F8"/>
    <mergeCell ref="G7:G8"/>
    <mergeCell ref="H7:H8"/>
    <mergeCell ref="I7:I8"/>
    <mergeCell ref="J7:J8"/>
    <mergeCell ref="K7:K8"/>
    <mergeCell ref="L7:L8"/>
    <mergeCell ref="B5:E5"/>
    <mergeCell ref="F5:G5"/>
    <mergeCell ref="H5:J5"/>
    <mergeCell ref="B1:AK1"/>
    <mergeCell ref="L5:O5"/>
    <mergeCell ref="P5:S5"/>
    <mergeCell ref="T5:V5"/>
    <mergeCell ref="W5:X5"/>
    <mergeCell ref="Z5:AA5"/>
    <mergeCell ref="AC5:AD5"/>
    <mergeCell ref="AF5:AG5"/>
    <mergeCell ref="AI5:AJ5"/>
    <mergeCell ref="Q21:Q22"/>
    <mergeCell ref="R21:R22"/>
    <mergeCell ref="B21:E21"/>
    <mergeCell ref="F21:F22"/>
    <mergeCell ref="G21:G22"/>
    <mergeCell ref="H21:H22"/>
    <mergeCell ref="I21:I22"/>
    <mergeCell ref="J21:J22"/>
    <mergeCell ref="K21:K22"/>
    <mergeCell ref="L21:L22"/>
    <mergeCell ref="M21:M22"/>
    <mergeCell ref="S11:S12"/>
    <mergeCell ref="S13:S14"/>
    <mergeCell ref="S15:S16"/>
    <mergeCell ref="S17:S18"/>
    <mergeCell ref="S19:S20"/>
    <mergeCell ref="S21:S22"/>
    <mergeCell ref="B23:E23"/>
    <mergeCell ref="F23:F24"/>
    <mergeCell ref="G23:G24"/>
    <mergeCell ref="H23:H24"/>
    <mergeCell ref="I23:I24"/>
    <mergeCell ref="J23:J24"/>
    <mergeCell ref="K23:K24"/>
    <mergeCell ref="L23:L24"/>
    <mergeCell ref="M23:M24"/>
    <mergeCell ref="N23:N24"/>
    <mergeCell ref="O23:O24"/>
    <mergeCell ref="P23:P24"/>
    <mergeCell ref="Q23:Q24"/>
    <mergeCell ref="R23:R24"/>
    <mergeCell ref="S23:S24"/>
    <mergeCell ref="N21:N22"/>
    <mergeCell ref="O21:O22"/>
    <mergeCell ref="P21:P22"/>
  </mergeCells>
  <phoneticPr fontId="100" type="noConversion"/>
  <pageMargins left="0.31496062992125984" right="0.31496062992125984" top="0.31496062992125984" bottom="0.31496062992125984" header="0" footer="0"/>
  <pageSetup paperSize="9" scale="48"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66FF"/>
    <pageSetUpPr fitToPage="1"/>
  </sheetPr>
  <dimension ref="A1:Q29"/>
  <sheetViews>
    <sheetView zoomScaleNormal="100" workbookViewId="0">
      <selection activeCell="B1" sqref="B1:Q1"/>
    </sheetView>
  </sheetViews>
  <sheetFormatPr defaultColWidth="9.625" defaultRowHeight="16.5"/>
  <cols>
    <col min="1" max="1" width="1" customWidth="1"/>
    <col min="11" max="11" width="10.75" customWidth="1"/>
    <col min="12" max="12" width="6.125" customWidth="1"/>
    <col min="13" max="14" width="8.375" customWidth="1"/>
  </cols>
  <sheetData>
    <row r="1" spans="1:17" ht="30" customHeight="1" thickBot="1">
      <c r="A1" s="316"/>
      <c r="B1" s="1082" t="s">
        <v>1709</v>
      </c>
      <c r="C1" s="1082"/>
      <c r="D1" s="1082"/>
      <c r="E1" s="1082"/>
      <c r="F1" s="1082"/>
      <c r="G1" s="1082"/>
      <c r="H1" s="1082"/>
      <c r="I1" s="1082"/>
      <c r="J1" s="1082"/>
      <c r="K1" s="1082"/>
      <c r="L1" s="1082"/>
      <c r="M1" s="1082"/>
      <c r="N1" s="1082"/>
      <c r="O1" s="1082"/>
      <c r="P1" s="1082"/>
      <c r="Q1" s="1082"/>
    </row>
    <row r="2" spans="1:17" ht="18" customHeight="1" thickTop="1">
      <c r="B2" s="1"/>
      <c r="C2" s="1"/>
      <c r="D2" s="2"/>
      <c r="E2" s="2"/>
      <c r="F2" s="3"/>
      <c r="G2" s="3"/>
      <c r="H2" s="3"/>
      <c r="I2" s="3"/>
      <c r="J2" s="3"/>
      <c r="K2" s="2"/>
      <c r="L2" s="2"/>
      <c r="M2" s="2"/>
      <c r="N2" s="2"/>
      <c r="O2" s="2"/>
      <c r="P2" s="2"/>
      <c r="Q2" s="2"/>
    </row>
    <row r="3" spans="1:17" s="217" customFormat="1" ht="18" customHeight="1" thickBot="1">
      <c r="B3" s="4" t="s">
        <v>82</v>
      </c>
      <c r="C3" s="5"/>
      <c r="D3" s="5"/>
      <c r="E3" s="5"/>
      <c r="F3" s="6"/>
      <c r="G3" s="6"/>
      <c r="H3" s="6"/>
      <c r="I3" s="6"/>
      <c r="J3" s="6"/>
      <c r="K3" s="6"/>
      <c r="L3" s="6"/>
      <c r="M3" s="6"/>
      <c r="N3" s="6"/>
      <c r="O3" s="6"/>
      <c r="P3" s="6"/>
      <c r="Q3" s="6"/>
    </row>
    <row r="4" spans="1:17" s="217" customFormat="1" ht="18" customHeight="1">
      <c r="B4" s="1853" t="s">
        <v>83</v>
      </c>
      <c r="C4" s="1854"/>
      <c r="D4" s="1303" t="s">
        <v>84</v>
      </c>
      <c r="E4" s="1304"/>
      <c r="F4" s="1304"/>
      <c r="G4" s="1304"/>
      <c r="H4" s="1304"/>
      <c r="I4" s="1304"/>
      <c r="J4" s="1302"/>
      <c r="K4" s="1854" t="s">
        <v>85</v>
      </c>
      <c r="L4" s="1854"/>
      <c r="M4" s="1854"/>
      <c r="N4" s="1854"/>
      <c r="O4" s="1854"/>
      <c r="P4" s="1854"/>
      <c r="Q4" s="1855"/>
    </row>
    <row r="5" spans="1:17" s="217" customFormat="1" ht="18" customHeight="1">
      <c r="B5" s="1306" t="s">
        <v>86</v>
      </c>
      <c r="C5" s="1307"/>
      <c r="D5" s="1858" t="s">
        <v>87</v>
      </c>
      <c r="E5" s="1859"/>
      <c r="F5" s="1859"/>
      <c r="G5" s="1859"/>
      <c r="H5" s="1859"/>
      <c r="I5" s="1859"/>
      <c r="J5" s="1860"/>
      <c r="K5" s="1864" t="s">
        <v>88</v>
      </c>
      <c r="L5" s="1864"/>
      <c r="M5" s="1864"/>
      <c r="N5" s="1864"/>
      <c r="O5" s="1864"/>
      <c r="P5" s="1864"/>
      <c r="Q5" s="1865"/>
    </row>
    <row r="6" spans="1:17" s="217" customFormat="1" ht="18" customHeight="1">
      <c r="B6" s="1856"/>
      <c r="C6" s="1857"/>
      <c r="D6" s="1861"/>
      <c r="E6" s="1862"/>
      <c r="F6" s="1862"/>
      <c r="G6" s="1862"/>
      <c r="H6" s="1862"/>
      <c r="I6" s="1862"/>
      <c r="J6" s="1863"/>
      <c r="K6" s="1851" t="s">
        <v>89</v>
      </c>
      <c r="L6" s="1852"/>
      <c r="M6" s="1852"/>
      <c r="N6" s="1852"/>
      <c r="O6" s="1852"/>
      <c r="P6" s="1852"/>
      <c r="Q6" s="1866"/>
    </row>
    <row r="7" spans="1:17" s="217" customFormat="1" ht="27" customHeight="1">
      <c r="B7" s="1867" t="s">
        <v>90</v>
      </c>
      <c r="C7" s="1868"/>
      <c r="D7" s="1869" t="s">
        <v>91</v>
      </c>
      <c r="E7" s="1870"/>
      <c r="F7" s="1870"/>
      <c r="G7" s="1870" t="s">
        <v>92</v>
      </c>
      <c r="H7" s="1870"/>
      <c r="I7" s="1870"/>
      <c r="J7" s="1871"/>
      <c r="K7" s="1872" t="s">
        <v>93</v>
      </c>
      <c r="L7" s="1872"/>
      <c r="M7" s="1872"/>
      <c r="N7" s="1872"/>
      <c r="O7" s="1872"/>
      <c r="P7" s="1872"/>
      <c r="Q7" s="1873"/>
    </row>
    <row r="8" spans="1:17" s="217" customFormat="1" ht="27" customHeight="1" thickBot="1">
      <c r="B8" s="1874" t="s">
        <v>94</v>
      </c>
      <c r="C8" s="1875"/>
      <c r="D8" s="1876" t="s">
        <v>95</v>
      </c>
      <c r="E8" s="1877"/>
      <c r="F8" s="1877"/>
      <c r="G8" s="1877" t="s">
        <v>96</v>
      </c>
      <c r="H8" s="1877"/>
      <c r="I8" s="1877"/>
      <c r="J8" s="1878"/>
      <c r="K8" s="1879" t="s">
        <v>97</v>
      </c>
      <c r="L8" s="1879"/>
      <c r="M8" s="1879"/>
      <c r="N8" s="1879"/>
      <c r="O8" s="1879"/>
      <c r="P8" s="1879"/>
      <c r="Q8" s="1880"/>
    </row>
    <row r="9" spans="1:17" s="217" customFormat="1" ht="18" customHeight="1">
      <c r="B9" s="6"/>
      <c r="C9" s="5"/>
      <c r="D9" s="5"/>
      <c r="E9" s="5"/>
      <c r="F9" s="6"/>
      <c r="G9" s="6"/>
      <c r="H9" s="6"/>
      <c r="I9" s="6"/>
      <c r="J9" s="6"/>
      <c r="K9" s="6"/>
      <c r="L9" s="6"/>
      <c r="M9" s="6"/>
      <c r="N9" s="6"/>
      <c r="O9" s="6"/>
      <c r="P9" s="6"/>
      <c r="Q9" s="6"/>
    </row>
    <row r="10" spans="1:17" s="217" customFormat="1" ht="18" customHeight="1" thickBot="1">
      <c r="B10" s="4" t="s">
        <v>98</v>
      </c>
      <c r="C10" s="5"/>
      <c r="D10" s="5"/>
      <c r="E10" s="5"/>
      <c r="F10" s="6"/>
      <c r="G10" s="6"/>
      <c r="H10" s="6"/>
      <c r="I10" s="6"/>
      <c r="J10" s="6"/>
      <c r="K10" s="6"/>
      <c r="L10" s="6"/>
      <c r="M10" s="6"/>
      <c r="N10" s="6"/>
      <c r="O10" s="6"/>
      <c r="P10" s="6"/>
      <c r="Q10" s="6"/>
    </row>
    <row r="11" spans="1:17" s="217" customFormat="1" ht="22.5" customHeight="1">
      <c r="B11" s="1853" t="s">
        <v>83</v>
      </c>
      <c r="C11" s="1854"/>
      <c r="D11" s="1303" t="s">
        <v>84</v>
      </c>
      <c r="E11" s="1304"/>
      <c r="F11" s="1304"/>
      <c r="G11" s="1304"/>
      <c r="H11" s="1304"/>
      <c r="I11" s="1304"/>
      <c r="J11" s="1302"/>
      <c r="K11" s="1854" t="s">
        <v>85</v>
      </c>
      <c r="L11" s="1854"/>
      <c r="M11" s="1854"/>
      <c r="N11" s="1854"/>
      <c r="O11" s="1854"/>
      <c r="P11" s="1881"/>
      <c r="Q11" s="1882"/>
    </row>
    <row r="12" spans="1:17" s="217" customFormat="1" ht="22.5" customHeight="1">
      <c r="B12" s="1867" t="s">
        <v>99</v>
      </c>
      <c r="C12" s="1868"/>
      <c r="D12" s="1845" t="s">
        <v>100</v>
      </c>
      <c r="E12" s="1846"/>
      <c r="F12" s="1846"/>
      <c r="G12" s="1846"/>
      <c r="H12" s="1846"/>
      <c r="I12" s="1846"/>
      <c r="J12" s="1883"/>
      <c r="K12" s="1885" t="s">
        <v>101</v>
      </c>
      <c r="L12" s="1886"/>
      <c r="M12" s="1886"/>
      <c r="N12" s="1887"/>
      <c r="O12" s="481" t="s">
        <v>102</v>
      </c>
      <c r="P12" s="481" t="s">
        <v>103</v>
      </c>
      <c r="Q12" s="11" t="s">
        <v>104</v>
      </c>
    </row>
    <row r="13" spans="1:17" s="217" customFormat="1" ht="22.5" customHeight="1">
      <c r="B13" s="1867"/>
      <c r="C13" s="1868"/>
      <c r="D13" s="1851" t="s">
        <v>105</v>
      </c>
      <c r="E13" s="1852"/>
      <c r="F13" s="1852"/>
      <c r="G13" s="1852"/>
      <c r="H13" s="1852"/>
      <c r="I13" s="1852"/>
      <c r="J13" s="1884"/>
      <c r="K13" s="1885" t="s">
        <v>106</v>
      </c>
      <c r="L13" s="1886"/>
      <c r="M13" s="1886"/>
      <c r="N13" s="1887"/>
      <c r="O13" s="160">
        <v>0.93</v>
      </c>
      <c r="P13" s="160">
        <v>0.9</v>
      </c>
      <c r="Q13" s="161">
        <v>0.87</v>
      </c>
    </row>
    <row r="14" spans="1:17" s="217" customFormat="1" ht="38.25" customHeight="1" thickBot="1">
      <c r="B14" s="1901" t="s">
        <v>107</v>
      </c>
      <c r="C14" s="1902"/>
      <c r="D14" s="1903" t="s">
        <v>428</v>
      </c>
      <c r="E14" s="1904"/>
      <c r="F14" s="1904"/>
      <c r="G14" s="1904"/>
      <c r="H14" s="1904"/>
      <c r="I14" s="1904"/>
      <c r="J14" s="1904"/>
      <c r="K14" s="1904"/>
      <c r="L14" s="1904"/>
      <c r="M14" s="1904"/>
      <c r="N14" s="1904"/>
      <c r="O14" s="1904"/>
      <c r="P14" s="1905"/>
      <c r="Q14" s="1906"/>
    </row>
    <row r="15" spans="1:17" s="217" customFormat="1" ht="18" customHeight="1">
      <c r="B15" s="8"/>
      <c r="C15" s="213"/>
      <c r="D15" s="213"/>
      <c r="E15" s="5"/>
      <c r="F15" s="6"/>
      <c r="G15" s="6"/>
      <c r="H15" s="6"/>
      <c r="I15" s="6"/>
      <c r="J15" s="6"/>
      <c r="K15" s="6"/>
      <c r="L15" s="6"/>
      <c r="M15" s="6"/>
      <c r="N15" s="6"/>
      <c r="O15" s="6"/>
      <c r="P15" s="6"/>
      <c r="Q15" s="6"/>
    </row>
    <row r="16" spans="1:17" s="217" customFormat="1" ht="18" customHeight="1" thickBot="1">
      <c r="B16" s="4" t="s">
        <v>108</v>
      </c>
      <c r="C16" s="5"/>
      <c r="D16" s="5"/>
      <c r="E16" s="10"/>
      <c r="F16" s="6"/>
      <c r="G16" s="6"/>
      <c r="H16" s="6"/>
      <c r="I16" s="6"/>
      <c r="J16" s="6"/>
      <c r="K16" s="5"/>
      <c r="L16" s="5"/>
      <c r="M16" s="5"/>
      <c r="N16" s="5"/>
      <c r="O16" s="5"/>
      <c r="P16" s="5"/>
      <c r="Q16" s="5"/>
    </row>
    <row r="17" spans="2:17" s="217" customFormat="1" ht="18" customHeight="1">
      <c r="B17" s="1853" t="s">
        <v>83</v>
      </c>
      <c r="C17" s="1854"/>
      <c r="D17" s="1303" t="s">
        <v>109</v>
      </c>
      <c r="E17" s="1304"/>
      <c r="F17" s="1304"/>
      <c r="G17" s="1304"/>
      <c r="H17" s="1304"/>
      <c r="I17" s="1304"/>
      <c r="J17" s="1302"/>
      <c r="K17" s="1881" t="s">
        <v>85</v>
      </c>
      <c r="L17" s="1881"/>
      <c r="M17" s="1881"/>
      <c r="N17" s="1881"/>
      <c r="O17" s="1881"/>
      <c r="P17" s="1881"/>
      <c r="Q17" s="1882"/>
    </row>
    <row r="18" spans="2:17" s="217" customFormat="1" ht="21" customHeight="1">
      <c r="B18" s="1889" t="s">
        <v>427</v>
      </c>
      <c r="C18" s="1890"/>
      <c r="D18" s="1888" t="s">
        <v>296</v>
      </c>
      <c r="E18" s="1888"/>
      <c r="F18" s="1888"/>
      <c r="G18" s="1888"/>
      <c r="H18" s="1888"/>
      <c r="I18" s="1888"/>
      <c r="J18" s="1888"/>
      <c r="K18" s="1845" t="s">
        <v>292</v>
      </c>
      <c r="L18" s="1846"/>
      <c r="M18" s="1846"/>
      <c r="N18" s="1846"/>
      <c r="O18" s="1846"/>
      <c r="P18" s="1846"/>
      <c r="Q18" s="1847"/>
    </row>
    <row r="19" spans="2:17" s="217" customFormat="1" ht="21" customHeight="1">
      <c r="B19" s="1891"/>
      <c r="C19" s="1892"/>
      <c r="D19" s="1897" t="s">
        <v>285</v>
      </c>
      <c r="E19" s="1897"/>
      <c r="F19" s="1897"/>
      <c r="G19" s="1897"/>
      <c r="H19" s="1897"/>
      <c r="I19" s="1897"/>
      <c r="J19" s="1897"/>
      <c r="K19" s="1848"/>
      <c r="L19" s="1849"/>
      <c r="M19" s="1849"/>
      <c r="N19" s="1849"/>
      <c r="O19" s="1849"/>
      <c r="P19" s="1849"/>
      <c r="Q19" s="1850"/>
    </row>
    <row r="20" spans="2:17" s="217" customFormat="1" ht="21" customHeight="1">
      <c r="B20" s="1891"/>
      <c r="C20" s="1892"/>
      <c r="D20" s="1898" t="s">
        <v>286</v>
      </c>
      <c r="E20" s="1899"/>
      <c r="F20" s="1899"/>
      <c r="G20" s="1899"/>
      <c r="H20" s="1899"/>
      <c r="I20" s="1899"/>
      <c r="J20" s="1900"/>
      <c r="K20" s="1848"/>
      <c r="L20" s="1849"/>
      <c r="M20" s="1849"/>
      <c r="N20" s="1849"/>
      <c r="O20" s="1849"/>
      <c r="P20" s="1849"/>
      <c r="Q20" s="1850"/>
    </row>
    <row r="21" spans="2:17" s="217" customFormat="1" ht="21" customHeight="1" thickBot="1">
      <c r="B21" s="1856"/>
      <c r="C21" s="1893"/>
      <c r="D21" s="1894" t="s">
        <v>287</v>
      </c>
      <c r="E21" s="1895"/>
      <c r="F21" s="1895"/>
      <c r="G21" s="1895"/>
      <c r="H21" s="1895"/>
      <c r="I21" s="1895"/>
      <c r="J21" s="1896"/>
      <c r="K21" s="1851"/>
      <c r="L21" s="1852"/>
      <c r="M21" s="1852"/>
      <c r="N21" s="1852"/>
      <c r="O21" s="1852"/>
      <c r="P21" s="1849"/>
      <c r="Q21" s="1850"/>
    </row>
    <row r="22" spans="2:17" s="217" customFormat="1" ht="21" customHeight="1">
      <c r="B22" s="1889" t="s">
        <v>425</v>
      </c>
      <c r="C22" s="1307"/>
      <c r="D22" s="1897" t="s">
        <v>288</v>
      </c>
      <c r="E22" s="1897"/>
      <c r="F22" s="1897"/>
      <c r="G22" s="1897"/>
      <c r="H22" s="1897"/>
      <c r="I22" s="1897"/>
      <c r="J22" s="1897"/>
      <c r="K22" s="1910" t="s">
        <v>42</v>
      </c>
      <c r="L22" s="1924"/>
      <c r="M22" s="684" t="s">
        <v>110</v>
      </c>
      <c r="N22" s="693" t="s">
        <v>289</v>
      </c>
      <c r="O22" s="129" t="s">
        <v>419</v>
      </c>
      <c r="P22" s="695" t="s">
        <v>420</v>
      </c>
      <c r="Q22" s="11" t="s">
        <v>423</v>
      </c>
    </row>
    <row r="23" spans="2:17" s="217" customFormat="1" ht="21" customHeight="1" thickBot="1">
      <c r="B23" s="1891"/>
      <c r="C23" s="1912"/>
      <c r="D23" s="1925" t="s">
        <v>112</v>
      </c>
      <c r="E23" s="1925"/>
      <c r="F23" s="1925"/>
      <c r="G23" s="1925"/>
      <c r="H23" s="1925"/>
      <c r="I23" s="1925"/>
      <c r="J23" s="1925"/>
      <c r="K23" s="1911"/>
      <c r="L23" s="1924"/>
      <c r="M23" s="687" t="s">
        <v>37</v>
      </c>
      <c r="N23" s="694">
        <v>0.6</v>
      </c>
      <c r="O23" s="491">
        <v>0.5</v>
      </c>
      <c r="P23" s="696">
        <v>0.3</v>
      </c>
      <c r="Q23" s="697">
        <v>0.2</v>
      </c>
    </row>
    <row r="24" spans="2:17" s="217" customFormat="1" ht="21" customHeight="1" thickBot="1">
      <c r="B24" s="1889" t="s">
        <v>426</v>
      </c>
      <c r="C24" s="1307"/>
      <c r="D24" s="1915" t="s">
        <v>421</v>
      </c>
      <c r="E24" s="1916"/>
      <c r="F24" s="1916"/>
      <c r="G24" s="1916"/>
      <c r="H24" s="1916"/>
      <c r="I24" s="1916"/>
      <c r="J24" s="1917"/>
      <c r="K24" s="1907" t="s">
        <v>293</v>
      </c>
      <c r="L24" s="1859"/>
      <c r="M24" s="1859"/>
      <c r="N24" s="1859"/>
      <c r="O24" s="1859"/>
      <c r="P24" s="1908"/>
      <c r="Q24" s="1909"/>
    </row>
    <row r="25" spans="2:17" s="217" customFormat="1" ht="21" customHeight="1">
      <c r="B25" s="1891"/>
      <c r="C25" s="1912"/>
      <c r="D25" s="1918"/>
      <c r="E25" s="1919"/>
      <c r="F25" s="1919"/>
      <c r="G25" s="1919"/>
      <c r="H25" s="1919"/>
      <c r="I25" s="1919"/>
      <c r="J25" s="1920"/>
      <c r="K25" s="1910" t="s">
        <v>114</v>
      </c>
      <c r="L25" s="1885" t="s">
        <v>294</v>
      </c>
      <c r="M25" s="1887"/>
      <c r="N25" s="693" t="s">
        <v>289</v>
      </c>
      <c r="O25" s="129" t="s">
        <v>419</v>
      </c>
      <c r="P25" s="695" t="s">
        <v>420</v>
      </c>
      <c r="Q25" s="11" t="s">
        <v>423</v>
      </c>
    </row>
    <row r="26" spans="2:17" s="217" customFormat="1" ht="21" customHeight="1" thickBot="1">
      <c r="B26" s="1891"/>
      <c r="C26" s="1912"/>
      <c r="D26" s="1918"/>
      <c r="E26" s="1919"/>
      <c r="F26" s="1919"/>
      <c r="G26" s="1919"/>
      <c r="H26" s="1919"/>
      <c r="I26" s="1919"/>
      <c r="J26" s="1920"/>
      <c r="K26" s="1911" t="s">
        <v>116</v>
      </c>
      <c r="L26" s="1885" t="s">
        <v>295</v>
      </c>
      <c r="M26" s="1887"/>
      <c r="N26" s="694">
        <v>0.17</v>
      </c>
      <c r="O26" s="491">
        <v>0.15</v>
      </c>
      <c r="P26" s="696">
        <v>0.12</v>
      </c>
      <c r="Q26" s="697">
        <v>0.1</v>
      </c>
    </row>
    <row r="27" spans="2:17" s="217" customFormat="1" ht="21" customHeight="1" thickBot="1">
      <c r="B27" s="1891"/>
      <c r="C27" s="1912"/>
      <c r="D27" s="1918"/>
      <c r="E27" s="1919"/>
      <c r="F27" s="1919"/>
      <c r="G27" s="1919"/>
      <c r="H27" s="1919"/>
      <c r="I27" s="1919"/>
      <c r="J27" s="1920"/>
      <c r="K27" s="1907" t="s">
        <v>113</v>
      </c>
      <c r="L27" s="1926"/>
      <c r="M27" s="1926"/>
      <c r="N27" s="1926"/>
      <c r="O27" s="1926"/>
      <c r="P27" s="1859"/>
      <c r="Q27" s="1927"/>
    </row>
    <row r="28" spans="2:17" s="217" customFormat="1" ht="21" customHeight="1">
      <c r="B28" s="1891"/>
      <c r="C28" s="1912"/>
      <c r="D28" s="1918"/>
      <c r="E28" s="1919"/>
      <c r="F28" s="1919"/>
      <c r="G28" s="1919"/>
      <c r="H28" s="1919"/>
      <c r="I28" s="1919"/>
      <c r="J28" s="1920"/>
      <c r="K28" s="1910" t="s">
        <v>114</v>
      </c>
      <c r="L28" s="1885" t="s">
        <v>115</v>
      </c>
      <c r="M28" s="1887"/>
      <c r="N28" s="698" t="s">
        <v>424</v>
      </c>
      <c r="O28" s="584" t="s">
        <v>290</v>
      </c>
      <c r="P28" s="129" t="s">
        <v>291</v>
      </c>
      <c r="Q28" s="234" t="s">
        <v>111</v>
      </c>
    </row>
    <row r="29" spans="2:17" s="217" customFormat="1" ht="21" customHeight="1" thickBot="1">
      <c r="B29" s="1913"/>
      <c r="C29" s="1914"/>
      <c r="D29" s="1921"/>
      <c r="E29" s="1922"/>
      <c r="F29" s="1922"/>
      <c r="G29" s="1922"/>
      <c r="H29" s="1922"/>
      <c r="I29" s="1922"/>
      <c r="J29" s="1923"/>
      <c r="K29" s="1928" t="s">
        <v>116</v>
      </c>
      <c r="L29" s="1929" t="s">
        <v>117</v>
      </c>
      <c r="M29" s="1297"/>
      <c r="N29" s="699">
        <v>1.2</v>
      </c>
      <c r="O29" s="163">
        <v>1</v>
      </c>
      <c r="P29" s="491">
        <v>0.7</v>
      </c>
      <c r="Q29" s="298">
        <v>0.3</v>
      </c>
    </row>
  </sheetData>
  <mergeCells count="47">
    <mergeCell ref="K24:Q24"/>
    <mergeCell ref="K25:K26"/>
    <mergeCell ref="B24:C29"/>
    <mergeCell ref="D24:J29"/>
    <mergeCell ref="B22:C23"/>
    <mergeCell ref="D22:J22"/>
    <mergeCell ref="K22:L23"/>
    <mergeCell ref="D23:J23"/>
    <mergeCell ref="K27:Q27"/>
    <mergeCell ref="K28:K29"/>
    <mergeCell ref="L26:M26"/>
    <mergeCell ref="L25:M25"/>
    <mergeCell ref="L28:M28"/>
    <mergeCell ref="L29:M29"/>
    <mergeCell ref="B14:C14"/>
    <mergeCell ref="D14:Q14"/>
    <mergeCell ref="B17:C17"/>
    <mergeCell ref="D17:J17"/>
    <mergeCell ref="K17:Q17"/>
    <mergeCell ref="D18:J18"/>
    <mergeCell ref="B18:C21"/>
    <mergeCell ref="D21:J21"/>
    <mergeCell ref="D19:J19"/>
    <mergeCell ref="D20:J20"/>
    <mergeCell ref="D11:J11"/>
    <mergeCell ref="K11:Q11"/>
    <mergeCell ref="B12:C13"/>
    <mergeCell ref="D12:J12"/>
    <mergeCell ref="D13:J13"/>
    <mergeCell ref="K13:N13"/>
    <mergeCell ref="K12:N12"/>
    <mergeCell ref="K18:Q21"/>
    <mergeCell ref="B1:Q1"/>
    <mergeCell ref="B4:C4"/>
    <mergeCell ref="D4:J4"/>
    <mergeCell ref="K4:Q4"/>
    <mergeCell ref="B5:C6"/>
    <mergeCell ref="D5:J6"/>
    <mergeCell ref="K5:Q5"/>
    <mergeCell ref="K6:Q6"/>
    <mergeCell ref="B7:C7"/>
    <mergeCell ref="D7:J7"/>
    <mergeCell ref="K7:Q7"/>
    <mergeCell ref="B8:C8"/>
    <mergeCell ref="D8:J8"/>
    <mergeCell ref="K8:Q8"/>
    <mergeCell ref="B11:C11"/>
  </mergeCells>
  <phoneticPr fontId="35" type="noConversion"/>
  <printOptions horizontalCentered="1"/>
  <pageMargins left="0.31496062992125984" right="0.31496062992125984" top="0.31496062992125984" bottom="0.31496062992125984" header="0" footer="0"/>
  <pageSetup paperSize="9" scale="86" orientation="landscape"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N36"/>
  <sheetViews>
    <sheetView zoomScaleNormal="100" workbookViewId="0">
      <selection activeCell="B1" sqref="B1:AF1"/>
    </sheetView>
  </sheetViews>
  <sheetFormatPr defaultRowHeight="16.5"/>
  <cols>
    <col min="1" max="1" width="1" customWidth="1"/>
    <col min="2" max="2" width="16.75" customWidth="1"/>
    <col min="3" max="3" width="10.375" customWidth="1"/>
    <col min="4" max="4" width="8.125" customWidth="1"/>
    <col min="5" max="5" width="8.125" hidden="1" customWidth="1"/>
    <col min="6" max="7" width="8.125" customWidth="1"/>
    <col min="8" max="9" width="8.75" customWidth="1"/>
    <col min="10" max="32" width="8.125" customWidth="1"/>
  </cols>
  <sheetData>
    <row r="1" spans="1:40" s="14" customFormat="1" ht="30" customHeight="1" thickBot="1">
      <c r="B1" s="1082" t="s">
        <v>1708</v>
      </c>
      <c r="C1" s="1082"/>
      <c r="D1" s="1082"/>
      <c r="E1" s="1082"/>
      <c r="F1" s="1082"/>
      <c r="G1" s="1082"/>
      <c r="H1" s="1082"/>
      <c r="I1" s="1082"/>
      <c r="J1" s="1082"/>
      <c r="K1" s="1082"/>
      <c r="L1" s="1082"/>
      <c r="M1" s="1082"/>
      <c r="N1" s="1082"/>
      <c r="O1" s="1082"/>
      <c r="P1" s="1082"/>
      <c r="Q1" s="1082"/>
      <c r="R1" s="1082"/>
      <c r="S1" s="1082"/>
      <c r="T1" s="1082"/>
      <c r="U1" s="1082"/>
      <c r="V1" s="1082"/>
      <c r="W1" s="1082"/>
      <c r="X1" s="1082"/>
      <c r="Y1" s="1082"/>
      <c r="Z1" s="1082"/>
      <c r="AA1" s="1082"/>
      <c r="AB1" s="1082"/>
      <c r="AC1" s="1082"/>
      <c r="AD1" s="1082"/>
      <c r="AE1" s="1082"/>
      <c r="AF1" s="1082"/>
    </row>
    <row r="2" spans="1:40" s="2" customFormat="1" ht="6" customHeight="1" thickTop="1">
      <c r="A2" s="5"/>
      <c r="B2" s="35"/>
      <c r="C2" s="35"/>
      <c r="D2" s="35"/>
      <c r="E2" s="35"/>
      <c r="F2" s="35"/>
      <c r="G2" s="35"/>
      <c r="H2" s="5"/>
      <c r="I2" s="5"/>
      <c r="J2" s="6"/>
      <c r="K2" s="6"/>
      <c r="L2" s="6"/>
      <c r="M2" s="5"/>
      <c r="N2" s="5"/>
      <c r="O2" s="5"/>
      <c r="P2" s="5"/>
      <c r="Q2" s="5"/>
      <c r="R2" s="5"/>
      <c r="S2" s="5"/>
      <c r="T2" s="5"/>
      <c r="U2" s="5"/>
      <c r="V2" s="5"/>
      <c r="W2" s="5"/>
      <c r="X2" s="5"/>
      <c r="Y2" s="5"/>
      <c r="Z2" s="5"/>
      <c r="AA2" s="5"/>
      <c r="AB2" s="5"/>
      <c r="AC2" s="5"/>
      <c r="AD2" s="5"/>
      <c r="AE2" s="5"/>
      <c r="AF2" s="5"/>
      <c r="AG2" s="5"/>
      <c r="AH2" s="5"/>
      <c r="AI2" s="5"/>
      <c r="AJ2" s="5"/>
      <c r="AK2" s="5"/>
      <c r="AL2" s="5"/>
      <c r="AM2" s="5"/>
      <c r="AN2" s="5"/>
    </row>
    <row r="3" spans="1:40" s="262" customFormat="1" ht="18" customHeight="1" thickBot="1">
      <c r="B3" s="350" t="s">
        <v>749</v>
      </c>
      <c r="C3" s="261"/>
      <c r="D3" s="261"/>
      <c r="E3" s="261"/>
      <c r="F3" s="261"/>
      <c r="G3" s="261"/>
      <c r="M3" s="263"/>
      <c r="N3" s="263"/>
      <c r="O3" s="263"/>
    </row>
    <row r="4" spans="1:40" s="217" customFormat="1" ht="15.95" customHeight="1">
      <c r="B4" s="1948" t="s">
        <v>256</v>
      </c>
      <c r="C4" s="1949"/>
      <c r="D4" s="1950" t="s">
        <v>257</v>
      </c>
      <c r="E4" s="1943" t="s">
        <v>258</v>
      </c>
      <c r="F4" s="1943" t="s">
        <v>259</v>
      </c>
      <c r="G4" s="690" t="s">
        <v>260</v>
      </c>
      <c r="H4" s="688" t="s">
        <v>261</v>
      </c>
      <c r="I4" s="688" t="s">
        <v>262</v>
      </c>
      <c r="J4" s="1955" t="s">
        <v>263</v>
      </c>
      <c r="K4" s="1953"/>
      <c r="L4" s="1953"/>
      <c r="M4" s="1953"/>
      <c r="N4" s="1956"/>
      <c r="O4" s="1952" t="s">
        <v>264</v>
      </c>
      <c r="P4" s="1953"/>
      <c r="Q4" s="1954"/>
      <c r="R4" s="1957" t="s">
        <v>265</v>
      </c>
      <c r="S4" s="1958"/>
      <c r="T4" s="689">
        <v>0.93</v>
      </c>
      <c r="U4" s="1959" t="s">
        <v>254</v>
      </c>
      <c r="V4" s="1958"/>
      <c r="W4" s="689">
        <v>0.86</v>
      </c>
      <c r="X4" s="1959" t="s">
        <v>266</v>
      </c>
      <c r="Y4" s="1958"/>
      <c r="Z4" s="689">
        <v>0.83</v>
      </c>
      <c r="AA4" s="1959" t="s">
        <v>267</v>
      </c>
      <c r="AB4" s="1958"/>
      <c r="AC4" s="688">
        <v>0.75</v>
      </c>
      <c r="AD4" s="1960" t="s">
        <v>268</v>
      </c>
      <c r="AE4" s="1961"/>
      <c r="AF4" s="689">
        <v>0.7</v>
      </c>
    </row>
    <row r="5" spans="1:40" s="217" customFormat="1" ht="34.5" customHeight="1" thickBot="1">
      <c r="B5" s="17" t="s">
        <v>269</v>
      </c>
      <c r="C5" s="19" t="s">
        <v>270</v>
      </c>
      <c r="D5" s="1951"/>
      <c r="E5" s="1944"/>
      <c r="F5" s="1944"/>
      <c r="G5" s="487">
        <v>0.5</v>
      </c>
      <c r="H5" s="581">
        <v>5.2499999999999998E-2</v>
      </c>
      <c r="I5" s="581">
        <v>5.2499999999999998E-2</v>
      </c>
      <c r="J5" s="113" t="s">
        <v>271</v>
      </c>
      <c r="K5" s="691" t="s">
        <v>272</v>
      </c>
      <c r="L5" s="113" t="s">
        <v>273</v>
      </c>
      <c r="M5" s="113" t="s">
        <v>274</v>
      </c>
      <c r="N5" s="113" t="s">
        <v>275</v>
      </c>
      <c r="O5" s="203" t="s">
        <v>276</v>
      </c>
      <c r="P5" s="295" t="s">
        <v>277</v>
      </c>
      <c r="Q5" s="582" t="s">
        <v>278</v>
      </c>
      <c r="R5" s="583" t="s">
        <v>276</v>
      </c>
      <c r="S5" s="295" t="s">
        <v>277</v>
      </c>
      <c r="T5" s="204" t="s">
        <v>278</v>
      </c>
      <c r="U5" s="203" t="s">
        <v>197</v>
      </c>
      <c r="V5" s="295" t="s">
        <v>52</v>
      </c>
      <c r="W5" s="204" t="s">
        <v>202</v>
      </c>
      <c r="X5" s="203" t="s">
        <v>276</v>
      </c>
      <c r="Y5" s="295" t="s">
        <v>277</v>
      </c>
      <c r="Z5" s="204" t="s">
        <v>278</v>
      </c>
      <c r="AA5" s="203" t="s">
        <v>276</v>
      </c>
      <c r="AB5" s="295" t="s">
        <v>277</v>
      </c>
      <c r="AC5" s="204" t="s">
        <v>278</v>
      </c>
      <c r="AD5" s="203" t="s">
        <v>276</v>
      </c>
      <c r="AE5" s="295" t="s">
        <v>277</v>
      </c>
      <c r="AF5" s="204" t="s">
        <v>278</v>
      </c>
    </row>
    <row r="6" spans="1:40" s="217" customFormat="1" ht="15.95" customHeight="1">
      <c r="B6" s="1945" t="s">
        <v>436</v>
      </c>
      <c r="C6" s="1946"/>
      <c r="D6" s="1947">
        <v>1000</v>
      </c>
      <c r="E6" s="1940">
        <f>D6*C7</f>
        <v>650</v>
      </c>
      <c r="F6" s="1940">
        <f>E6*12</f>
        <v>7800</v>
      </c>
      <c r="G6" s="1940">
        <f>F6*$G$5</f>
        <v>3900</v>
      </c>
      <c r="H6" s="1940">
        <f>F6*$H$5</f>
        <v>409.5</v>
      </c>
      <c r="I6" s="1940">
        <f>F6*$I$5</f>
        <v>409.5</v>
      </c>
      <c r="J6" s="1964">
        <f>F6*155%</f>
        <v>12090</v>
      </c>
      <c r="K6" s="1940">
        <f>J6*60%*8.3%*6</f>
        <v>3612.4920000000002</v>
      </c>
      <c r="L6" s="1964">
        <f>J6*60%</f>
        <v>7254</v>
      </c>
      <c r="M6" s="1964">
        <f>J6*20%</f>
        <v>2418</v>
      </c>
      <c r="N6" s="1962">
        <f>J6*20%</f>
        <v>2418</v>
      </c>
      <c r="O6" s="114">
        <f>G6+H6+K6</f>
        <v>7921.9920000000002</v>
      </c>
      <c r="P6" s="188">
        <f>G6+H6+I6+L6</f>
        <v>11973</v>
      </c>
      <c r="Q6" s="115">
        <f>G6+H6+I6+J6</f>
        <v>16809</v>
      </c>
      <c r="R6" s="164">
        <f>O6*$T$4</f>
        <v>7367.4525600000006</v>
      </c>
      <c r="S6" s="188">
        <f>P6*$T$4</f>
        <v>11134.890000000001</v>
      </c>
      <c r="T6" s="116">
        <f>Q6*$T$4</f>
        <v>15632.37</v>
      </c>
      <c r="U6" s="114">
        <f>O6*$W$4</f>
        <v>6812.9131200000002</v>
      </c>
      <c r="V6" s="188">
        <f>P6*$W$4</f>
        <v>10296.780000000001</v>
      </c>
      <c r="W6" s="116">
        <f>Q6*$W$4</f>
        <v>14455.74</v>
      </c>
      <c r="X6" s="114">
        <f>O6*$Z$4</f>
        <v>6575.2533599999997</v>
      </c>
      <c r="Y6" s="188">
        <f>P6*$Z$4</f>
        <v>9937.59</v>
      </c>
      <c r="Z6" s="116">
        <f>Q6*$Z$4</f>
        <v>13951.47</v>
      </c>
      <c r="AA6" s="164">
        <f>O6*$AC$4</f>
        <v>5941.4940000000006</v>
      </c>
      <c r="AB6" s="188">
        <f>P6*$AC$4</f>
        <v>8979.75</v>
      </c>
      <c r="AC6" s="117">
        <f>Q6*$AC$4</f>
        <v>12606.75</v>
      </c>
      <c r="AD6" s="114">
        <f>O6*$AF$4</f>
        <v>5545.3944000000001</v>
      </c>
      <c r="AE6" s="188">
        <f>P6*$AF$4</f>
        <v>8381.1</v>
      </c>
      <c r="AF6" s="116">
        <f>Q6*$AF$4</f>
        <v>11766.3</v>
      </c>
    </row>
    <row r="7" spans="1:40" s="217" customFormat="1" ht="15.95" customHeight="1">
      <c r="B7" s="685" t="s">
        <v>280</v>
      </c>
      <c r="C7" s="686">
        <v>0.65</v>
      </c>
      <c r="D7" s="1934"/>
      <c r="E7" s="1936"/>
      <c r="F7" s="1936"/>
      <c r="G7" s="1936"/>
      <c r="H7" s="1936"/>
      <c r="I7" s="1936"/>
      <c r="J7" s="1940"/>
      <c r="K7" s="1936"/>
      <c r="L7" s="1940"/>
      <c r="M7" s="1940"/>
      <c r="N7" s="1963"/>
      <c r="O7" s="289">
        <f>O6/D6</f>
        <v>7.9219920000000004</v>
      </c>
      <c r="P7" s="488">
        <f>P6/D6</f>
        <v>11.973000000000001</v>
      </c>
      <c r="Q7" s="290">
        <f>Q6/D6</f>
        <v>16.809000000000001</v>
      </c>
      <c r="R7" s="166">
        <f>R6/D6</f>
        <v>7.3674525600000003</v>
      </c>
      <c r="S7" s="190">
        <f>S6/D6</f>
        <v>11.13489</v>
      </c>
      <c r="T7" s="120">
        <f>T6/D6</f>
        <v>15.632370000000002</v>
      </c>
      <c r="U7" s="119">
        <f>U6/D6</f>
        <v>6.8129131200000002</v>
      </c>
      <c r="V7" s="190">
        <f>V6/D6</f>
        <v>10.29678</v>
      </c>
      <c r="W7" s="120">
        <f>W6/D6</f>
        <v>14.45574</v>
      </c>
      <c r="X7" s="119">
        <f>X6/D6</f>
        <v>6.5752533599999996</v>
      </c>
      <c r="Y7" s="190">
        <f>Y6/D6</f>
        <v>9.9375900000000001</v>
      </c>
      <c r="Z7" s="120">
        <f>Z6/D6</f>
        <v>13.951469999999999</v>
      </c>
      <c r="AA7" s="166">
        <f>AA6/D6</f>
        <v>5.9414940000000005</v>
      </c>
      <c r="AB7" s="190">
        <f>AB6/D6</f>
        <v>8.9797499999999992</v>
      </c>
      <c r="AC7" s="121">
        <f>AC6/D6</f>
        <v>12.60675</v>
      </c>
      <c r="AD7" s="119">
        <f>AD6/D6</f>
        <v>5.5453944000000002</v>
      </c>
      <c r="AE7" s="190">
        <f>AE6/D6</f>
        <v>8.3811</v>
      </c>
      <c r="AF7" s="120">
        <f>AF6/D6</f>
        <v>11.766299999999999</v>
      </c>
    </row>
    <row r="8" spans="1:40" s="217" customFormat="1" ht="15.95" customHeight="1">
      <c r="B8" s="1941" t="s">
        <v>1067</v>
      </c>
      <c r="C8" s="1942"/>
      <c r="D8" s="1934">
        <v>1000</v>
      </c>
      <c r="E8" s="1936">
        <f t="shared" ref="E8" si="0">D8*C9</f>
        <v>260</v>
      </c>
      <c r="F8" s="1936">
        <f t="shared" ref="F8" si="1">E8*12</f>
        <v>3120</v>
      </c>
      <c r="G8" s="1940">
        <f>F8*$G$5</f>
        <v>1560</v>
      </c>
      <c r="H8" s="1940">
        <f t="shared" ref="H8" si="2">F8*$H$5</f>
        <v>163.79999999999998</v>
      </c>
      <c r="I8" s="1940">
        <f t="shared" ref="I8" si="3">F8*$I$5</f>
        <v>163.79999999999998</v>
      </c>
      <c r="J8" s="1965">
        <f t="shared" ref="J8" si="4">F8*155%</f>
        <v>4836</v>
      </c>
      <c r="K8" s="1936">
        <f t="shared" ref="K8" si="5">J8*60%*8.3%*6</f>
        <v>1444.9967999999999</v>
      </c>
      <c r="L8" s="1930">
        <f t="shared" ref="L8" si="6">J8*60%</f>
        <v>2901.6</v>
      </c>
      <c r="M8" s="1930">
        <f t="shared" ref="M8" si="7">J8*20%</f>
        <v>967.2</v>
      </c>
      <c r="N8" s="1930">
        <f t="shared" ref="N8" si="8">J8*20%</f>
        <v>967.2</v>
      </c>
      <c r="O8" s="114">
        <f t="shared" ref="O8" si="9">G8+H8+K8</f>
        <v>3168.7968000000001</v>
      </c>
      <c r="P8" s="188">
        <f t="shared" ref="P8" si="10">G8+H8+I8+L8</f>
        <v>4789.2</v>
      </c>
      <c r="Q8" s="115">
        <f t="shared" ref="Q8" si="11">G8+H8+I8+J8</f>
        <v>6723.6</v>
      </c>
      <c r="R8" s="168">
        <f t="shared" ref="R8" si="12">O8*$T$4</f>
        <v>2946.9810240000002</v>
      </c>
      <c r="S8" s="189">
        <f t="shared" ref="S8" si="13">P8*$T$4</f>
        <v>4453.9560000000001</v>
      </c>
      <c r="T8" s="124">
        <f t="shared" ref="T8" si="14">Q8*$T$4</f>
        <v>6252.9480000000003</v>
      </c>
      <c r="U8" s="122">
        <f t="shared" ref="U8" si="15">O8*$W$4</f>
        <v>2725.1652480000002</v>
      </c>
      <c r="V8" s="188">
        <f t="shared" ref="V8" si="16">P8*$W$4</f>
        <v>4118.7119999999995</v>
      </c>
      <c r="W8" s="124">
        <f t="shared" ref="W8" si="17">Q8*$W$4</f>
        <v>5782.2960000000003</v>
      </c>
      <c r="X8" s="122">
        <f t="shared" ref="X8" si="18">O8*$Z$4</f>
        <v>2630.1013440000002</v>
      </c>
      <c r="Y8" s="188">
        <f t="shared" ref="Y8" si="19">P8*$Z$4</f>
        <v>3975.0359999999996</v>
      </c>
      <c r="Z8" s="124">
        <f t="shared" ref="Z8" si="20">Q8*$Z$4</f>
        <v>5580.5879999999997</v>
      </c>
      <c r="AA8" s="168">
        <f t="shared" ref="AA8" si="21">O8*$AC$4</f>
        <v>2376.5976000000001</v>
      </c>
      <c r="AB8" s="188">
        <f t="shared" ref="AB8" si="22">P8*$AC$4</f>
        <v>3591.8999999999996</v>
      </c>
      <c r="AC8" s="167">
        <f t="shared" ref="AC8" si="23">Q8*$AC$4</f>
        <v>5042.7000000000007</v>
      </c>
      <c r="AD8" s="122">
        <f t="shared" ref="AD8" si="24">O8*$AF$4</f>
        <v>2218.1577600000001</v>
      </c>
      <c r="AE8" s="188">
        <f t="shared" ref="AE8" si="25">P8*$AF$4</f>
        <v>3352.4399999999996</v>
      </c>
      <c r="AF8" s="124">
        <f t="shared" ref="AF8" si="26">Q8*$AF$4</f>
        <v>4706.5199999999995</v>
      </c>
    </row>
    <row r="9" spans="1:40" s="217" customFormat="1" ht="15.95" customHeight="1">
      <c r="B9" s="685" t="s">
        <v>279</v>
      </c>
      <c r="C9" s="686">
        <v>0.26</v>
      </c>
      <c r="D9" s="1934"/>
      <c r="E9" s="1936"/>
      <c r="F9" s="1936"/>
      <c r="G9" s="1936"/>
      <c r="H9" s="1936"/>
      <c r="I9" s="1936"/>
      <c r="J9" s="1930"/>
      <c r="K9" s="1936"/>
      <c r="L9" s="1930"/>
      <c r="M9" s="1930"/>
      <c r="N9" s="1930"/>
      <c r="O9" s="289">
        <f t="shared" ref="O9" si="27">O8/D8</f>
        <v>3.1687968</v>
      </c>
      <c r="P9" s="488">
        <f t="shared" ref="P9" si="28">P8/D8</f>
        <v>4.7892000000000001</v>
      </c>
      <c r="Q9" s="290">
        <f t="shared" ref="Q9" si="29">Q8/D8</f>
        <v>6.7236000000000002</v>
      </c>
      <c r="R9" s="166">
        <f t="shared" ref="R9" si="30">R8/D8</f>
        <v>2.9469810240000003</v>
      </c>
      <c r="S9" s="190">
        <f t="shared" ref="S9" si="31">S8/D8</f>
        <v>4.4539559999999998</v>
      </c>
      <c r="T9" s="120">
        <f t="shared" ref="T9" si="32">T8/D8</f>
        <v>6.252948</v>
      </c>
      <c r="U9" s="119">
        <f t="shared" ref="U9" si="33">U8/D8</f>
        <v>2.7251652480000002</v>
      </c>
      <c r="V9" s="190">
        <f t="shared" ref="V9" si="34">V8/D8</f>
        <v>4.1187119999999995</v>
      </c>
      <c r="W9" s="120">
        <f t="shared" ref="W9" si="35">W8/D8</f>
        <v>5.7822960000000005</v>
      </c>
      <c r="X9" s="119">
        <f t="shared" ref="X9" si="36">X8/D8</f>
        <v>2.6301013440000003</v>
      </c>
      <c r="Y9" s="190">
        <f t="shared" ref="Y9" si="37">Y8/D8</f>
        <v>3.9750359999999998</v>
      </c>
      <c r="Z9" s="120">
        <f t="shared" ref="Z9" si="38">Z8/D8</f>
        <v>5.5805879999999997</v>
      </c>
      <c r="AA9" s="166">
        <f t="shared" ref="AA9" si="39">AA8/D8</f>
        <v>2.3765976000000002</v>
      </c>
      <c r="AB9" s="190">
        <f t="shared" ref="AB9" si="40">AB8/D8</f>
        <v>3.5918999999999994</v>
      </c>
      <c r="AC9" s="121">
        <f t="shared" ref="AC9" si="41">AC8/D8</f>
        <v>5.0427000000000008</v>
      </c>
      <c r="AD9" s="119">
        <f t="shared" ref="AD9" si="42">AD8/D8</f>
        <v>2.21815776</v>
      </c>
      <c r="AE9" s="190">
        <f t="shared" ref="AE9" si="43">AE8/D8</f>
        <v>3.3524399999999996</v>
      </c>
      <c r="AF9" s="120">
        <f t="shared" ref="AF9" si="44">AF8/D8</f>
        <v>4.7065199999999994</v>
      </c>
    </row>
    <row r="10" spans="1:40" s="217" customFormat="1" ht="18" customHeight="1">
      <c r="B10" s="1941" t="s">
        <v>1069</v>
      </c>
      <c r="C10" s="1942"/>
      <c r="D10" s="1934">
        <v>1000</v>
      </c>
      <c r="E10" s="1936">
        <f t="shared" ref="E10" si="45">D10*C11</f>
        <v>260</v>
      </c>
      <c r="F10" s="1936">
        <f t="shared" ref="F10" si="46">E10*12</f>
        <v>3120</v>
      </c>
      <c r="G10" s="1940">
        <f t="shared" ref="G10" si="47">F10*$G$5</f>
        <v>1560</v>
      </c>
      <c r="H10" s="1936">
        <f t="shared" ref="H10" si="48">F10*$H$5</f>
        <v>163.79999999999998</v>
      </c>
      <c r="I10" s="1938">
        <f t="shared" ref="I10" si="49">F10*$I$5</f>
        <v>163.79999999999998</v>
      </c>
      <c r="J10" s="1930">
        <f t="shared" ref="J10" si="50">F10*155%</f>
        <v>4836</v>
      </c>
      <c r="K10" s="1936">
        <f t="shared" ref="K10" si="51">J10*60%*8.3%*6</f>
        <v>1444.9967999999999</v>
      </c>
      <c r="L10" s="1930">
        <f t="shared" ref="L10" si="52">J10*60%</f>
        <v>2901.6</v>
      </c>
      <c r="M10" s="1930">
        <f t="shared" ref="M10" si="53">J10*20%</f>
        <v>967.2</v>
      </c>
      <c r="N10" s="1930">
        <f t="shared" ref="N10" si="54">J10*20%</f>
        <v>967.2</v>
      </c>
      <c r="O10" s="122">
        <f t="shared" ref="O10" si="55">G10+H10+K10</f>
        <v>3168.7968000000001</v>
      </c>
      <c r="P10" s="189">
        <f t="shared" ref="P10" si="56">G10+H10+I10+L10</f>
        <v>4789.2</v>
      </c>
      <c r="Q10" s="117">
        <f t="shared" ref="Q10" si="57">G10+H10+I10+J10</f>
        <v>6723.6</v>
      </c>
      <c r="R10" s="122">
        <f t="shared" ref="R10" si="58">O10*$T$4</f>
        <v>2946.9810240000002</v>
      </c>
      <c r="S10" s="189">
        <f t="shared" ref="S10" si="59">P10*$T$4</f>
        <v>4453.9560000000001</v>
      </c>
      <c r="T10" s="124">
        <f t="shared" ref="T10" si="60">Q10*$T$4</f>
        <v>6252.9480000000003</v>
      </c>
      <c r="U10" s="122">
        <f t="shared" ref="U10" si="61">O10*$W$4</f>
        <v>2725.1652480000002</v>
      </c>
      <c r="V10" s="188">
        <f t="shared" ref="V10" si="62">P10*$W$4</f>
        <v>4118.7119999999995</v>
      </c>
      <c r="W10" s="124">
        <f t="shared" ref="W10" si="63">Q10*$W$4</f>
        <v>5782.2960000000003</v>
      </c>
      <c r="X10" s="122">
        <f t="shared" ref="X10" si="64">O10*$Z$4</f>
        <v>2630.1013440000002</v>
      </c>
      <c r="Y10" s="188">
        <f t="shared" ref="Y10" si="65">P10*$Z$4</f>
        <v>3975.0359999999996</v>
      </c>
      <c r="Z10" s="124">
        <f t="shared" ref="Z10" si="66">Q10*$Z$4</f>
        <v>5580.5879999999997</v>
      </c>
      <c r="AA10" s="168">
        <f t="shared" ref="AA10" si="67">O10*$AC$4</f>
        <v>2376.5976000000001</v>
      </c>
      <c r="AB10" s="188">
        <f t="shared" ref="AB10" si="68">P10*$AC$4</f>
        <v>3591.8999999999996</v>
      </c>
      <c r="AC10" s="167">
        <f t="shared" ref="AC10" si="69">Q10*$AC$4</f>
        <v>5042.7000000000007</v>
      </c>
      <c r="AD10" s="122">
        <f t="shared" ref="AD10" si="70">O10*$AF$4</f>
        <v>2218.1577600000001</v>
      </c>
      <c r="AE10" s="188">
        <f t="shared" ref="AE10" si="71">P10*$AF$4</f>
        <v>3352.4399999999996</v>
      </c>
      <c r="AF10" s="124">
        <f t="shared" ref="AF10" si="72">Q10*$AF$4</f>
        <v>4706.5199999999995</v>
      </c>
    </row>
    <row r="11" spans="1:40" s="217" customFormat="1" ht="18" customHeight="1">
      <c r="B11" s="685" t="s">
        <v>70</v>
      </c>
      <c r="C11" s="686">
        <v>0.26</v>
      </c>
      <c r="D11" s="1934"/>
      <c r="E11" s="1936"/>
      <c r="F11" s="1936"/>
      <c r="G11" s="1936"/>
      <c r="H11" s="1936"/>
      <c r="I11" s="1940"/>
      <c r="J11" s="1930"/>
      <c r="K11" s="1936"/>
      <c r="L11" s="1930"/>
      <c r="M11" s="1930"/>
      <c r="N11" s="1930"/>
      <c r="O11" s="289">
        <f t="shared" ref="O11" si="73">O10/D10</f>
        <v>3.1687968</v>
      </c>
      <c r="P11" s="488">
        <f t="shared" ref="P11" si="74">P10/D10</f>
        <v>4.7892000000000001</v>
      </c>
      <c r="Q11" s="291">
        <f t="shared" ref="Q11" si="75">Q10/D10</f>
        <v>6.7236000000000002</v>
      </c>
      <c r="R11" s="119">
        <f t="shared" ref="R11" si="76">R10/D10</f>
        <v>2.9469810240000003</v>
      </c>
      <c r="S11" s="190">
        <f t="shared" ref="S11" si="77">S10/D10</f>
        <v>4.4539559999999998</v>
      </c>
      <c r="T11" s="120">
        <f t="shared" ref="T11" si="78">T10/D10</f>
        <v>6.252948</v>
      </c>
      <c r="U11" s="119">
        <f t="shared" ref="U11" si="79">U10/D10</f>
        <v>2.7251652480000002</v>
      </c>
      <c r="V11" s="190">
        <f t="shared" ref="V11" si="80">V10/D10</f>
        <v>4.1187119999999995</v>
      </c>
      <c r="W11" s="120">
        <f t="shared" ref="W11" si="81">W10/D10</f>
        <v>5.7822960000000005</v>
      </c>
      <c r="X11" s="119">
        <f t="shared" ref="X11" si="82">X10/D10</f>
        <v>2.6301013440000003</v>
      </c>
      <c r="Y11" s="190">
        <f t="shared" ref="Y11" si="83">Y10/D10</f>
        <v>3.9750359999999998</v>
      </c>
      <c r="Z11" s="120">
        <f t="shared" ref="Z11" si="84">Z10/D10</f>
        <v>5.5805879999999997</v>
      </c>
      <c r="AA11" s="166">
        <f t="shared" ref="AA11" si="85">AA10/D10</f>
        <v>2.3765976000000002</v>
      </c>
      <c r="AB11" s="190">
        <f t="shared" ref="AB11" si="86">AB10/D10</f>
        <v>3.5918999999999994</v>
      </c>
      <c r="AC11" s="121">
        <f t="shared" ref="AC11" si="87">AC10/D10</f>
        <v>5.0427000000000008</v>
      </c>
      <c r="AD11" s="119">
        <f t="shared" ref="AD11" si="88">AD10/D10</f>
        <v>2.21815776</v>
      </c>
      <c r="AE11" s="190">
        <f t="shared" ref="AE11" si="89">AE10/D10</f>
        <v>3.3524399999999996</v>
      </c>
      <c r="AF11" s="120">
        <f t="shared" ref="AF11" si="90">AF10/D10</f>
        <v>4.7065199999999994</v>
      </c>
    </row>
    <row r="12" spans="1:40" s="217" customFormat="1" ht="18" customHeight="1">
      <c r="B12" s="1932" t="s">
        <v>437</v>
      </c>
      <c r="C12" s="1933"/>
      <c r="D12" s="1934">
        <v>1000</v>
      </c>
      <c r="E12" s="1936">
        <f t="shared" ref="E12" si="91">D12*C13</f>
        <v>650</v>
      </c>
      <c r="F12" s="1936">
        <f t="shared" ref="F12" si="92">E12*12</f>
        <v>7800</v>
      </c>
      <c r="G12" s="1940">
        <f t="shared" ref="G12" si="93">F12*$G$5</f>
        <v>3900</v>
      </c>
      <c r="H12" s="1936">
        <f t="shared" ref="H12" si="94">F12*$H$5</f>
        <v>409.5</v>
      </c>
      <c r="I12" s="1938">
        <f t="shared" ref="I12" si="95">F12*$I$5</f>
        <v>409.5</v>
      </c>
      <c r="J12" s="1930">
        <f t="shared" ref="J12" si="96">F12*155%</f>
        <v>12090</v>
      </c>
      <c r="K12" s="1936">
        <f t="shared" ref="K12" si="97">J12*60%*8.3%*6</f>
        <v>3612.4920000000002</v>
      </c>
      <c r="L12" s="1930">
        <f t="shared" ref="L12" si="98">J12*60%</f>
        <v>7254</v>
      </c>
      <c r="M12" s="1930">
        <f t="shared" ref="M12" si="99">J12*20%</f>
        <v>2418</v>
      </c>
      <c r="N12" s="1930">
        <f t="shared" ref="N12" si="100">J12*20%</f>
        <v>2418</v>
      </c>
      <c r="O12" s="122">
        <f t="shared" ref="O12" si="101">G12+H12+K12</f>
        <v>7921.9920000000002</v>
      </c>
      <c r="P12" s="189">
        <f t="shared" ref="P12" si="102">G12+H12+I12+L12</f>
        <v>11973</v>
      </c>
      <c r="Q12" s="117">
        <f t="shared" ref="Q12" si="103">G12+H12+I12+J12</f>
        <v>16809</v>
      </c>
      <c r="R12" s="122">
        <f t="shared" ref="R12" si="104">O12*$T$4</f>
        <v>7367.4525600000006</v>
      </c>
      <c r="S12" s="189">
        <f t="shared" ref="S12" si="105">P12*$T$4</f>
        <v>11134.890000000001</v>
      </c>
      <c r="T12" s="124">
        <f t="shared" ref="T12" si="106">Q12*$T$4</f>
        <v>15632.37</v>
      </c>
      <c r="U12" s="122">
        <f t="shared" ref="U12" si="107">O12*$W$4</f>
        <v>6812.9131200000002</v>
      </c>
      <c r="V12" s="188">
        <f t="shared" ref="V12" si="108">P12*$W$4</f>
        <v>10296.780000000001</v>
      </c>
      <c r="W12" s="124">
        <f t="shared" ref="W12" si="109">Q12*$W$4</f>
        <v>14455.74</v>
      </c>
      <c r="X12" s="122">
        <f t="shared" ref="X12" si="110">O12*$Z$4</f>
        <v>6575.2533599999997</v>
      </c>
      <c r="Y12" s="188">
        <f t="shared" ref="Y12" si="111">P12*$Z$4</f>
        <v>9937.59</v>
      </c>
      <c r="Z12" s="124">
        <f t="shared" ref="Z12" si="112">Q12*$Z$4</f>
        <v>13951.47</v>
      </c>
      <c r="AA12" s="168">
        <f t="shared" ref="AA12" si="113">O12*$AC$4</f>
        <v>5941.4940000000006</v>
      </c>
      <c r="AB12" s="188">
        <f t="shared" ref="AB12" si="114">P12*$AC$4</f>
        <v>8979.75</v>
      </c>
      <c r="AC12" s="167">
        <f t="shared" ref="AC12" si="115">Q12*$AC$4</f>
        <v>12606.75</v>
      </c>
      <c r="AD12" s="122">
        <f t="shared" ref="AD12" si="116">O12*$AF$4</f>
        <v>5545.3944000000001</v>
      </c>
      <c r="AE12" s="188">
        <f t="shared" ref="AE12" si="117">P12*$AF$4</f>
        <v>8381.1</v>
      </c>
      <c r="AF12" s="124">
        <f t="shared" ref="AF12" si="118">Q12*$AF$4</f>
        <v>11766.3</v>
      </c>
    </row>
    <row r="13" spans="1:40" s="217" customFormat="1" ht="18" customHeight="1">
      <c r="B13" s="118" t="s">
        <v>438</v>
      </c>
      <c r="C13" s="165">
        <v>0.65</v>
      </c>
      <c r="D13" s="1934"/>
      <c r="E13" s="1936"/>
      <c r="F13" s="1936"/>
      <c r="G13" s="1936"/>
      <c r="H13" s="1936"/>
      <c r="I13" s="1940"/>
      <c r="J13" s="1930"/>
      <c r="K13" s="1936"/>
      <c r="L13" s="1930"/>
      <c r="M13" s="1930"/>
      <c r="N13" s="1930"/>
      <c r="O13" s="289">
        <f t="shared" ref="O13" si="119">O12/D12</f>
        <v>7.9219920000000004</v>
      </c>
      <c r="P13" s="488">
        <f t="shared" ref="P13" si="120">P12/D12</f>
        <v>11.973000000000001</v>
      </c>
      <c r="Q13" s="291">
        <f t="shared" ref="Q13" si="121">Q12/D12</f>
        <v>16.809000000000001</v>
      </c>
      <c r="R13" s="119">
        <f t="shared" ref="R13" si="122">R12/D12</f>
        <v>7.3674525600000003</v>
      </c>
      <c r="S13" s="190">
        <f t="shared" ref="S13" si="123">S12/D12</f>
        <v>11.13489</v>
      </c>
      <c r="T13" s="120">
        <f t="shared" ref="T13" si="124">T12/D12</f>
        <v>15.632370000000002</v>
      </c>
      <c r="U13" s="119">
        <f t="shared" ref="U13" si="125">U12/D12</f>
        <v>6.8129131200000002</v>
      </c>
      <c r="V13" s="190">
        <f t="shared" ref="V13" si="126">V12/D12</f>
        <v>10.29678</v>
      </c>
      <c r="W13" s="120">
        <f t="shared" ref="W13" si="127">W12/D12</f>
        <v>14.45574</v>
      </c>
      <c r="X13" s="119">
        <f t="shared" ref="X13" si="128">X12/D12</f>
        <v>6.5752533599999996</v>
      </c>
      <c r="Y13" s="190">
        <f t="shared" ref="Y13" si="129">Y12/D12</f>
        <v>9.9375900000000001</v>
      </c>
      <c r="Z13" s="120">
        <f t="shared" ref="Z13" si="130">Z12/D12</f>
        <v>13.951469999999999</v>
      </c>
      <c r="AA13" s="166">
        <f t="shared" ref="AA13" si="131">AA12/D12</f>
        <v>5.9414940000000005</v>
      </c>
      <c r="AB13" s="190">
        <f t="shared" ref="AB13" si="132">AB12/D12</f>
        <v>8.9797499999999992</v>
      </c>
      <c r="AC13" s="121">
        <f t="shared" ref="AC13" si="133">AC12/D12</f>
        <v>12.60675</v>
      </c>
      <c r="AD13" s="125">
        <f t="shared" ref="AD13" si="134">AD12/D12</f>
        <v>5.5453944000000002</v>
      </c>
      <c r="AE13" s="190">
        <f t="shared" ref="AE13" si="135">AE12/D12</f>
        <v>8.3811</v>
      </c>
      <c r="AF13" s="126">
        <f t="shared" ref="AF13" si="136">AF12/D12</f>
        <v>11.766299999999999</v>
      </c>
    </row>
    <row r="14" spans="1:40" s="217" customFormat="1" ht="18" customHeight="1">
      <c r="B14" s="1932" t="s">
        <v>71</v>
      </c>
      <c r="C14" s="1933"/>
      <c r="D14" s="1934">
        <v>1000</v>
      </c>
      <c r="E14" s="1936">
        <f t="shared" ref="E14" si="137">D14*C15</f>
        <v>650</v>
      </c>
      <c r="F14" s="1936">
        <f t="shared" ref="F14" si="138">E14*12</f>
        <v>7800</v>
      </c>
      <c r="G14" s="1940">
        <f t="shared" ref="G14" si="139">F14*$G$5</f>
        <v>3900</v>
      </c>
      <c r="H14" s="1936">
        <f t="shared" ref="H14" si="140">F14*$H$5</f>
        <v>409.5</v>
      </c>
      <c r="I14" s="1938">
        <f t="shared" ref="I14" si="141">F14*$I$5</f>
        <v>409.5</v>
      </c>
      <c r="J14" s="1930">
        <f t="shared" ref="J14" si="142">F14*155%</f>
        <v>12090</v>
      </c>
      <c r="K14" s="1936">
        <f t="shared" ref="K14" si="143">J14*60%*8.3%*6</f>
        <v>3612.4920000000002</v>
      </c>
      <c r="L14" s="1930">
        <f t="shared" ref="L14" si="144">J14*60%</f>
        <v>7254</v>
      </c>
      <c r="M14" s="1930">
        <f t="shared" ref="M14" si="145">J14*20%</f>
        <v>2418</v>
      </c>
      <c r="N14" s="1930">
        <f t="shared" ref="N14" si="146">J14*20%</f>
        <v>2418</v>
      </c>
      <c r="O14" s="122">
        <f t="shared" ref="O14" si="147">G14+H14+K14</f>
        <v>7921.9920000000002</v>
      </c>
      <c r="P14" s="189">
        <f t="shared" ref="P14" si="148">G14+H14+I14+L14</f>
        <v>11973</v>
      </c>
      <c r="Q14" s="117">
        <f t="shared" ref="Q14" si="149">G14+H14+I14+J14</f>
        <v>16809</v>
      </c>
      <c r="R14" s="122">
        <f t="shared" ref="R14" si="150">O14*$T$4</f>
        <v>7367.4525600000006</v>
      </c>
      <c r="S14" s="189">
        <f t="shared" ref="S14" si="151">P14*$T$4</f>
        <v>11134.890000000001</v>
      </c>
      <c r="T14" s="124">
        <f t="shared" ref="T14" si="152">Q14*$T$4</f>
        <v>15632.37</v>
      </c>
      <c r="U14" s="122">
        <f t="shared" ref="U14" si="153">O14*$W$4</f>
        <v>6812.9131200000002</v>
      </c>
      <c r="V14" s="188">
        <f t="shared" ref="V14" si="154">P14*$W$4</f>
        <v>10296.780000000001</v>
      </c>
      <c r="W14" s="124">
        <f t="shared" ref="W14" si="155">Q14*$W$4</f>
        <v>14455.74</v>
      </c>
      <c r="X14" s="122">
        <f t="shared" ref="X14" si="156">O14*$Z$4</f>
        <v>6575.2533599999997</v>
      </c>
      <c r="Y14" s="188">
        <f t="shared" ref="Y14" si="157">P14*$Z$4</f>
        <v>9937.59</v>
      </c>
      <c r="Z14" s="124">
        <f t="shared" ref="Z14" si="158">Q14*$Z$4</f>
        <v>13951.47</v>
      </c>
      <c r="AA14" s="168">
        <f t="shared" ref="AA14" si="159">O14*$AC$4</f>
        <v>5941.4940000000006</v>
      </c>
      <c r="AB14" s="188">
        <f t="shared" ref="AB14" si="160">P14*$AC$4</f>
        <v>8979.75</v>
      </c>
      <c r="AC14" s="167">
        <f t="shared" ref="AC14" si="161">Q14*$AC$4</f>
        <v>12606.75</v>
      </c>
      <c r="AD14" s="122">
        <f t="shared" ref="AD14" si="162">O14*$AF$4</f>
        <v>5545.3944000000001</v>
      </c>
      <c r="AE14" s="188">
        <f t="shared" ref="AE14" si="163">P14*$AF$4</f>
        <v>8381.1</v>
      </c>
      <c r="AF14" s="124">
        <f t="shared" ref="AF14" si="164">Q14*$AF$4</f>
        <v>11766.3</v>
      </c>
    </row>
    <row r="15" spans="1:40" s="217" customFormat="1" ht="18" customHeight="1">
      <c r="B15" s="118" t="s">
        <v>280</v>
      </c>
      <c r="C15" s="165">
        <v>0.65</v>
      </c>
      <c r="D15" s="1934"/>
      <c r="E15" s="1936"/>
      <c r="F15" s="1936"/>
      <c r="G15" s="1936"/>
      <c r="H15" s="1936"/>
      <c r="I15" s="1940"/>
      <c r="J15" s="1930"/>
      <c r="K15" s="1936"/>
      <c r="L15" s="1930"/>
      <c r="M15" s="1930"/>
      <c r="N15" s="1930"/>
      <c r="O15" s="289">
        <f t="shared" ref="O15" si="165">O14/D14</f>
        <v>7.9219920000000004</v>
      </c>
      <c r="P15" s="488">
        <f t="shared" ref="P15" si="166">P14/D14</f>
        <v>11.973000000000001</v>
      </c>
      <c r="Q15" s="291">
        <f t="shared" ref="Q15" si="167">Q14/D14</f>
        <v>16.809000000000001</v>
      </c>
      <c r="R15" s="119">
        <f t="shared" ref="R15" si="168">R14/D14</f>
        <v>7.3674525600000003</v>
      </c>
      <c r="S15" s="190">
        <f t="shared" ref="S15" si="169">S14/D14</f>
        <v>11.13489</v>
      </c>
      <c r="T15" s="120">
        <f t="shared" ref="T15" si="170">T14/D14</f>
        <v>15.632370000000002</v>
      </c>
      <c r="U15" s="119">
        <f t="shared" ref="U15" si="171">U14/D14</f>
        <v>6.8129131200000002</v>
      </c>
      <c r="V15" s="190">
        <f t="shared" ref="V15" si="172">V14/D14</f>
        <v>10.29678</v>
      </c>
      <c r="W15" s="120">
        <f t="shared" ref="W15" si="173">W14/D14</f>
        <v>14.45574</v>
      </c>
      <c r="X15" s="119">
        <f t="shared" ref="X15" si="174">X14/D14</f>
        <v>6.5752533599999996</v>
      </c>
      <c r="Y15" s="190">
        <f t="shared" ref="Y15" si="175">Y14/D14</f>
        <v>9.9375900000000001</v>
      </c>
      <c r="Z15" s="120">
        <f t="shared" ref="Z15" si="176">Z14/D14</f>
        <v>13.951469999999999</v>
      </c>
      <c r="AA15" s="166">
        <f t="shared" ref="AA15" si="177">AA14/D14</f>
        <v>5.9414940000000005</v>
      </c>
      <c r="AB15" s="190">
        <f t="shared" ref="AB15" si="178">AB14/D14</f>
        <v>8.9797499999999992</v>
      </c>
      <c r="AC15" s="121">
        <f t="shared" ref="AC15" si="179">AC14/D14</f>
        <v>12.60675</v>
      </c>
      <c r="AD15" s="119">
        <f t="shared" ref="AD15" si="180">AD14/D14</f>
        <v>5.5453944000000002</v>
      </c>
      <c r="AE15" s="190">
        <f t="shared" ref="AE15" si="181">AE14/D14</f>
        <v>8.3811</v>
      </c>
      <c r="AF15" s="120">
        <f t="shared" ref="AF15" si="182">AF14/D14</f>
        <v>11.766299999999999</v>
      </c>
    </row>
    <row r="16" spans="1:40" s="217" customFormat="1" ht="18" customHeight="1">
      <c r="B16" s="1932" t="s">
        <v>72</v>
      </c>
      <c r="C16" s="1933"/>
      <c r="D16" s="1934">
        <v>1000</v>
      </c>
      <c r="E16" s="1936">
        <f t="shared" ref="E16" si="183">D16*C17</f>
        <v>600</v>
      </c>
      <c r="F16" s="1936">
        <f t="shared" ref="F16" si="184">E16*12</f>
        <v>7200</v>
      </c>
      <c r="G16" s="1940">
        <f t="shared" ref="G16" si="185">F16*$G$5</f>
        <v>3600</v>
      </c>
      <c r="H16" s="1936">
        <f t="shared" ref="H16:H20" si="186">F16*$H$5</f>
        <v>378</v>
      </c>
      <c r="I16" s="1938">
        <f t="shared" ref="I16" si="187">F16*$I$5</f>
        <v>378</v>
      </c>
      <c r="J16" s="1930">
        <f t="shared" ref="J16" si="188">F16*155%</f>
        <v>11160</v>
      </c>
      <c r="K16" s="1936">
        <f t="shared" ref="K16" si="189">J16*60%*8.3%*6</f>
        <v>3334.6080000000002</v>
      </c>
      <c r="L16" s="1930">
        <f t="shared" ref="L16" si="190">J16*60%</f>
        <v>6696</v>
      </c>
      <c r="M16" s="1930">
        <f t="shared" ref="M16" si="191">J16*20%</f>
        <v>2232</v>
      </c>
      <c r="N16" s="1930">
        <f t="shared" ref="N16" si="192">J16*20%</f>
        <v>2232</v>
      </c>
      <c r="O16" s="122">
        <f t="shared" ref="O16" si="193">G16+H16+K16</f>
        <v>7312.6080000000002</v>
      </c>
      <c r="P16" s="189">
        <f t="shared" ref="P16" si="194">G16+H16+I16+L16</f>
        <v>11052</v>
      </c>
      <c r="Q16" s="117">
        <f t="shared" ref="Q16" si="195">G16+H16+I16+J16</f>
        <v>15516</v>
      </c>
      <c r="R16" s="122">
        <f t="shared" ref="R16" si="196">O16*$T$4</f>
        <v>6800.7254400000002</v>
      </c>
      <c r="S16" s="189">
        <f t="shared" ref="S16" si="197">P16*$T$4</f>
        <v>10278.36</v>
      </c>
      <c r="T16" s="124">
        <f t="shared" ref="T16" si="198">Q16*$T$4</f>
        <v>14429.880000000001</v>
      </c>
      <c r="U16" s="122">
        <f t="shared" ref="U16" si="199">O16*$W$4</f>
        <v>6288.8428800000002</v>
      </c>
      <c r="V16" s="188">
        <f t="shared" ref="V16" si="200">P16*$W$4</f>
        <v>9504.7199999999993</v>
      </c>
      <c r="W16" s="124">
        <f t="shared" ref="W16" si="201">Q16*$W$4</f>
        <v>13343.76</v>
      </c>
      <c r="X16" s="122">
        <f t="shared" ref="X16" si="202">O16*$Z$4</f>
        <v>6069.4646400000001</v>
      </c>
      <c r="Y16" s="188">
        <f t="shared" ref="Y16" si="203">P16*$Z$4</f>
        <v>9173.16</v>
      </c>
      <c r="Z16" s="124">
        <f t="shared" ref="Z16" si="204">Q16*$Z$4</f>
        <v>12878.279999999999</v>
      </c>
      <c r="AA16" s="168">
        <f t="shared" ref="AA16" si="205">O16*$AC$4</f>
        <v>5484.4560000000001</v>
      </c>
      <c r="AB16" s="188">
        <f t="shared" ref="AB16" si="206">P16*$AC$4</f>
        <v>8289</v>
      </c>
      <c r="AC16" s="167">
        <f t="shared" ref="AC16" si="207">Q16*$AC$4</f>
        <v>11637</v>
      </c>
      <c r="AD16" s="122">
        <f t="shared" ref="AD16" si="208">O16*$AF$4</f>
        <v>5118.8256000000001</v>
      </c>
      <c r="AE16" s="188">
        <f t="shared" ref="AE16" si="209">P16*$AF$4</f>
        <v>7736.4</v>
      </c>
      <c r="AF16" s="124">
        <f t="shared" ref="AF16" si="210">Q16*$AF$4</f>
        <v>10861.199999999999</v>
      </c>
    </row>
    <row r="17" spans="1:34" s="217" customFormat="1" ht="18" customHeight="1">
      <c r="B17" s="118" t="s">
        <v>281</v>
      </c>
      <c r="C17" s="165">
        <v>0.6</v>
      </c>
      <c r="D17" s="1934"/>
      <c r="E17" s="1936"/>
      <c r="F17" s="1936"/>
      <c r="G17" s="1936"/>
      <c r="H17" s="1936"/>
      <c r="I17" s="1940"/>
      <c r="J17" s="1930"/>
      <c r="K17" s="1936"/>
      <c r="L17" s="1930"/>
      <c r="M17" s="1930"/>
      <c r="N17" s="1930"/>
      <c r="O17" s="289">
        <f t="shared" ref="O17" si="211">O16/D16</f>
        <v>7.312608</v>
      </c>
      <c r="P17" s="488">
        <f t="shared" ref="P17" si="212">P16/D16</f>
        <v>11.052</v>
      </c>
      <c r="Q17" s="291">
        <f t="shared" ref="Q17" si="213">Q16/D16</f>
        <v>15.516</v>
      </c>
      <c r="R17" s="119">
        <f t="shared" ref="R17" si="214">R16/D16</f>
        <v>6.8007254399999999</v>
      </c>
      <c r="S17" s="190">
        <f t="shared" ref="S17" si="215">S16/D16</f>
        <v>10.278360000000001</v>
      </c>
      <c r="T17" s="120">
        <f t="shared" ref="T17" si="216">T16/D16</f>
        <v>14.429880000000001</v>
      </c>
      <c r="U17" s="119">
        <f t="shared" ref="U17" si="217">U16/D16</f>
        <v>6.2888428799999998</v>
      </c>
      <c r="V17" s="190">
        <f t="shared" ref="V17" si="218">V16/D16</f>
        <v>9.5047199999999989</v>
      </c>
      <c r="W17" s="120">
        <f t="shared" ref="W17" si="219">W16/D16</f>
        <v>13.34376</v>
      </c>
      <c r="X17" s="119">
        <f t="shared" ref="X17" si="220">X16/D16</f>
        <v>6.0694646400000005</v>
      </c>
      <c r="Y17" s="190">
        <f t="shared" ref="Y17" si="221">Y16/D16</f>
        <v>9.1731599999999993</v>
      </c>
      <c r="Z17" s="120">
        <f t="shared" ref="Z17" si="222">Z16/D16</f>
        <v>12.878279999999998</v>
      </c>
      <c r="AA17" s="166">
        <f t="shared" ref="AA17" si="223">AA16/D16</f>
        <v>5.4844559999999998</v>
      </c>
      <c r="AB17" s="190">
        <f t="shared" ref="AB17" si="224">AB16/D16</f>
        <v>8.2889999999999997</v>
      </c>
      <c r="AC17" s="121">
        <f t="shared" ref="AC17" si="225">AC16/D16</f>
        <v>11.637</v>
      </c>
      <c r="AD17" s="119">
        <f t="shared" ref="AD17" si="226">AD16/D16</f>
        <v>5.1188256000000001</v>
      </c>
      <c r="AE17" s="190">
        <f t="shared" ref="AE17" si="227">AE16/D16</f>
        <v>7.7363999999999997</v>
      </c>
      <c r="AF17" s="120">
        <f t="shared" ref="AF17" si="228">AF16/D16</f>
        <v>10.861199999999998</v>
      </c>
    </row>
    <row r="18" spans="1:34" s="217" customFormat="1" ht="18" customHeight="1">
      <c r="B18" s="1932" t="s">
        <v>1068</v>
      </c>
      <c r="C18" s="1933"/>
      <c r="D18" s="1934">
        <v>100000</v>
      </c>
      <c r="E18" s="1936">
        <f>D18*C19</f>
        <v>2400</v>
      </c>
      <c r="F18" s="1936">
        <f>E18</f>
        <v>2400</v>
      </c>
      <c r="G18" s="1936">
        <f>F18*G5</f>
        <v>1200</v>
      </c>
      <c r="H18" s="1936">
        <f t="shared" si="186"/>
        <v>126</v>
      </c>
      <c r="I18" s="1938">
        <f>F18*$I$5</f>
        <v>126</v>
      </c>
      <c r="J18" s="1930">
        <f>F18*155%</f>
        <v>3720</v>
      </c>
      <c r="K18" s="1936">
        <f>J18</f>
        <v>3720</v>
      </c>
      <c r="L18" s="1930">
        <f>J18</f>
        <v>3720</v>
      </c>
      <c r="M18" s="1930" t="s">
        <v>31</v>
      </c>
      <c r="N18" s="1930" t="s">
        <v>73</v>
      </c>
      <c r="O18" s="122">
        <f t="shared" ref="O18" si="229">G18+H18+K18</f>
        <v>5046</v>
      </c>
      <c r="P18" s="189">
        <f t="shared" ref="P18" si="230">G18+H18+I18+L18</f>
        <v>5172</v>
      </c>
      <c r="Q18" s="167">
        <f t="shared" ref="Q18" si="231">G18+H18+I18+J18</f>
        <v>5172</v>
      </c>
      <c r="R18" s="122">
        <f t="shared" ref="R18" si="232">O18*$T$4</f>
        <v>4692.7800000000007</v>
      </c>
      <c r="S18" s="189">
        <f t="shared" ref="S18" si="233">P18*$T$4</f>
        <v>4809.96</v>
      </c>
      <c r="T18" s="124">
        <f t="shared" ref="T18" si="234">Q18*$T$4</f>
        <v>4809.96</v>
      </c>
      <c r="U18" s="122">
        <f t="shared" ref="U18" si="235">O18*$W$4</f>
        <v>4339.5599999999995</v>
      </c>
      <c r="V18" s="189">
        <f t="shared" ref="V18" si="236">P18*$W$4</f>
        <v>4447.92</v>
      </c>
      <c r="W18" s="124">
        <f t="shared" ref="W18" si="237">Q18*$W$4</f>
        <v>4447.92</v>
      </c>
      <c r="X18" s="122">
        <f t="shared" ref="X18" si="238">O18*$Z$4</f>
        <v>4188.1799999999994</v>
      </c>
      <c r="Y18" s="189">
        <f t="shared" ref="Y18" si="239">P18*$Z$4</f>
        <v>4292.76</v>
      </c>
      <c r="Z18" s="124">
        <f t="shared" ref="Z18" si="240">Q18*$Z$4</f>
        <v>4292.76</v>
      </c>
      <c r="AA18" s="168">
        <f t="shared" ref="AA18" si="241">O18*$AC$4</f>
        <v>3784.5</v>
      </c>
      <c r="AB18" s="189">
        <f t="shared" ref="AB18" si="242">P18*$AC$4</f>
        <v>3879</v>
      </c>
      <c r="AC18" s="167">
        <f t="shared" ref="AC18" si="243">Q18*$AC$4</f>
        <v>3879</v>
      </c>
      <c r="AD18" s="122">
        <f t="shared" ref="AD18" si="244">O18*$AF$4</f>
        <v>3532.2</v>
      </c>
      <c r="AE18" s="189">
        <f t="shared" ref="AE18" si="245">P18*$AF$4</f>
        <v>3620.3999999999996</v>
      </c>
      <c r="AF18" s="124">
        <f t="shared" ref="AF18" si="246">Q18*$AF$4</f>
        <v>3620.3999999999996</v>
      </c>
    </row>
    <row r="19" spans="1:34" s="217" customFormat="1" ht="18" customHeight="1">
      <c r="B19" s="118" t="s">
        <v>54</v>
      </c>
      <c r="C19" s="214">
        <v>2.4E-2</v>
      </c>
      <c r="D19" s="1934"/>
      <c r="E19" s="1936"/>
      <c r="F19" s="1936"/>
      <c r="G19" s="1936"/>
      <c r="H19" s="1936"/>
      <c r="I19" s="1940"/>
      <c r="J19" s="1930"/>
      <c r="K19" s="1936"/>
      <c r="L19" s="1930"/>
      <c r="M19" s="1930"/>
      <c r="N19" s="1930"/>
      <c r="O19" s="289">
        <f t="shared" ref="O19" si="247">O18/D18</f>
        <v>5.0459999999999998E-2</v>
      </c>
      <c r="P19" s="488">
        <f t="shared" ref="P19" si="248">P18/D18</f>
        <v>5.1720000000000002E-2</v>
      </c>
      <c r="Q19" s="291">
        <f t="shared" ref="Q19" si="249">Q18/D18</f>
        <v>5.1720000000000002E-2</v>
      </c>
      <c r="R19" s="119">
        <f t="shared" ref="R19" si="250">R18/D18</f>
        <v>4.6927800000000006E-2</v>
      </c>
      <c r="S19" s="190">
        <f t="shared" ref="S19" si="251">S18/D18</f>
        <v>4.8099599999999999E-2</v>
      </c>
      <c r="T19" s="120">
        <f t="shared" ref="T19" si="252">T18/D18</f>
        <v>4.8099599999999999E-2</v>
      </c>
      <c r="U19" s="119">
        <f t="shared" ref="U19" si="253">U18/D18</f>
        <v>4.3395599999999993E-2</v>
      </c>
      <c r="V19" s="190">
        <f t="shared" ref="V19" si="254">V18/D18</f>
        <v>4.4479200000000003E-2</v>
      </c>
      <c r="W19" s="120">
        <f t="shared" ref="W19" si="255">W18/D18</f>
        <v>4.4479200000000003E-2</v>
      </c>
      <c r="X19" s="119">
        <f t="shared" ref="X19" si="256">X18/D18</f>
        <v>4.1881799999999997E-2</v>
      </c>
      <c r="Y19" s="190">
        <f t="shared" ref="Y19" si="257">Y18/D18</f>
        <v>4.2927600000000003E-2</v>
      </c>
      <c r="Z19" s="120">
        <f t="shared" ref="Z19" si="258">Z18/D18</f>
        <v>4.2927600000000003E-2</v>
      </c>
      <c r="AA19" s="166">
        <f t="shared" ref="AA19" si="259">AA18/D18</f>
        <v>3.7844999999999997E-2</v>
      </c>
      <c r="AB19" s="190">
        <f t="shared" ref="AB19" si="260">AB18/D18</f>
        <v>3.8789999999999998E-2</v>
      </c>
      <c r="AC19" s="121">
        <f t="shared" ref="AC19" si="261">AC18/D18</f>
        <v>3.8789999999999998E-2</v>
      </c>
      <c r="AD19" s="119">
        <f t="shared" ref="AD19" si="262">AD18/D18</f>
        <v>3.5321999999999999E-2</v>
      </c>
      <c r="AE19" s="190">
        <f t="shared" ref="AE19" si="263">AE18/D18</f>
        <v>3.6203999999999993E-2</v>
      </c>
      <c r="AF19" s="120">
        <f t="shared" ref="AF19" si="264">AF18/D18</f>
        <v>3.6203999999999993E-2</v>
      </c>
    </row>
    <row r="20" spans="1:34" s="217" customFormat="1" ht="18" customHeight="1">
      <c r="B20" s="1932" t="s">
        <v>1066</v>
      </c>
      <c r="C20" s="1933"/>
      <c r="D20" s="1934">
        <v>100000</v>
      </c>
      <c r="E20" s="1936">
        <f>D20*C21</f>
        <v>1300</v>
      </c>
      <c r="F20" s="1936">
        <f>E20</f>
        <v>1300</v>
      </c>
      <c r="G20" s="1936">
        <f>F20*G5</f>
        <v>650</v>
      </c>
      <c r="H20" s="1938">
        <f t="shared" si="186"/>
        <v>68.25</v>
      </c>
      <c r="I20" s="1938">
        <f>F20*$I$5</f>
        <v>68.25</v>
      </c>
      <c r="J20" s="1930">
        <f>F20*155%</f>
        <v>2015</v>
      </c>
      <c r="K20" s="1936">
        <f>J20</f>
        <v>2015</v>
      </c>
      <c r="L20" s="1930">
        <f>J20</f>
        <v>2015</v>
      </c>
      <c r="M20" s="1930" t="s">
        <v>73</v>
      </c>
      <c r="N20" s="1930" t="s">
        <v>73</v>
      </c>
      <c r="O20" s="122">
        <f t="shared" ref="O20" si="265">G20+H20+K20</f>
        <v>2733.25</v>
      </c>
      <c r="P20" s="189">
        <f t="shared" ref="P20" si="266">G20+H20+I20+L20</f>
        <v>2801.5</v>
      </c>
      <c r="Q20" s="167">
        <f t="shared" ref="Q20" si="267">G20+H20+I20+J20</f>
        <v>2801.5</v>
      </c>
      <c r="R20" s="122">
        <f t="shared" ref="R20" si="268">O20*$T$4</f>
        <v>2541.9225000000001</v>
      </c>
      <c r="S20" s="189">
        <f t="shared" ref="S20" si="269">P20*$T$4</f>
        <v>2605.395</v>
      </c>
      <c r="T20" s="124">
        <f t="shared" ref="T20" si="270">Q20*$T$4</f>
        <v>2605.395</v>
      </c>
      <c r="U20" s="122">
        <f t="shared" ref="U20" si="271">O20*$W$4</f>
        <v>2350.5949999999998</v>
      </c>
      <c r="V20" s="189">
        <f t="shared" ref="V20" si="272">P20*$W$4</f>
        <v>2409.29</v>
      </c>
      <c r="W20" s="124">
        <f t="shared" ref="W20" si="273">Q20*$W$4</f>
        <v>2409.29</v>
      </c>
      <c r="X20" s="122">
        <f t="shared" ref="X20" si="274">O20*$Z$4</f>
        <v>2268.5974999999999</v>
      </c>
      <c r="Y20" s="189">
        <f t="shared" ref="Y20" si="275">P20*$Z$4</f>
        <v>2325.2449999999999</v>
      </c>
      <c r="Z20" s="124">
        <f t="shared" ref="Z20" si="276">Q20*$Z$4</f>
        <v>2325.2449999999999</v>
      </c>
      <c r="AA20" s="168">
        <f t="shared" ref="AA20" si="277">O20*$AC$4</f>
        <v>2049.9375</v>
      </c>
      <c r="AB20" s="189">
        <f t="shared" ref="AB20" si="278">P20*$AC$4</f>
        <v>2101.125</v>
      </c>
      <c r="AC20" s="167">
        <f t="shared" ref="AC20" si="279">Q20*$AC$4</f>
        <v>2101.125</v>
      </c>
      <c r="AD20" s="122">
        <f t="shared" ref="AD20" si="280">O20*$AF$4</f>
        <v>1913.2749999999999</v>
      </c>
      <c r="AE20" s="189">
        <f t="shared" ref="AE20" si="281">P20*$AF$4</f>
        <v>1961.05</v>
      </c>
      <c r="AF20" s="124">
        <f t="shared" ref="AF20" si="282">Q20*$AF$4</f>
        <v>1961.05</v>
      </c>
    </row>
    <row r="21" spans="1:34" s="217" customFormat="1" ht="18" customHeight="1" thickBot="1">
      <c r="B21" s="127" t="s">
        <v>74</v>
      </c>
      <c r="C21" s="176">
        <v>1.2999999999999999E-2</v>
      </c>
      <c r="D21" s="1935"/>
      <c r="E21" s="1937"/>
      <c r="F21" s="1937"/>
      <c r="G21" s="1937"/>
      <c r="H21" s="1939"/>
      <c r="I21" s="1939"/>
      <c r="J21" s="1931"/>
      <c r="K21" s="1937"/>
      <c r="L21" s="1931"/>
      <c r="M21" s="1931"/>
      <c r="N21" s="1931"/>
      <c r="O21" s="292">
        <f t="shared" ref="O21" si="283">O20/D20</f>
        <v>2.7332499999999999E-2</v>
      </c>
      <c r="P21" s="489">
        <f t="shared" ref="P21" si="284">P20/D20</f>
        <v>2.8015000000000002E-2</v>
      </c>
      <c r="Q21" s="490">
        <f t="shared" ref="Q21" si="285">Q20/D20</f>
        <v>2.8015000000000002E-2</v>
      </c>
      <c r="R21" s="158">
        <f t="shared" ref="R21" si="286">R20/D20</f>
        <v>2.5419225E-2</v>
      </c>
      <c r="S21" s="191">
        <f t="shared" ref="S21" si="287">S20/D20</f>
        <v>2.6053949999999999E-2</v>
      </c>
      <c r="T21" s="39">
        <f t="shared" ref="T21" si="288">T20/D20</f>
        <v>2.6053949999999999E-2</v>
      </c>
      <c r="U21" s="158">
        <f t="shared" ref="U21" si="289">U20/D20</f>
        <v>2.3505949999999998E-2</v>
      </c>
      <c r="V21" s="191">
        <f t="shared" ref="V21" si="290">V20/D20</f>
        <v>2.40929E-2</v>
      </c>
      <c r="W21" s="39">
        <f t="shared" ref="W21" si="291">W20/D20</f>
        <v>2.40929E-2</v>
      </c>
      <c r="X21" s="158">
        <f t="shared" ref="X21" si="292">X20/D20</f>
        <v>2.2685974999999997E-2</v>
      </c>
      <c r="Y21" s="191">
        <f t="shared" ref="Y21" si="293">Y20/D20</f>
        <v>2.3252449999999997E-2</v>
      </c>
      <c r="Z21" s="39">
        <f t="shared" ref="Z21" si="294">Z20/D20</f>
        <v>2.3252449999999997E-2</v>
      </c>
      <c r="AA21" s="169">
        <f t="shared" ref="AA21" si="295">AA20/D20</f>
        <v>2.0499375E-2</v>
      </c>
      <c r="AB21" s="191">
        <f t="shared" ref="AB21" si="296">AB20/D20</f>
        <v>2.1011249999999999E-2</v>
      </c>
      <c r="AC21" s="159">
        <f t="shared" ref="AC21" si="297">AC20/D20</f>
        <v>2.1011249999999999E-2</v>
      </c>
      <c r="AD21" s="158">
        <f t="shared" ref="AD21" si="298">AD20/D20</f>
        <v>1.9132749999999997E-2</v>
      </c>
      <c r="AE21" s="191">
        <f t="shared" ref="AE21" si="299">AE20/D20</f>
        <v>1.9610499999999999E-2</v>
      </c>
      <c r="AF21" s="39">
        <f t="shared" ref="AF21" si="300">AF20/D20</f>
        <v>1.9610499999999999E-2</v>
      </c>
    </row>
    <row r="22" spans="1:34" s="217" customFormat="1" ht="18" customHeight="1">
      <c r="B22" s="6"/>
      <c r="C22" s="5"/>
      <c r="D22" s="5"/>
      <c r="E22" s="5"/>
      <c r="F22" s="6"/>
      <c r="G22" s="5"/>
      <c r="H22" s="6"/>
      <c r="I22" s="6"/>
      <c r="J22" s="6"/>
      <c r="K22" s="6"/>
      <c r="L22" s="6"/>
      <c r="M22" s="6"/>
      <c r="N22" s="6"/>
      <c r="O22" s="6"/>
      <c r="P22" s="6"/>
      <c r="Q22" s="6"/>
      <c r="R22" s="6"/>
      <c r="S22" s="6"/>
      <c r="T22" s="6"/>
      <c r="U22" s="6"/>
      <c r="V22" s="6"/>
      <c r="W22" s="6"/>
      <c r="X22" s="6"/>
      <c r="Y22" s="6"/>
      <c r="Z22" s="6"/>
      <c r="AA22" s="6"/>
      <c r="AB22" s="6"/>
      <c r="AC22" s="6"/>
      <c r="AD22" s="6"/>
      <c r="AE22" s="6"/>
      <c r="AF22" s="6"/>
    </row>
    <row r="23" spans="1:34" s="217" customFormat="1" ht="18" customHeight="1">
      <c r="B23" s="4" t="s">
        <v>75</v>
      </c>
      <c r="C23" s="5"/>
      <c r="D23" s="5"/>
      <c r="E23" s="5"/>
      <c r="F23" s="6"/>
      <c r="G23" s="5"/>
      <c r="H23" s="6"/>
      <c r="I23" s="6"/>
      <c r="J23" s="6"/>
      <c r="K23" s="6"/>
      <c r="L23" s="6"/>
      <c r="M23" s="6"/>
      <c r="N23" s="6"/>
      <c r="O23" s="6"/>
      <c r="P23" s="6"/>
      <c r="Q23" s="6"/>
      <c r="R23" s="6"/>
      <c r="S23" s="6"/>
      <c r="T23" s="6"/>
      <c r="U23" s="6"/>
      <c r="V23" s="6"/>
      <c r="W23" s="6"/>
      <c r="X23" s="6"/>
      <c r="Y23" s="6"/>
      <c r="Z23" s="6"/>
      <c r="AA23" s="6"/>
      <c r="AB23" s="6"/>
      <c r="AC23" s="6"/>
      <c r="AD23" s="6"/>
      <c r="AE23" s="6"/>
      <c r="AF23" s="6"/>
    </row>
    <row r="24" spans="1:34" s="703" customFormat="1" ht="15" customHeight="1">
      <c r="A24" s="29"/>
      <c r="B24" s="700"/>
      <c r="C24" s="692"/>
      <c r="D24" s="692"/>
      <c r="E24" s="692"/>
      <c r="F24" s="701"/>
      <c r="G24" s="701"/>
      <c r="H24" s="701"/>
      <c r="I24" s="701"/>
      <c r="J24" s="701"/>
      <c r="K24" s="701"/>
      <c r="L24" s="701"/>
      <c r="M24" s="701"/>
      <c r="N24" s="701"/>
      <c r="O24" s="701"/>
      <c r="P24" s="701"/>
      <c r="Q24" s="701"/>
      <c r="R24" s="701"/>
      <c r="S24" s="701"/>
      <c r="T24" s="701"/>
      <c r="U24" s="701"/>
      <c r="V24" s="701"/>
      <c r="W24" s="701"/>
      <c r="X24" s="701"/>
      <c r="Y24" s="702"/>
      <c r="Z24" s="701"/>
      <c r="AA24" s="701"/>
      <c r="AB24" s="701"/>
      <c r="AC24" s="701"/>
      <c r="AD24" s="701"/>
      <c r="AE24" s="29"/>
      <c r="AF24" s="29"/>
    </row>
    <row r="25" spans="1:34" s="217" customFormat="1" ht="18" customHeight="1">
      <c r="B25" s="6" t="s">
        <v>76</v>
      </c>
      <c r="C25" s="5"/>
      <c r="D25" s="5"/>
      <c r="E25" s="5"/>
      <c r="F25" s="6"/>
      <c r="G25" s="5"/>
      <c r="H25" s="6"/>
      <c r="I25" s="6"/>
      <c r="J25" s="6"/>
      <c r="K25" s="6"/>
      <c r="L25" s="6"/>
      <c r="M25" s="6"/>
      <c r="N25" s="6"/>
      <c r="O25" s="6"/>
      <c r="P25" s="6"/>
      <c r="Q25" s="6"/>
      <c r="R25" s="6"/>
      <c r="S25" s="6"/>
      <c r="T25" s="6"/>
      <c r="U25" s="6"/>
      <c r="V25" s="6"/>
      <c r="W25" s="6"/>
      <c r="X25" s="6"/>
      <c r="Y25" s="6"/>
      <c r="Z25" s="6"/>
      <c r="AA25" s="6"/>
      <c r="AB25" s="6"/>
      <c r="AC25" s="6"/>
      <c r="AD25" s="6"/>
      <c r="AE25" s="6"/>
      <c r="AF25" s="6"/>
    </row>
    <row r="26" spans="1:34" s="217" customFormat="1" ht="18" customHeight="1">
      <c r="B26" s="153" t="s">
        <v>284</v>
      </c>
      <c r="C26" s="153"/>
      <c r="D26" s="153"/>
      <c r="E26" s="154"/>
      <c r="F26" s="154"/>
      <c r="G26" s="154"/>
      <c r="H26" s="154"/>
      <c r="I26" s="154"/>
      <c r="J26" s="154"/>
      <c r="K26" s="154"/>
      <c r="L26" s="154"/>
      <c r="M26" s="154"/>
      <c r="N26" s="154"/>
      <c r="O26" s="154"/>
      <c r="P26" s="154"/>
      <c r="Q26" s="153"/>
      <c r="R26" s="153"/>
      <c r="S26" s="30"/>
      <c r="T26" s="30"/>
      <c r="U26" s="30"/>
      <c r="V26" s="30"/>
      <c r="W26" s="30"/>
      <c r="X26" s="30"/>
      <c r="Y26" s="30"/>
      <c r="Z26" s="30"/>
      <c r="AA26" s="30"/>
      <c r="AB26" s="30"/>
      <c r="AC26" s="30"/>
      <c r="AD26" s="30"/>
      <c r="AE26" s="30"/>
      <c r="AF26" s="30"/>
      <c r="AG26" s="30"/>
      <c r="AH26" s="30"/>
    </row>
    <row r="27" spans="1:34" s="470" customFormat="1" ht="18" customHeight="1">
      <c r="B27" s="30" t="s">
        <v>418</v>
      </c>
      <c r="C27" s="10"/>
      <c r="D27" s="10"/>
      <c r="E27" s="10"/>
      <c r="F27" s="4"/>
      <c r="G27" s="10"/>
      <c r="H27" s="4"/>
      <c r="I27" s="4"/>
      <c r="J27" s="4"/>
      <c r="K27" s="4"/>
      <c r="L27" s="4"/>
      <c r="M27" s="4"/>
      <c r="N27" s="4"/>
      <c r="O27" s="4"/>
      <c r="P27" s="4"/>
      <c r="Q27" s="4"/>
      <c r="R27" s="4"/>
      <c r="S27" s="4"/>
      <c r="T27" s="4"/>
      <c r="U27" s="4"/>
      <c r="V27" s="4"/>
      <c r="W27" s="4"/>
      <c r="X27" s="4"/>
      <c r="Y27" s="4"/>
      <c r="Z27" s="4"/>
      <c r="AA27" s="4"/>
      <c r="AB27" s="4"/>
      <c r="AC27" s="4"/>
      <c r="AD27" s="4"/>
      <c r="AE27" s="4"/>
      <c r="AF27" s="4"/>
    </row>
    <row r="28" spans="1:34" s="217" customFormat="1" ht="18" customHeight="1">
      <c r="B28" s="29" t="s">
        <v>77</v>
      </c>
      <c r="C28" s="31"/>
      <c r="D28" s="31"/>
      <c r="E28" s="31"/>
      <c r="F28" s="29"/>
      <c r="G28" s="29"/>
      <c r="H28" s="29"/>
      <c r="I28" s="29"/>
      <c r="J28" s="29"/>
      <c r="K28" s="29"/>
      <c r="L28" s="29"/>
      <c r="M28" s="29"/>
      <c r="N28" s="29"/>
      <c r="O28" s="29"/>
      <c r="P28" s="29"/>
      <c r="Q28" s="29"/>
      <c r="R28" s="29"/>
      <c r="S28" s="29"/>
      <c r="T28" s="29"/>
      <c r="U28" s="29"/>
      <c r="V28" s="29"/>
      <c r="W28" s="29"/>
      <c r="X28" s="29"/>
      <c r="Y28" s="29"/>
      <c r="Z28" s="29"/>
      <c r="AA28" s="29"/>
      <c r="AB28" s="29"/>
      <c r="AC28" s="29"/>
      <c r="AD28" s="29"/>
      <c r="AE28" s="29"/>
      <c r="AF28" s="29"/>
    </row>
    <row r="29" spans="1:34" s="217" customFormat="1" ht="18" customHeight="1">
      <c r="B29" s="29" t="s">
        <v>743</v>
      </c>
      <c r="C29" s="31"/>
      <c r="D29" s="31"/>
      <c r="E29" s="31"/>
      <c r="F29" s="29"/>
      <c r="G29" s="29"/>
      <c r="H29" s="29"/>
      <c r="I29" s="29"/>
      <c r="J29" s="29"/>
      <c r="K29" s="29"/>
      <c r="L29" s="29"/>
      <c r="M29" s="29"/>
      <c r="N29" s="29"/>
      <c r="O29" s="29"/>
      <c r="P29" s="29"/>
      <c r="Q29" s="29"/>
      <c r="R29" s="29"/>
      <c r="S29" s="29"/>
      <c r="T29" s="29"/>
      <c r="U29" s="29"/>
      <c r="V29" s="29"/>
      <c r="W29" s="29"/>
      <c r="X29" s="29"/>
      <c r="Y29" s="29"/>
      <c r="Z29" s="29"/>
      <c r="AA29" s="29"/>
      <c r="AB29" s="29"/>
      <c r="AC29" s="29"/>
      <c r="AD29" s="29"/>
      <c r="AE29" s="29"/>
      <c r="AF29" s="29"/>
    </row>
    <row r="30" spans="1:34" s="217" customFormat="1" ht="18" customHeight="1">
      <c r="B30" s="6" t="s">
        <v>78</v>
      </c>
      <c r="C30" s="5"/>
      <c r="D30" s="5"/>
      <c r="E30" s="5"/>
      <c r="F30" s="6"/>
      <c r="G30" s="5"/>
      <c r="H30" s="6"/>
      <c r="I30" s="6"/>
      <c r="J30" s="6"/>
      <c r="K30" s="6"/>
      <c r="L30" s="6"/>
      <c r="M30" s="6"/>
      <c r="N30" s="6"/>
      <c r="O30" s="6"/>
      <c r="P30" s="6"/>
      <c r="Q30" s="6"/>
      <c r="R30" s="6"/>
      <c r="S30" s="6"/>
      <c r="T30" s="6"/>
      <c r="U30" s="6"/>
      <c r="V30" s="6"/>
      <c r="W30" s="6"/>
      <c r="X30" s="6"/>
      <c r="Y30" s="6"/>
      <c r="Z30" s="6"/>
      <c r="AA30" s="6"/>
      <c r="AB30" s="6"/>
      <c r="AC30" s="6"/>
      <c r="AD30" s="6"/>
      <c r="AE30" s="6"/>
      <c r="AF30" s="6"/>
    </row>
    <row r="31" spans="1:34" s="217" customFormat="1" ht="18" customHeight="1">
      <c r="B31" s="6" t="s">
        <v>282</v>
      </c>
      <c r="C31" s="5"/>
      <c r="D31" s="5"/>
      <c r="E31" s="5"/>
      <c r="F31" s="6"/>
      <c r="G31" s="5"/>
      <c r="H31" s="6"/>
      <c r="I31" s="6"/>
      <c r="J31" s="6"/>
      <c r="K31" s="6"/>
      <c r="L31" s="6"/>
      <c r="M31" s="6"/>
      <c r="N31" s="6"/>
      <c r="O31" s="6"/>
      <c r="P31" s="6"/>
      <c r="Q31" s="6"/>
      <c r="R31" s="6"/>
      <c r="S31" s="6"/>
      <c r="T31" s="6"/>
      <c r="U31" s="6"/>
      <c r="V31" s="6"/>
      <c r="W31" s="6"/>
      <c r="X31" s="6"/>
      <c r="Y31" s="6"/>
      <c r="Z31" s="6"/>
      <c r="AA31" s="6"/>
      <c r="AB31" s="6"/>
      <c r="AC31" s="6"/>
      <c r="AD31" s="6"/>
      <c r="AE31" s="6"/>
      <c r="AF31" s="6"/>
    </row>
    <row r="32" spans="1:34" s="217" customFormat="1" ht="18" customHeight="1">
      <c r="B32" s="6" t="s">
        <v>422</v>
      </c>
      <c r="C32" s="5"/>
      <c r="D32" s="5"/>
      <c r="E32" s="5"/>
      <c r="F32" s="6"/>
      <c r="G32" s="5"/>
      <c r="H32" s="6"/>
      <c r="I32" s="6"/>
      <c r="J32" s="6"/>
      <c r="K32" s="6"/>
      <c r="L32" s="6"/>
      <c r="M32" s="6"/>
      <c r="N32" s="6"/>
      <c r="O32" s="6"/>
      <c r="P32" s="6"/>
      <c r="Q32" s="6"/>
      <c r="R32" s="6"/>
      <c r="S32" s="6"/>
      <c r="T32" s="6"/>
      <c r="U32" s="6"/>
      <c r="V32" s="6"/>
      <c r="W32" s="6"/>
      <c r="X32" s="6"/>
      <c r="Y32" s="6"/>
      <c r="Z32" s="6"/>
      <c r="AA32" s="6"/>
      <c r="AB32" s="6"/>
      <c r="AC32" s="6"/>
      <c r="AD32" s="6"/>
      <c r="AE32" s="6"/>
      <c r="AF32" s="6"/>
    </row>
    <row r="33" spans="2:32" s="217" customFormat="1" ht="18" customHeight="1">
      <c r="B33" s="6" t="s">
        <v>79</v>
      </c>
      <c r="C33" s="5"/>
      <c r="D33" s="5"/>
      <c r="E33" s="5"/>
      <c r="F33" s="6"/>
      <c r="G33" s="5"/>
      <c r="H33" s="6"/>
      <c r="I33" s="6"/>
      <c r="J33" s="6"/>
      <c r="K33" s="6"/>
      <c r="L33" s="6"/>
      <c r="M33" s="6"/>
      <c r="N33" s="6"/>
      <c r="O33" s="6"/>
      <c r="P33" s="6"/>
      <c r="Q33" s="6"/>
      <c r="R33" s="6"/>
      <c r="S33" s="6"/>
      <c r="T33" s="6"/>
      <c r="U33" s="6"/>
      <c r="V33" s="6"/>
      <c r="W33" s="6"/>
      <c r="X33" s="6"/>
      <c r="Y33" s="6"/>
      <c r="Z33" s="6"/>
      <c r="AA33" s="6"/>
      <c r="AB33" s="6"/>
      <c r="AC33" s="6"/>
      <c r="AD33" s="6"/>
      <c r="AE33" s="6"/>
      <c r="AF33" s="6"/>
    </row>
    <row r="34" spans="2:32" s="217" customFormat="1" ht="18" customHeight="1">
      <c r="B34" s="6" t="s">
        <v>283</v>
      </c>
      <c r="C34" s="5"/>
      <c r="D34" s="5"/>
      <c r="E34" s="5"/>
      <c r="F34" s="6"/>
      <c r="G34" s="5"/>
      <c r="H34" s="6"/>
      <c r="I34" s="6"/>
      <c r="J34" s="6"/>
      <c r="K34" s="6"/>
      <c r="L34" s="6"/>
      <c r="M34" s="6"/>
      <c r="N34" s="6"/>
      <c r="O34" s="6"/>
      <c r="P34" s="6"/>
      <c r="Q34" s="6"/>
      <c r="R34" s="6"/>
      <c r="S34" s="6"/>
      <c r="T34" s="6"/>
      <c r="U34" s="6"/>
      <c r="V34" s="6"/>
      <c r="W34" s="6"/>
      <c r="X34" s="6"/>
      <c r="Y34" s="6"/>
      <c r="Z34" s="6"/>
      <c r="AA34" s="6"/>
      <c r="AB34" s="6"/>
      <c r="AC34" s="6"/>
      <c r="AD34" s="6"/>
      <c r="AE34" s="6"/>
      <c r="AF34" s="6"/>
    </row>
    <row r="35" spans="2:32" s="217" customFormat="1" ht="18" customHeight="1">
      <c r="B35" s="6" t="s">
        <v>80</v>
      </c>
      <c r="C35" s="5"/>
      <c r="D35" s="5"/>
      <c r="E35" s="5"/>
      <c r="F35" s="6"/>
      <c r="G35" s="5"/>
      <c r="H35" s="6"/>
      <c r="I35" s="6"/>
      <c r="J35" s="6"/>
      <c r="K35" s="6"/>
      <c r="L35" s="6"/>
      <c r="M35" s="6"/>
      <c r="N35" s="6"/>
      <c r="O35" s="6"/>
      <c r="P35" s="6"/>
      <c r="Q35" s="6"/>
      <c r="R35" s="6"/>
      <c r="S35" s="6"/>
      <c r="T35" s="6"/>
      <c r="U35" s="6"/>
      <c r="V35" s="6"/>
      <c r="W35" s="6"/>
      <c r="X35" s="6"/>
      <c r="Y35" s="6"/>
      <c r="Z35" s="6"/>
      <c r="AA35" s="6"/>
      <c r="AB35" s="6"/>
      <c r="AC35" s="6"/>
      <c r="AD35" s="6"/>
      <c r="AE35" s="6"/>
      <c r="AF35" s="6"/>
    </row>
    <row r="36" spans="2:32" s="217" customFormat="1" ht="18" customHeight="1">
      <c r="B36" s="30" t="s">
        <v>81</v>
      </c>
      <c r="C36" s="5"/>
      <c r="D36" s="5"/>
      <c r="E36" s="5"/>
      <c r="F36" s="6"/>
      <c r="G36" s="5"/>
      <c r="H36" s="6"/>
      <c r="I36" s="6"/>
      <c r="J36" s="6"/>
      <c r="K36" s="6"/>
      <c r="L36" s="6"/>
      <c r="M36" s="6"/>
      <c r="N36" s="6"/>
      <c r="O36" s="6"/>
      <c r="P36" s="6"/>
      <c r="Q36" s="6"/>
      <c r="R36" s="6"/>
      <c r="S36" s="6"/>
      <c r="T36" s="6"/>
      <c r="U36" s="6"/>
      <c r="V36" s="6"/>
      <c r="W36" s="6"/>
      <c r="X36" s="6"/>
      <c r="Y36" s="6"/>
      <c r="Z36" s="6"/>
      <c r="AA36" s="6"/>
      <c r="AB36" s="6"/>
      <c r="AC36" s="6"/>
      <c r="AD36" s="6"/>
      <c r="AE36" s="6"/>
      <c r="AF36" s="6"/>
    </row>
  </sheetData>
  <mergeCells count="108">
    <mergeCell ref="K8:K9"/>
    <mergeCell ref="M6:M7"/>
    <mergeCell ref="M8:M9"/>
    <mergeCell ref="J6:J7"/>
    <mergeCell ref="J8:J9"/>
    <mergeCell ref="K6:K7"/>
    <mergeCell ref="K10:K11"/>
    <mergeCell ref="J10:J11"/>
    <mergeCell ref="L18:L19"/>
    <mergeCell ref="M18:M19"/>
    <mergeCell ref="J18:J19"/>
    <mergeCell ref="K18:K19"/>
    <mergeCell ref="J12:J13"/>
    <mergeCell ref="K12:K13"/>
    <mergeCell ref="N6:N7"/>
    <mergeCell ref="N8:N9"/>
    <mergeCell ref="L6:L7"/>
    <mergeCell ref="L8:L9"/>
    <mergeCell ref="M16:M17"/>
    <mergeCell ref="N12:N13"/>
    <mergeCell ref="N14:N15"/>
    <mergeCell ref="N16:N17"/>
    <mergeCell ref="L12:L13"/>
    <mergeCell ref="L14:L15"/>
    <mergeCell ref="M12:M13"/>
    <mergeCell ref="M14:M15"/>
    <mergeCell ref="L10:L11"/>
    <mergeCell ref="M10:M11"/>
    <mergeCell ref="N10:N11"/>
    <mergeCell ref="L16:L17"/>
    <mergeCell ref="N18:N19"/>
    <mergeCell ref="B14:C14"/>
    <mergeCell ref="D14:D15"/>
    <mergeCell ref="E14:E15"/>
    <mergeCell ref="F14:F15"/>
    <mergeCell ref="G14:G15"/>
    <mergeCell ref="K14:K15"/>
    <mergeCell ref="J14:J15"/>
    <mergeCell ref="K16:K17"/>
    <mergeCell ref="H14:H15"/>
    <mergeCell ref="I14:I15"/>
    <mergeCell ref="J16:J17"/>
    <mergeCell ref="B18:C18"/>
    <mergeCell ref="D18:D19"/>
    <mergeCell ref="E18:E19"/>
    <mergeCell ref="F18:F19"/>
    <mergeCell ref="G18:G19"/>
    <mergeCell ref="H18:H19"/>
    <mergeCell ref="I18:I19"/>
    <mergeCell ref="B1:AF1"/>
    <mergeCell ref="B4:C4"/>
    <mergeCell ref="D4:D5"/>
    <mergeCell ref="E4:E5"/>
    <mergeCell ref="O4:Q4"/>
    <mergeCell ref="J4:N4"/>
    <mergeCell ref="R4:S4"/>
    <mergeCell ref="X4:Y4"/>
    <mergeCell ref="AA4:AB4"/>
    <mergeCell ref="AD4:AE4"/>
    <mergeCell ref="U4:V4"/>
    <mergeCell ref="I6:I7"/>
    <mergeCell ref="F4:F5"/>
    <mergeCell ref="B16:C16"/>
    <mergeCell ref="D16:D17"/>
    <mergeCell ref="E16:E17"/>
    <mergeCell ref="F16:F17"/>
    <mergeCell ref="G16:G17"/>
    <mergeCell ref="B8:C8"/>
    <mergeCell ref="D8:D9"/>
    <mergeCell ref="H8:H9"/>
    <mergeCell ref="I8:I9"/>
    <mergeCell ref="F6:F7"/>
    <mergeCell ref="G6:G7"/>
    <mergeCell ref="I16:I17"/>
    <mergeCell ref="H16:H17"/>
    <mergeCell ref="I12:I13"/>
    <mergeCell ref="H12:H13"/>
    <mergeCell ref="E8:E9"/>
    <mergeCell ref="F8:F9"/>
    <mergeCell ref="G8:G9"/>
    <mergeCell ref="B6:C6"/>
    <mergeCell ref="D6:D7"/>
    <mergeCell ref="E6:E7"/>
    <mergeCell ref="H6:H7"/>
    <mergeCell ref="F10:F11"/>
    <mergeCell ref="G10:G11"/>
    <mergeCell ref="H10:H11"/>
    <mergeCell ref="I10:I11"/>
    <mergeCell ref="B12:C12"/>
    <mergeCell ref="D12:D13"/>
    <mergeCell ref="E12:E13"/>
    <mergeCell ref="F12:F13"/>
    <mergeCell ref="G12:G13"/>
    <mergeCell ref="B10:C10"/>
    <mergeCell ref="D10:D11"/>
    <mergeCell ref="E10:E11"/>
    <mergeCell ref="L20:L21"/>
    <mergeCell ref="M20:M21"/>
    <mergeCell ref="N20:N21"/>
    <mergeCell ref="B20:C20"/>
    <mergeCell ref="D20:D21"/>
    <mergeCell ref="E20:E21"/>
    <mergeCell ref="F20:F21"/>
    <mergeCell ref="G20:G21"/>
    <mergeCell ref="H20:H21"/>
    <mergeCell ref="I20:I21"/>
    <mergeCell ref="J20:J21"/>
    <mergeCell ref="K20:K21"/>
  </mergeCells>
  <phoneticPr fontId="35" type="noConversion"/>
  <printOptions horizontalCentered="1"/>
  <pageMargins left="0.31496062992125984" right="0.31496062992125984" top="0.31496062992125984" bottom="0.31496062992125984" header="0" footer="0"/>
  <pageSetup paperSize="9" scale="59" orientation="landscape" r:id="rId1"/>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66FF"/>
    <pageSetUpPr fitToPage="1"/>
  </sheetPr>
  <dimension ref="A1:O30"/>
  <sheetViews>
    <sheetView zoomScaleNormal="100" workbookViewId="0">
      <pane ySplit="1" topLeftCell="A2" activePane="bottomLeft" state="frozen"/>
      <selection activeCell="B1" sqref="B1:O1"/>
      <selection pane="bottomLeft" activeCell="B1" sqref="B1:O1"/>
    </sheetView>
  </sheetViews>
  <sheetFormatPr defaultRowHeight="16.5"/>
  <cols>
    <col min="1" max="1" width="1" customWidth="1"/>
    <col min="4" max="8" width="9.625" customWidth="1"/>
    <col min="9" max="9" width="10.625" customWidth="1"/>
    <col min="11" max="11" width="9.125" customWidth="1"/>
  </cols>
  <sheetData>
    <row r="1" spans="1:15" s="14" customFormat="1" ht="30" customHeight="1" thickBot="1">
      <c r="A1" s="315"/>
      <c r="B1" s="1082" t="s">
        <v>1707</v>
      </c>
      <c r="C1" s="1082"/>
      <c r="D1" s="1082"/>
      <c r="E1" s="1082"/>
      <c r="F1" s="1082"/>
      <c r="G1" s="1082"/>
      <c r="H1" s="1082"/>
      <c r="I1" s="1082"/>
      <c r="J1" s="1082"/>
      <c r="K1" s="1082"/>
      <c r="L1" s="1082"/>
      <c r="M1" s="1082"/>
      <c r="N1" s="1082"/>
      <c r="O1" s="1082"/>
    </row>
    <row r="2" spans="1:15" s="217" customFormat="1" ht="18" customHeight="1" thickTop="1">
      <c r="B2" s="35"/>
      <c r="C2" s="35"/>
      <c r="D2" s="5"/>
      <c r="E2" s="5"/>
      <c r="F2" s="6"/>
      <c r="G2" s="6"/>
      <c r="H2" s="6"/>
      <c r="I2" s="6"/>
      <c r="J2" s="6"/>
      <c r="K2" s="5"/>
      <c r="L2" s="5"/>
      <c r="M2" s="5"/>
      <c r="N2" s="5"/>
      <c r="O2" s="5"/>
    </row>
    <row r="3" spans="1:15" s="217" customFormat="1" ht="18" customHeight="1" thickBot="1">
      <c r="B3" s="4" t="s">
        <v>1374</v>
      </c>
      <c r="C3" s="5"/>
      <c r="D3" s="5"/>
      <c r="E3" s="5"/>
      <c r="F3" s="6"/>
      <c r="G3" s="6"/>
      <c r="H3" s="6"/>
      <c r="I3" s="6"/>
      <c r="J3" s="6"/>
      <c r="K3" s="6"/>
      <c r="L3" s="6"/>
      <c r="M3" s="6"/>
      <c r="N3" s="6"/>
      <c r="O3" s="6"/>
    </row>
    <row r="4" spans="1:15" s="217" customFormat="1" ht="18" customHeight="1">
      <c r="B4" s="1853" t="s">
        <v>1375</v>
      </c>
      <c r="C4" s="1854"/>
      <c r="D4" s="1303" t="s">
        <v>1376</v>
      </c>
      <c r="E4" s="1304"/>
      <c r="F4" s="1304"/>
      <c r="G4" s="1304"/>
      <c r="H4" s="1304"/>
      <c r="I4" s="1304"/>
      <c r="J4" s="1302"/>
      <c r="K4" s="1854" t="s">
        <v>1377</v>
      </c>
      <c r="L4" s="1854"/>
      <c r="M4" s="1854"/>
      <c r="N4" s="1854"/>
      <c r="O4" s="1855"/>
    </row>
    <row r="5" spans="1:15" s="217" customFormat="1" ht="18" customHeight="1">
      <c r="B5" s="1306" t="s">
        <v>1528</v>
      </c>
      <c r="C5" s="1307"/>
      <c r="D5" s="1858" t="s">
        <v>1529</v>
      </c>
      <c r="E5" s="1859"/>
      <c r="F5" s="1859"/>
      <c r="G5" s="1859"/>
      <c r="H5" s="1859"/>
      <c r="I5" s="1859"/>
      <c r="J5" s="1860"/>
      <c r="K5" s="1966" t="s">
        <v>1530</v>
      </c>
      <c r="L5" s="1966"/>
      <c r="M5" s="1966"/>
      <c r="N5" s="1966"/>
      <c r="O5" s="1967"/>
    </row>
    <row r="6" spans="1:15" s="217" customFormat="1" ht="18" customHeight="1">
      <c r="B6" s="1306" t="s">
        <v>1531</v>
      </c>
      <c r="C6" s="1307"/>
      <c r="D6" s="1970" t="s">
        <v>1532</v>
      </c>
      <c r="E6" s="1971"/>
      <c r="F6" s="1971"/>
      <c r="G6" s="1971"/>
      <c r="H6" s="1971"/>
      <c r="I6" s="1971"/>
      <c r="J6" s="1972"/>
      <c r="K6" s="1002" t="s">
        <v>1533</v>
      </c>
      <c r="L6" s="1002" t="s">
        <v>1534</v>
      </c>
      <c r="M6" s="1002" t="s">
        <v>1535</v>
      </c>
      <c r="N6" s="1002" t="s">
        <v>1536</v>
      </c>
      <c r="O6" s="11" t="s">
        <v>1537</v>
      </c>
    </row>
    <row r="7" spans="1:15" s="217" customFormat="1" ht="18" customHeight="1" thickBot="1">
      <c r="B7" s="1968"/>
      <c r="C7" s="1969"/>
      <c r="D7" s="1973"/>
      <c r="E7" s="1974"/>
      <c r="F7" s="1974"/>
      <c r="G7" s="1974"/>
      <c r="H7" s="1974"/>
      <c r="I7" s="1974"/>
      <c r="J7" s="1975"/>
      <c r="K7" s="1004" t="s">
        <v>1538</v>
      </c>
      <c r="L7" s="580">
        <v>1</v>
      </c>
      <c r="M7" s="580">
        <v>0.33639999999999998</v>
      </c>
      <c r="N7" s="580">
        <v>0.17030000000000001</v>
      </c>
      <c r="O7" s="1001">
        <v>8.6999999999999994E-2</v>
      </c>
    </row>
    <row r="8" spans="1:15" s="217" customFormat="1" ht="18" customHeight="1">
      <c r="B8" s="29"/>
      <c r="C8" s="31"/>
      <c r="D8" s="31"/>
      <c r="E8" s="31"/>
      <c r="F8" s="31"/>
      <c r="G8" s="29"/>
      <c r="H8" s="29"/>
      <c r="I8" s="29"/>
      <c r="J8" s="29"/>
      <c r="K8" s="29"/>
      <c r="L8" s="29"/>
      <c r="M8" s="29"/>
      <c r="N8" s="29"/>
      <c r="O8" s="29"/>
    </row>
    <row r="9" spans="1:15" s="217" customFormat="1" ht="18" customHeight="1" thickBot="1">
      <c r="B9" s="4" t="s">
        <v>1389</v>
      </c>
      <c r="C9" s="5"/>
      <c r="D9" s="5"/>
      <c r="E9" s="5"/>
      <c r="F9" s="6"/>
      <c r="G9" s="6"/>
      <c r="H9" s="6"/>
      <c r="I9" s="6"/>
      <c r="J9" s="6"/>
      <c r="K9" s="6"/>
      <c r="L9" s="6"/>
      <c r="M9" s="6"/>
      <c r="N9" s="6"/>
      <c r="O9" s="6"/>
    </row>
    <row r="10" spans="1:15" s="217" customFormat="1" ht="18" customHeight="1">
      <c r="B10" s="1853" t="s">
        <v>1375</v>
      </c>
      <c r="C10" s="1854"/>
      <c r="D10" s="1303" t="s">
        <v>1376</v>
      </c>
      <c r="E10" s="1304"/>
      <c r="F10" s="1304"/>
      <c r="G10" s="1304"/>
      <c r="H10" s="1304"/>
      <c r="I10" s="1304"/>
      <c r="J10" s="1304"/>
      <c r="K10" s="1304"/>
      <c r="L10" s="1304"/>
      <c r="M10" s="1304"/>
      <c r="N10" s="1304"/>
      <c r="O10" s="1305"/>
    </row>
    <row r="11" spans="1:15" s="217" customFormat="1" ht="18" customHeight="1">
      <c r="B11" s="1306" t="s">
        <v>1539</v>
      </c>
      <c r="C11" s="1307"/>
      <c r="D11" s="1970" t="s">
        <v>1540</v>
      </c>
      <c r="E11" s="1976"/>
      <c r="F11" s="1976"/>
      <c r="G11" s="1976"/>
      <c r="H11" s="1976"/>
      <c r="I11" s="1976"/>
      <c r="J11" s="1976"/>
      <c r="K11" s="1976"/>
      <c r="L11" s="1976"/>
      <c r="M11" s="1976"/>
      <c r="N11" s="1976"/>
      <c r="O11" s="1977"/>
    </row>
    <row r="12" spans="1:15" s="217" customFormat="1" ht="18" customHeight="1">
      <c r="B12" s="1891"/>
      <c r="C12" s="1912"/>
      <c r="D12" s="1978"/>
      <c r="E12" s="1979"/>
      <c r="F12" s="1979"/>
      <c r="G12" s="1979"/>
      <c r="H12" s="1979"/>
      <c r="I12" s="1979"/>
      <c r="J12" s="1979"/>
      <c r="K12" s="1979"/>
      <c r="L12" s="1979"/>
      <c r="M12" s="1979"/>
      <c r="N12" s="1979"/>
      <c r="O12" s="1980"/>
    </row>
    <row r="13" spans="1:15" s="217" customFormat="1" ht="18" customHeight="1">
      <c r="B13" s="1856"/>
      <c r="C13" s="1857"/>
      <c r="D13" s="1981"/>
      <c r="E13" s="1982"/>
      <c r="F13" s="1982"/>
      <c r="G13" s="1982"/>
      <c r="H13" s="1982"/>
      <c r="I13" s="1982"/>
      <c r="J13" s="1982"/>
      <c r="K13" s="1982"/>
      <c r="L13" s="1982"/>
      <c r="M13" s="1982"/>
      <c r="N13" s="1982"/>
      <c r="O13" s="1983"/>
    </row>
    <row r="14" spans="1:15" s="217" customFormat="1" ht="18" customHeight="1">
      <c r="B14" s="1891" t="s">
        <v>1541</v>
      </c>
      <c r="C14" s="1912"/>
      <c r="D14" s="2002" t="s">
        <v>1542</v>
      </c>
      <c r="E14" s="1859"/>
      <c r="F14" s="1859"/>
      <c r="G14" s="1859"/>
      <c r="H14" s="1859"/>
      <c r="I14" s="1860"/>
      <c r="J14" s="999" t="s">
        <v>1543</v>
      </c>
      <c r="K14" s="1003" t="s">
        <v>1544</v>
      </c>
      <c r="L14" s="1003" t="s">
        <v>1545</v>
      </c>
      <c r="M14" s="297" t="s">
        <v>1546</v>
      </c>
      <c r="N14" s="999" t="s">
        <v>1547</v>
      </c>
      <c r="O14" s="11" t="s">
        <v>1548</v>
      </c>
    </row>
    <row r="15" spans="1:15" s="217" customFormat="1" ht="18" customHeight="1">
      <c r="B15" s="1856"/>
      <c r="C15" s="1857"/>
      <c r="D15" s="1861"/>
      <c r="E15" s="1862"/>
      <c r="F15" s="1862"/>
      <c r="G15" s="1862"/>
      <c r="H15" s="1862"/>
      <c r="I15" s="1863"/>
      <c r="J15" s="999" t="s">
        <v>1528</v>
      </c>
      <c r="K15" s="1000" t="s">
        <v>1549</v>
      </c>
      <c r="L15" s="1006" t="s">
        <v>1550</v>
      </c>
      <c r="M15" s="1006" t="s">
        <v>1551</v>
      </c>
      <c r="N15" s="1006" t="s">
        <v>1552</v>
      </c>
      <c r="O15" s="1007" t="s">
        <v>1553</v>
      </c>
    </row>
    <row r="16" spans="1:15" s="217" customFormat="1" ht="18" customHeight="1" thickBot="1">
      <c r="B16" s="1901" t="s">
        <v>1554</v>
      </c>
      <c r="C16" s="1902"/>
      <c r="D16" s="2003" t="s">
        <v>1555</v>
      </c>
      <c r="E16" s="2004"/>
      <c r="F16" s="2004"/>
      <c r="G16" s="2004"/>
      <c r="H16" s="2004"/>
      <c r="I16" s="2004"/>
      <c r="J16" s="2004"/>
      <c r="K16" s="2004"/>
      <c r="L16" s="2004"/>
      <c r="M16" s="2004"/>
      <c r="N16" s="2004"/>
      <c r="O16" s="2005"/>
    </row>
    <row r="17" spans="2:15" s="217" customFormat="1" ht="18" customHeight="1">
      <c r="B17" s="6"/>
      <c r="C17" s="5"/>
      <c r="D17" s="5"/>
      <c r="E17" s="5"/>
      <c r="F17" s="5"/>
      <c r="G17" s="6"/>
      <c r="H17" s="6"/>
      <c r="I17" s="6"/>
      <c r="J17" s="6"/>
      <c r="K17" s="6"/>
      <c r="L17" s="6"/>
      <c r="M17" s="6"/>
      <c r="N17" s="6"/>
      <c r="O17" s="6"/>
    </row>
    <row r="18" spans="2:15" s="217" customFormat="1" ht="18" customHeight="1" thickBot="1">
      <c r="B18" s="4" t="s">
        <v>1556</v>
      </c>
      <c r="C18" s="5"/>
      <c r="D18" s="5"/>
      <c r="E18" s="10"/>
      <c r="F18" s="6"/>
      <c r="G18" s="6"/>
      <c r="H18" s="6"/>
      <c r="I18" s="6"/>
      <c r="J18" s="6"/>
      <c r="K18" s="5"/>
      <c r="L18" s="5"/>
      <c r="M18" s="5"/>
      <c r="N18" s="5"/>
      <c r="O18" s="5"/>
    </row>
    <row r="19" spans="2:15" s="217" customFormat="1" ht="18" customHeight="1">
      <c r="B19" s="1853" t="s">
        <v>1375</v>
      </c>
      <c r="C19" s="1854"/>
      <c r="D19" s="1304" t="s">
        <v>1557</v>
      </c>
      <c r="E19" s="1304"/>
      <c r="F19" s="1304"/>
      <c r="G19" s="1304"/>
      <c r="H19" s="1304"/>
      <c r="I19" s="1304"/>
      <c r="J19" s="1302"/>
      <c r="K19" s="1881" t="s">
        <v>1377</v>
      </c>
      <c r="L19" s="1881"/>
      <c r="M19" s="1881"/>
      <c r="N19" s="1881"/>
      <c r="O19" s="1882"/>
    </row>
    <row r="20" spans="2:15" s="217" customFormat="1" ht="18" customHeight="1">
      <c r="B20" s="1867" t="s">
        <v>1558</v>
      </c>
      <c r="C20" s="1868"/>
      <c r="D20" s="1993" t="s">
        <v>1559</v>
      </c>
      <c r="E20" s="1994"/>
      <c r="F20" s="1994"/>
      <c r="G20" s="1994"/>
      <c r="H20" s="1994"/>
      <c r="I20" s="1994"/>
      <c r="J20" s="1995"/>
      <c r="K20" s="1984" t="s">
        <v>1560</v>
      </c>
      <c r="L20" s="1985"/>
      <c r="M20" s="1985"/>
      <c r="N20" s="1985"/>
      <c r="O20" s="1986"/>
    </row>
    <row r="21" spans="2:15" s="217" customFormat="1" ht="18" customHeight="1">
      <c r="B21" s="1867"/>
      <c r="C21" s="1868"/>
      <c r="D21" s="1996"/>
      <c r="E21" s="1997"/>
      <c r="F21" s="1997"/>
      <c r="G21" s="1997"/>
      <c r="H21" s="1997"/>
      <c r="I21" s="1997"/>
      <c r="J21" s="1998"/>
      <c r="K21" s="1987"/>
      <c r="L21" s="1988"/>
      <c r="M21" s="1988"/>
      <c r="N21" s="1988"/>
      <c r="O21" s="1989"/>
    </row>
    <row r="22" spans="2:15" s="217" customFormat="1" ht="18" customHeight="1">
      <c r="B22" s="1867"/>
      <c r="C22" s="1868"/>
      <c r="D22" s="1999"/>
      <c r="E22" s="2000"/>
      <c r="F22" s="2000"/>
      <c r="G22" s="2000"/>
      <c r="H22" s="2000"/>
      <c r="I22" s="2000"/>
      <c r="J22" s="2001"/>
      <c r="K22" s="1990"/>
      <c r="L22" s="1991"/>
      <c r="M22" s="1991"/>
      <c r="N22" s="1991"/>
      <c r="O22" s="1992"/>
    </row>
    <row r="23" spans="2:15" s="217" customFormat="1" ht="18" customHeight="1">
      <c r="B23" s="1306" t="s">
        <v>1561</v>
      </c>
      <c r="C23" s="1307"/>
      <c r="D23" s="1993" t="s">
        <v>1562</v>
      </c>
      <c r="E23" s="1994"/>
      <c r="F23" s="1994"/>
      <c r="G23" s="1994"/>
      <c r="H23" s="1994"/>
      <c r="I23" s="1994"/>
      <c r="J23" s="1995"/>
      <c r="K23" s="1970" t="s">
        <v>28</v>
      </c>
      <c r="L23" s="1976"/>
      <c r="M23" s="1976"/>
      <c r="N23" s="1976"/>
      <c r="O23" s="1977"/>
    </row>
    <row r="24" spans="2:15" s="217" customFormat="1" ht="18" customHeight="1">
      <c r="B24" s="1891"/>
      <c r="C24" s="1912"/>
      <c r="D24" s="1996"/>
      <c r="E24" s="1997"/>
      <c r="F24" s="1997"/>
      <c r="G24" s="1997"/>
      <c r="H24" s="1997"/>
      <c r="I24" s="1997"/>
      <c r="J24" s="1998"/>
      <c r="K24" s="1978"/>
      <c r="L24" s="1979"/>
      <c r="M24" s="1979"/>
      <c r="N24" s="1979"/>
      <c r="O24" s="1980"/>
    </row>
    <row r="25" spans="2:15" s="217" customFormat="1" ht="18" customHeight="1" thickBot="1">
      <c r="B25" s="1856"/>
      <c r="C25" s="1857"/>
      <c r="D25" s="1999"/>
      <c r="E25" s="2000"/>
      <c r="F25" s="2000"/>
      <c r="G25" s="2000"/>
      <c r="H25" s="2000"/>
      <c r="I25" s="2000"/>
      <c r="J25" s="2001"/>
      <c r="K25" s="1978"/>
      <c r="L25" s="1979"/>
      <c r="M25" s="1979"/>
      <c r="N25" s="1979"/>
      <c r="O25" s="1980"/>
    </row>
    <row r="26" spans="2:15" s="217" customFormat="1" ht="18" customHeight="1">
      <c r="B26" s="1306" t="s">
        <v>1563</v>
      </c>
      <c r="C26" s="1307"/>
      <c r="D26" s="2002" t="s">
        <v>1564</v>
      </c>
      <c r="E26" s="2006"/>
      <c r="F26" s="2006"/>
      <c r="G26" s="2006"/>
      <c r="H26" s="2006"/>
      <c r="I26" s="2007"/>
      <c r="J26" s="1002" t="s">
        <v>1565</v>
      </c>
      <c r="K26" s="223" t="s">
        <v>1544</v>
      </c>
      <c r="L26" s="1003" t="s">
        <v>1545</v>
      </c>
      <c r="M26" s="1003" t="s">
        <v>1546</v>
      </c>
      <c r="N26" s="999" t="s">
        <v>1547</v>
      </c>
      <c r="O26" s="11" t="s">
        <v>1548</v>
      </c>
    </row>
    <row r="27" spans="2:15" s="217" customFormat="1" ht="18" customHeight="1">
      <c r="B27" s="1891"/>
      <c r="C27" s="1912"/>
      <c r="D27" s="2008"/>
      <c r="E27" s="2009"/>
      <c r="F27" s="2009"/>
      <c r="G27" s="2009"/>
      <c r="H27" s="2009"/>
      <c r="I27" s="2010"/>
      <c r="J27" s="684" t="s">
        <v>1528</v>
      </c>
      <c r="K27" s="318" t="s">
        <v>297</v>
      </c>
      <c r="L27" s="1003" t="s">
        <v>298</v>
      </c>
      <c r="M27" s="1003" t="s">
        <v>299</v>
      </c>
      <c r="N27" s="999" t="s">
        <v>32</v>
      </c>
      <c r="O27" s="11" t="s">
        <v>300</v>
      </c>
    </row>
    <row r="28" spans="2:15" s="217" customFormat="1" ht="18" customHeight="1" thickBot="1">
      <c r="B28" s="1891"/>
      <c r="C28" s="1912"/>
      <c r="D28" s="2011"/>
      <c r="E28" s="2012"/>
      <c r="F28" s="2012"/>
      <c r="G28" s="2012"/>
      <c r="H28" s="2012"/>
      <c r="I28" s="2013"/>
      <c r="J28" s="1002" t="s">
        <v>37</v>
      </c>
      <c r="K28" s="456">
        <v>2.85</v>
      </c>
      <c r="L28" s="585">
        <v>2.65</v>
      </c>
      <c r="M28" s="585">
        <v>2.4500000000000002</v>
      </c>
      <c r="N28" s="586">
        <v>2.25</v>
      </c>
      <c r="O28" s="457">
        <v>2</v>
      </c>
    </row>
    <row r="29" spans="2:15" s="217" customFormat="1" ht="18" customHeight="1">
      <c r="B29" s="1891"/>
      <c r="C29" s="1912"/>
      <c r="D29" s="2014" t="s">
        <v>1566</v>
      </c>
      <c r="E29" s="2015"/>
      <c r="F29" s="2015"/>
      <c r="G29" s="2015"/>
      <c r="H29" s="2015"/>
      <c r="I29" s="2016"/>
      <c r="J29" s="684" t="s">
        <v>1567</v>
      </c>
      <c r="K29" s="587" t="s">
        <v>1568</v>
      </c>
      <c r="L29" s="588" t="s">
        <v>1569</v>
      </c>
      <c r="M29" s="588" t="s">
        <v>1570</v>
      </c>
      <c r="N29" s="589" t="s">
        <v>1571</v>
      </c>
      <c r="O29" s="590" t="s">
        <v>1572</v>
      </c>
    </row>
    <row r="30" spans="2:15" s="217" customFormat="1" ht="18" customHeight="1" thickBot="1">
      <c r="B30" s="1913"/>
      <c r="C30" s="1914"/>
      <c r="D30" s="2017"/>
      <c r="E30" s="2018"/>
      <c r="F30" s="2018"/>
      <c r="G30" s="2018"/>
      <c r="H30" s="2018"/>
      <c r="I30" s="2019"/>
      <c r="J30" s="591" t="s">
        <v>1573</v>
      </c>
      <c r="K30" s="592">
        <v>1.04</v>
      </c>
      <c r="L30" s="593">
        <v>1.02</v>
      </c>
      <c r="M30" s="593">
        <v>1</v>
      </c>
      <c r="N30" s="456">
        <v>0.98</v>
      </c>
      <c r="O30" s="594">
        <v>0.96</v>
      </c>
    </row>
  </sheetData>
  <mergeCells count="29">
    <mergeCell ref="B26:C30"/>
    <mergeCell ref="D26:I28"/>
    <mergeCell ref="D29:I30"/>
    <mergeCell ref="B20:C22"/>
    <mergeCell ref="D20:J22"/>
    <mergeCell ref="K20:O22"/>
    <mergeCell ref="B23:C25"/>
    <mergeCell ref="D23:J25"/>
    <mergeCell ref="K23:O25"/>
    <mergeCell ref="B14:C15"/>
    <mergeCell ref="D14:I15"/>
    <mergeCell ref="B16:C16"/>
    <mergeCell ref="D16:O16"/>
    <mergeCell ref="B19:C19"/>
    <mergeCell ref="D19:J19"/>
    <mergeCell ref="K19:O19"/>
    <mergeCell ref="B6:C7"/>
    <mergeCell ref="D6:J7"/>
    <mergeCell ref="B10:C10"/>
    <mergeCell ref="D10:O10"/>
    <mergeCell ref="B11:C13"/>
    <mergeCell ref="D11:O13"/>
    <mergeCell ref="B1:O1"/>
    <mergeCell ref="B4:C4"/>
    <mergeCell ref="D4:J4"/>
    <mergeCell ref="K4:O4"/>
    <mergeCell ref="B5:C5"/>
    <mergeCell ref="D5:J5"/>
    <mergeCell ref="K5:O5"/>
  </mergeCells>
  <phoneticPr fontId="100" type="noConversion"/>
  <printOptions horizontalCentered="1"/>
  <pageMargins left="0.31496062992125984" right="0.31496062992125984" top="0.31496062992125984" bottom="0.31496062992125984" header="0" footer="0"/>
  <pageSetup paperSize="9" scale="82"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O26"/>
  <sheetViews>
    <sheetView zoomScaleNormal="100" workbookViewId="0"/>
  </sheetViews>
  <sheetFormatPr defaultRowHeight="18" customHeight="1"/>
  <cols>
    <col min="1" max="1" width="1" style="7" customWidth="1"/>
    <col min="2" max="16384" width="9" style="7"/>
  </cols>
  <sheetData>
    <row r="1" spans="1:15" ht="30" customHeight="1" thickBot="1">
      <c r="A1" s="6"/>
      <c r="B1" s="1082" t="s">
        <v>1717</v>
      </c>
      <c r="C1" s="1082"/>
      <c r="D1" s="1082"/>
      <c r="E1" s="1082"/>
      <c r="F1" s="1082"/>
      <c r="G1" s="1082"/>
      <c r="H1" s="1082"/>
      <c r="I1" s="1082"/>
      <c r="J1" s="1082"/>
      <c r="K1" s="1082"/>
      <c r="L1" s="1082"/>
      <c r="M1" s="1082"/>
      <c r="N1" s="1082"/>
      <c r="O1" s="1082"/>
    </row>
    <row r="2" spans="1:15" ht="18" customHeight="1" thickTop="1" thickBot="1">
      <c r="A2" s="5"/>
      <c r="B2" s="35"/>
      <c r="C2" s="35"/>
      <c r="D2" s="5"/>
      <c r="E2" s="5"/>
      <c r="F2" s="6"/>
      <c r="G2" s="6"/>
      <c r="H2" s="6"/>
      <c r="I2" s="6"/>
      <c r="J2" s="6"/>
      <c r="K2" s="5"/>
      <c r="L2" s="5"/>
      <c r="M2" s="5"/>
      <c r="N2" s="5"/>
      <c r="O2" s="5"/>
    </row>
    <row r="3" spans="1:15" s="97" customFormat="1" ht="18" customHeight="1">
      <c r="A3" s="92"/>
      <c r="B3" s="93" t="s">
        <v>9</v>
      </c>
      <c r="C3" s="94"/>
      <c r="D3" s="94"/>
      <c r="E3" s="94"/>
      <c r="F3" s="94"/>
      <c r="G3" s="95"/>
      <c r="H3" s="95"/>
      <c r="I3" s="95"/>
      <c r="J3" s="95"/>
      <c r="K3" s="95"/>
      <c r="L3" s="95"/>
      <c r="M3" s="95"/>
      <c r="N3" s="95"/>
      <c r="O3" s="96"/>
    </row>
    <row r="4" spans="1:15" ht="18" customHeight="1">
      <c r="A4" s="6"/>
      <c r="B4" s="84" t="s">
        <v>10</v>
      </c>
      <c r="C4" s="85"/>
      <c r="D4" s="85"/>
      <c r="E4" s="85"/>
      <c r="F4" s="85"/>
      <c r="G4" s="86"/>
      <c r="H4" s="86"/>
      <c r="I4" s="86"/>
      <c r="J4" s="86"/>
      <c r="K4" s="86"/>
      <c r="L4" s="86"/>
      <c r="M4" s="86"/>
      <c r="N4" s="86"/>
      <c r="O4" s="87"/>
    </row>
    <row r="5" spans="1:15" ht="18" customHeight="1">
      <c r="A5" s="6"/>
      <c r="B5" s="84" t="s">
        <v>36</v>
      </c>
      <c r="C5" s="85"/>
      <c r="D5" s="85"/>
      <c r="E5" s="85"/>
      <c r="F5" s="85"/>
      <c r="G5" s="86"/>
      <c r="H5" s="86"/>
      <c r="I5" s="86"/>
      <c r="J5" s="86"/>
      <c r="K5" s="86"/>
      <c r="L5" s="86"/>
      <c r="M5" s="86"/>
      <c r="N5" s="86"/>
      <c r="O5" s="87"/>
    </row>
    <row r="6" spans="1:15" ht="18" customHeight="1">
      <c r="A6" s="6"/>
      <c r="B6" s="212" t="s">
        <v>33</v>
      </c>
      <c r="C6" s="85"/>
      <c r="D6" s="85"/>
      <c r="E6" s="85"/>
      <c r="F6" s="85"/>
      <c r="G6" s="86"/>
      <c r="H6" s="86"/>
      <c r="I6" s="86"/>
      <c r="J6" s="86"/>
      <c r="K6" s="86"/>
      <c r="L6" s="86"/>
      <c r="M6" s="86"/>
      <c r="N6" s="86"/>
      <c r="O6" s="87"/>
    </row>
    <row r="7" spans="1:15" ht="18" customHeight="1">
      <c r="A7" s="6"/>
      <c r="B7" s="84"/>
      <c r="C7" s="85"/>
      <c r="D7" s="85"/>
      <c r="E7" s="85"/>
      <c r="F7" s="85"/>
      <c r="G7" s="86"/>
      <c r="H7" s="86"/>
      <c r="I7" s="86"/>
      <c r="J7" s="86"/>
      <c r="K7" s="86"/>
      <c r="L7" s="86"/>
      <c r="M7" s="86"/>
      <c r="N7" s="86"/>
      <c r="O7" s="87"/>
    </row>
    <row r="8" spans="1:15" s="97" customFormat="1" ht="18" customHeight="1">
      <c r="A8" s="92"/>
      <c r="B8" s="98" t="s">
        <v>11</v>
      </c>
      <c r="C8" s="99"/>
      <c r="D8" s="99"/>
      <c r="E8" s="99"/>
      <c r="F8" s="99"/>
      <c r="G8" s="100"/>
      <c r="H8" s="100"/>
      <c r="I8" s="100"/>
      <c r="J8" s="100"/>
      <c r="K8" s="100"/>
      <c r="L8" s="100"/>
      <c r="M8" s="100"/>
      <c r="N8" s="100"/>
      <c r="O8" s="101"/>
    </row>
    <row r="9" spans="1:15" ht="18" customHeight="1">
      <c r="A9" s="6"/>
      <c r="B9" s="84" t="s">
        <v>12</v>
      </c>
      <c r="C9" s="85"/>
      <c r="D9" s="85"/>
      <c r="E9" s="85"/>
      <c r="F9" s="85"/>
      <c r="G9" s="86"/>
      <c r="H9" s="86"/>
      <c r="I9" s="86"/>
      <c r="J9" s="86"/>
      <c r="K9" s="86"/>
      <c r="L9" s="86"/>
      <c r="M9" s="86"/>
      <c r="N9" s="86"/>
      <c r="O9" s="87"/>
    </row>
    <row r="10" spans="1:15" ht="18" customHeight="1">
      <c r="A10" s="6"/>
      <c r="B10" s="212" t="s">
        <v>56</v>
      </c>
      <c r="C10" s="85"/>
      <c r="D10" s="85"/>
      <c r="E10" s="85"/>
      <c r="F10" s="85"/>
      <c r="G10" s="86"/>
      <c r="H10" s="86"/>
      <c r="I10" s="86"/>
      <c r="J10" s="86"/>
      <c r="K10" s="86"/>
      <c r="L10" s="86"/>
      <c r="M10" s="86"/>
      <c r="N10" s="86"/>
      <c r="O10" s="87"/>
    </row>
    <row r="11" spans="1:15" ht="18" customHeight="1">
      <c r="A11" s="6"/>
      <c r="B11" s="84" t="s">
        <v>57</v>
      </c>
      <c r="C11" s="85"/>
      <c r="D11" s="85"/>
      <c r="E11" s="85"/>
      <c r="F11" s="85"/>
      <c r="G11" s="86"/>
      <c r="H11" s="86"/>
      <c r="I11" s="86"/>
      <c r="J11" s="86"/>
      <c r="K11" s="86"/>
      <c r="L11" s="86"/>
      <c r="M11" s="86"/>
      <c r="N11" s="86"/>
      <c r="O11" s="87"/>
    </row>
    <row r="12" spans="1:15" ht="18" customHeight="1">
      <c r="A12" s="6"/>
      <c r="B12" s="212" t="s">
        <v>34</v>
      </c>
      <c r="C12" s="85"/>
      <c r="D12" s="85"/>
      <c r="E12" s="85"/>
      <c r="F12" s="85"/>
      <c r="G12" s="86"/>
      <c r="H12" s="86"/>
      <c r="I12" s="86"/>
      <c r="J12" s="86"/>
      <c r="K12" s="86"/>
      <c r="L12" s="86"/>
      <c r="M12" s="86"/>
      <c r="N12" s="86"/>
      <c r="O12" s="87"/>
    </row>
    <row r="13" spans="1:15" ht="18" customHeight="1">
      <c r="A13" s="6"/>
      <c r="B13" s="84" t="s">
        <v>13</v>
      </c>
      <c r="C13" s="85"/>
      <c r="D13" s="85"/>
      <c r="E13" s="85"/>
      <c r="F13" s="85"/>
      <c r="G13" s="86"/>
      <c r="H13" s="86"/>
      <c r="I13" s="86"/>
      <c r="J13" s="86"/>
      <c r="K13" s="86"/>
      <c r="L13" s="86"/>
      <c r="M13" s="86"/>
      <c r="N13" s="86"/>
      <c r="O13" s="87"/>
    </row>
    <row r="14" spans="1:15" ht="18" customHeight="1">
      <c r="A14" s="6"/>
      <c r="B14" s="84"/>
      <c r="C14" s="85"/>
      <c r="D14" s="85"/>
      <c r="E14" s="85"/>
      <c r="F14" s="85"/>
      <c r="G14" s="86"/>
      <c r="H14" s="86"/>
      <c r="I14" s="86"/>
      <c r="J14" s="86"/>
      <c r="K14" s="86"/>
      <c r="L14" s="86"/>
      <c r="M14" s="86"/>
      <c r="N14" s="86"/>
      <c r="O14" s="87"/>
    </row>
    <row r="15" spans="1:15" s="97" customFormat="1" ht="18" customHeight="1">
      <c r="A15" s="92"/>
      <c r="B15" s="98" t="s">
        <v>14</v>
      </c>
      <c r="C15" s="99"/>
      <c r="D15" s="99"/>
      <c r="E15" s="99"/>
      <c r="F15" s="99"/>
      <c r="G15" s="100"/>
      <c r="H15" s="100"/>
      <c r="I15" s="100"/>
      <c r="J15" s="100"/>
      <c r="K15" s="100"/>
      <c r="L15" s="100"/>
      <c r="M15" s="100"/>
      <c r="N15" s="100"/>
      <c r="O15" s="101"/>
    </row>
    <row r="16" spans="1:15" ht="18" customHeight="1">
      <c r="A16" s="6"/>
      <c r="B16" s="84" t="s">
        <v>15</v>
      </c>
      <c r="C16" s="85"/>
      <c r="D16" s="85"/>
      <c r="E16" s="85"/>
      <c r="F16" s="85"/>
      <c r="G16" s="86"/>
      <c r="H16" s="86"/>
      <c r="I16" s="86"/>
      <c r="J16" s="86"/>
      <c r="K16" s="86"/>
      <c r="L16" s="86"/>
      <c r="M16" s="86"/>
      <c r="N16" s="86"/>
      <c r="O16" s="87"/>
    </row>
    <row r="17" spans="1:15" ht="18" customHeight="1">
      <c r="A17" s="6"/>
      <c r="B17" s="84" t="s">
        <v>21</v>
      </c>
      <c r="C17" s="85"/>
      <c r="D17" s="85"/>
      <c r="E17" s="85"/>
      <c r="F17" s="85"/>
      <c r="G17" s="86"/>
      <c r="H17" s="86"/>
      <c r="I17" s="86"/>
      <c r="J17" s="86"/>
      <c r="K17" s="86"/>
      <c r="L17" s="86"/>
      <c r="M17" s="86"/>
      <c r="N17" s="86"/>
      <c r="O17" s="87"/>
    </row>
    <row r="18" spans="1:15" ht="18" customHeight="1">
      <c r="A18" s="6"/>
      <c r="B18" s="84" t="s">
        <v>16</v>
      </c>
      <c r="C18" s="85"/>
      <c r="D18" s="85"/>
      <c r="E18" s="85"/>
      <c r="F18" s="85"/>
      <c r="G18" s="86"/>
      <c r="H18" s="86"/>
      <c r="I18" s="86"/>
      <c r="J18" s="86"/>
      <c r="K18" s="86"/>
      <c r="L18" s="86"/>
      <c r="M18" s="86"/>
      <c r="N18" s="86"/>
      <c r="O18" s="87"/>
    </row>
    <row r="19" spans="1:15" ht="18" customHeight="1">
      <c r="A19" s="6"/>
      <c r="B19" s="84"/>
      <c r="C19" s="85"/>
      <c r="D19" s="85"/>
      <c r="E19" s="85"/>
      <c r="F19" s="85"/>
      <c r="G19" s="86"/>
      <c r="H19" s="86"/>
      <c r="I19" s="86"/>
      <c r="J19" s="86"/>
      <c r="K19" s="86"/>
      <c r="L19" s="86"/>
      <c r="M19" s="86"/>
      <c r="N19" s="86"/>
      <c r="O19" s="87"/>
    </row>
    <row r="20" spans="1:15" s="97" customFormat="1" ht="18" customHeight="1">
      <c r="A20" s="92"/>
      <c r="B20" s="98" t="s">
        <v>17</v>
      </c>
      <c r="C20" s="99"/>
      <c r="D20" s="99"/>
      <c r="E20" s="99"/>
      <c r="F20" s="99"/>
      <c r="G20" s="100"/>
      <c r="H20" s="100"/>
      <c r="I20" s="100"/>
      <c r="J20" s="100"/>
      <c r="K20" s="100"/>
      <c r="L20" s="100"/>
      <c r="M20" s="100"/>
      <c r="N20" s="100"/>
      <c r="O20" s="101"/>
    </row>
    <row r="21" spans="1:15" ht="18" customHeight="1">
      <c r="A21" s="6"/>
      <c r="B21" s="84" t="s">
        <v>18</v>
      </c>
      <c r="C21" s="85"/>
      <c r="D21" s="85"/>
      <c r="E21" s="85"/>
      <c r="F21" s="85"/>
      <c r="G21" s="86"/>
      <c r="H21" s="86"/>
      <c r="I21" s="86"/>
      <c r="J21" s="86"/>
      <c r="K21" s="86"/>
      <c r="L21" s="86"/>
      <c r="M21" s="86"/>
      <c r="N21" s="86"/>
      <c r="O21" s="87"/>
    </row>
    <row r="22" spans="1:15" ht="18" customHeight="1">
      <c r="A22" s="6"/>
      <c r="B22" s="84" t="s">
        <v>19</v>
      </c>
      <c r="C22" s="85"/>
      <c r="D22" s="85"/>
      <c r="E22" s="85"/>
      <c r="F22" s="85"/>
      <c r="G22" s="86"/>
      <c r="H22" s="86"/>
      <c r="I22" s="86"/>
      <c r="J22" s="86"/>
      <c r="K22" s="86"/>
      <c r="L22" s="86"/>
      <c r="M22" s="86"/>
      <c r="N22" s="86"/>
      <c r="O22" s="87"/>
    </row>
    <row r="23" spans="1:15" ht="18" customHeight="1">
      <c r="A23" s="6"/>
      <c r="B23" s="212" t="s">
        <v>35</v>
      </c>
      <c r="C23" s="85"/>
      <c r="D23" s="85"/>
      <c r="E23" s="85"/>
      <c r="F23" s="85"/>
      <c r="G23" s="86"/>
      <c r="H23" s="86"/>
      <c r="I23" s="86"/>
      <c r="J23" s="86"/>
      <c r="K23" s="86"/>
      <c r="L23" s="86"/>
      <c r="M23" s="86"/>
      <c r="N23" s="86"/>
      <c r="O23" s="87"/>
    </row>
    <row r="24" spans="1:15" ht="18" customHeight="1">
      <c r="A24" s="6"/>
      <c r="B24" s="84" t="s">
        <v>255</v>
      </c>
      <c r="C24" s="85"/>
      <c r="D24" s="85"/>
      <c r="E24" s="85"/>
      <c r="F24" s="85"/>
      <c r="G24" s="86"/>
      <c r="H24" s="86"/>
      <c r="I24" s="86"/>
      <c r="J24" s="86"/>
      <c r="K24" s="86"/>
      <c r="L24" s="86"/>
      <c r="M24" s="86"/>
      <c r="N24" s="86"/>
      <c r="O24" s="87"/>
    </row>
    <row r="25" spans="1:15" ht="18" customHeight="1">
      <c r="A25" s="6"/>
      <c r="B25" s="84" t="s">
        <v>22</v>
      </c>
      <c r="C25" s="85"/>
      <c r="D25" s="85"/>
      <c r="E25" s="85"/>
      <c r="F25" s="85"/>
      <c r="G25" s="86"/>
      <c r="H25" s="86"/>
      <c r="I25" s="86"/>
      <c r="J25" s="86"/>
      <c r="K25" s="86"/>
      <c r="L25" s="86"/>
      <c r="M25" s="86"/>
      <c r="N25" s="86"/>
      <c r="O25" s="87"/>
    </row>
    <row r="26" spans="1:15" ht="18" customHeight="1" thickBot="1">
      <c r="A26" s="6"/>
      <c r="B26" s="88" t="s">
        <v>20</v>
      </c>
      <c r="C26" s="89"/>
      <c r="D26" s="89"/>
      <c r="E26" s="89"/>
      <c r="F26" s="89"/>
      <c r="G26" s="90"/>
      <c r="H26" s="90"/>
      <c r="I26" s="90"/>
      <c r="J26" s="90"/>
      <c r="K26" s="90"/>
      <c r="L26" s="90"/>
      <c r="M26" s="90"/>
      <c r="N26" s="90"/>
      <c r="O26" s="91"/>
    </row>
  </sheetData>
  <mergeCells count="1">
    <mergeCell ref="B1:O1"/>
  </mergeCells>
  <phoneticPr fontId="35" type="noConversion"/>
  <pageMargins left="0.31496062992125984" right="0.31496062992125984" top="0.31496062992125984" bottom="0.31496062992125984" header="0" footer="0"/>
  <pageSetup paperSize="9" orientation="landscape"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I43"/>
  <sheetViews>
    <sheetView zoomScaleNormal="100" workbookViewId="0"/>
  </sheetViews>
  <sheetFormatPr defaultRowHeight="16.5"/>
  <cols>
    <col min="1" max="1" width="1" customWidth="1"/>
    <col min="2" max="2" width="13.125" customWidth="1"/>
    <col min="3" max="3" width="9.75" customWidth="1"/>
    <col min="4" max="4" width="7.625" customWidth="1"/>
    <col min="5" max="11" width="8.625" customWidth="1"/>
    <col min="12" max="29" width="7.625" customWidth="1"/>
  </cols>
  <sheetData>
    <row r="1" spans="1:35" s="14" customFormat="1" ht="30" customHeight="1" thickBot="1">
      <c r="B1" s="1201" t="s">
        <v>1706</v>
      </c>
      <c r="C1" s="1201"/>
      <c r="D1" s="1201"/>
      <c r="E1" s="1201"/>
      <c r="F1" s="1201"/>
      <c r="G1" s="1201"/>
      <c r="H1" s="1201"/>
      <c r="I1" s="1201"/>
      <c r="J1" s="1201"/>
      <c r="K1" s="1201"/>
      <c r="L1" s="1201"/>
      <c r="M1" s="1201"/>
      <c r="N1" s="1201"/>
      <c r="O1" s="1201"/>
      <c r="P1" s="1201"/>
      <c r="Q1" s="1201"/>
      <c r="R1" s="1201"/>
      <c r="S1" s="1201"/>
      <c r="T1" s="1201"/>
      <c r="U1" s="1201"/>
      <c r="V1" s="1201"/>
      <c r="W1" s="1201"/>
      <c r="X1" s="1201"/>
      <c r="Y1" s="1201"/>
      <c r="Z1" s="1201"/>
      <c r="AA1" s="1201"/>
      <c r="AB1" s="1201"/>
      <c r="AC1" s="1201"/>
    </row>
    <row r="2" spans="1:35" s="2" customFormat="1" ht="6" customHeight="1" thickTop="1">
      <c r="A2" s="5"/>
      <c r="B2" s="35"/>
      <c r="C2" s="35"/>
      <c r="D2" s="35"/>
      <c r="E2" s="35"/>
      <c r="F2" s="35"/>
      <c r="G2" s="35"/>
      <c r="H2" s="35"/>
      <c r="I2" s="5"/>
      <c r="J2" s="5"/>
      <c r="K2" s="5"/>
      <c r="L2" s="5"/>
      <c r="M2" s="5"/>
      <c r="N2" s="5"/>
      <c r="O2" s="5"/>
      <c r="P2" s="5"/>
      <c r="Q2" s="5"/>
      <c r="R2" s="5"/>
      <c r="S2" s="5"/>
      <c r="T2" s="5"/>
      <c r="U2" s="5"/>
      <c r="V2" s="5"/>
      <c r="W2" s="5"/>
      <c r="X2" s="5"/>
      <c r="Y2" s="5"/>
      <c r="Z2" s="5"/>
      <c r="AA2" s="5"/>
      <c r="AB2" s="5"/>
      <c r="AC2" s="5"/>
      <c r="AD2" s="5"/>
      <c r="AE2" s="5"/>
      <c r="AF2" s="5"/>
      <c r="AG2" s="5"/>
      <c r="AH2" s="5"/>
      <c r="AI2" s="5"/>
    </row>
    <row r="3" spans="1:35" s="262" customFormat="1" ht="18" customHeight="1">
      <c r="B3" s="350" t="s">
        <v>1574</v>
      </c>
      <c r="C3" s="261"/>
      <c r="D3" s="261"/>
      <c r="E3" s="261"/>
      <c r="F3" s="261"/>
      <c r="G3" s="261"/>
    </row>
    <row r="4" spans="1:35" s="2" customFormat="1" ht="6" customHeight="1" thickBot="1">
      <c r="A4" s="5"/>
      <c r="B4" s="35"/>
      <c r="C4" s="35"/>
      <c r="D4" s="35"/>
      <c r="E4" s="35"/>
      <c r="F4" s="35"/>
      <c r="G4" s="35"/>
      <c r="H4" s="35"/>
      <c r="I4" s="5"/>
      <c r="J4" s="5"/>
      <c r="K4" s="5"/>
      <c r="L4" s="5"/>
      <c r="M4" s="5"/>
      <c r="N4" s="5"/>
      <c r="O4" s="5"/>
      <c r="P4" s="5"/>
      <c r="Q4" s="5"/>
      <c r="R4" s="5"/>
      <c r="S4" s="5"/>
      <c r="T4" s="5"/>
      <c r="U4" s="5"/>
      <c r="V4" s="5"/>
      <c r="W4" s="5"/>
      <c r="X4" s="5"/>
      <c r="Y4" s="5"/>
      <c r="Z4" s="5"/>
      <c r="AA4" s="5"/>
      <c r="AB4" s="5"/>
      <c r="AC4" s="5"/>
      <c r="AD4" s="5"/>
      <c r="AE4" s="5"/>
      <c r="AF4" s="5"/>
      <c r="AG4" s="5"/>
      <c r="AH4" s="5"/>
      <c r="AI4" s="5"/>
    </row>
    <row r="5" spans="1:35" s="217" customFormat="1" ht="18" customHeight="1">
      <c r="B5" s="1948" t="s">
        <v>1575</v>
      </c>
      <c r="C5" s="2020"/>
      <c r="D5" s="1949"/>
      <c r="E5" s="1950" t="s">
        <v>1576</v>
      </c>
      <c r="F5" s="2021" t="s">
        <v>29</v>
      </c>
      <c r="G5" s="1547" t="s">
        <v>30</v>
      </c>
      <c r="H5" s="1547"/>
      <c r="I5" s="1546" t="s">
        <v>1577</v>
      </c>
      <c r="J5" s="1451"/>
      <c r="K5" s="992" t="s">
        <v>1578</v>
      </c>
      <c r="L5" s="1448" t="s">
        <v>1579</v>
      </c>
      <c r="M5" s="1312"/>
      <c r="N5" s="1449"/>
      <c r="O5" s="1450" t="s">
        <v>1580</v>
      </c>
      <c r="P5" s="1451"/>
      <c r="Q5" s="849">
        <v>0.93</v>
      </c>
      <c r="R5" s="1450" t="s">
        <v>1581</v>
      </c>
      <c r="S5" s="1451"/>
      <c r="T5" s="233">
        <v>0.86</v>
      </c>
      <c r="U5" s="1450" t="s">
        <v>245</v>
      </c>
      <c r="V5" s="1451"/>
      <c r="W5" s="233">
        <v>0.83</v>
      </c>
      <c r="X5" s="1450" t="s">
        <v>1582</v>
      </c>
      <c r="Y5" s="1451"/>
      <c r="Z5" s="849">
        <v>0.75</v>
      </c>
      <c r="AA5" s="1324" t="s">
        <v>1583</v>
      </c>
      <c r="AB5" s="1218"/>
      <c r="AC5" s="233">
        <v>0.7</v>
      </c>
    </row>
    <row r="6" spans="1:35" s="217" customFormat="1" ht="24.95" customHeight="1" thickBot="1">
      <c r="B6" s="2023" t="s">
        <v>1584</v>
      </c>
      <c r="C6" s="2024"/>
      <c r="D6" s="19" t="s">
        <v>1538</v>
      </c>
      <c r="E6" s="1951"/>
      <c r="F6" s="2022"/>
      <c r="G6" s="185" t="s">
        <v>1585</v>
      </c>
      <c r="H6" s="1012" t="s">
        <v>1586</v>
      </c>
      <c r="I6" s="1012" t="s">
        <v>1587</v>
      </c>
      <c r="J6" s="1012" t="s">
        <v>1588</v>
      </c>
      <c r="K6" s="529">
        <f>285%*98%</f>
        <v>2.7930000000000001</v>
      </c>
      <c r="L6" s="866" t="s">
        <v>1589</v>
      </c>
      <c r="M6" s="867" t="s">
        <v>1590</v>
      </c>
      <c r="N6" s="868" t="s">
        <v>1591</v>
      </c>
      <c r="O6" s="866" t="s">
        <v>1589</v>
      </c>
      <c r="P6" s="867" t="s">
        <v>1590</v>
      </c>
      <c r="Q6" s="868" t="s">
        <v>1591</v>
      </c>
      <c r="R6" s="866" t="s">
        <v>1589</v>
      </c>
      <c r="S6" s="867" t="s">
        <v>1590</v>
      </c>
      <c r="T6" s="868" t="s">
        <v>1591</v>
      </c>
      <c r="U6" s="866" t="s">
        <v>1589</v>
      </c>
      <c r="V6" s="867" t="s">
        <v>1590</v>
      </c>
      <c r="W6" s="868" t="s">
        <v>1591</v>
      </c>
      <c r="X6" s="866" t="s">
        <v>1589</v>
      </c>
      <c r="Y6" s="867" t="s">
        <v>1590</v>
      </c>
      <c r="Z6" s="868" t="s">
        <v>1591</v>
      </c>
      <c r="AA6" s="866" t="s">
        <v>1589</v>
      </c>
      <c r="AB6" s="867" t="s">
        <v>1592</v>
      </c>
      <c r="AC6" s="868" t="s">
        <v>1591</v>
      </c>
    </row>
    <row r="7" spans="1:35" s="217" customFormat="1" ht="18" customHeight="1">
      <c r="B7" s="2029" t="s">
        <v>1593</v>
      </c>
      <c r="C7" s="2030"/>
      <c r="D7" s="1642"/>
      <c r="E7" s="1239">
        <v>1000</v>
      </c>
      <c r="F7" s="1246">
        <f>E7*D8</f>
        <v>800</v>
      </c>
      <c r="G7" s="2031">
        <f>F7*120%</f>
        <v>960</v>
      </c>
      <c r="H7" s="1246">
        <f>F7*24%*7</f>
        <v>1344</v>
      </c>
      <c r="I7" s="1246">
        <f>F7*12.5%*12</f>
        <v>1200</v>
      </c>
      <c r="J7" s="1246">
        <f>F7*8%*12</f>
        <v>768</v>
      </c>
      <c r="K7" s="1246">
        <f>F7*$K$6</f>
        <v>2234.4</v>
      </c>
      <c r="L7" s="446">
        <f>G7+K7</f>
        <v>3194.4</v>
      </c>
      <c r="M7" s="910">
        <f>G7+H7+K7</f>
        <v>4538.3999999999996</v>
      </c>
      <c r="N7" s="911">
        <f>G7+H7+I7+J7+K7</f>
        <v>6506.4</v>
      </c>
      <c r="O7" s="447">
        <f>L7*$Q$5</f>
        <v>2970.7920000000004</v>
      </c>
      <c r="P7" s="910">
        <f>M7*$Q$5</f>
        <v>4220.7119999999995</v>
      </c>
      <c r="Q7" s="530">
        <f>N7*$Q$5</f>
        <v>6050.9520000000002</v>
      </c>
      <c r="R7" s="595">
        <f>L7*$T$5</f>
        <v>2747.1840000000002</v>
      </c>
      <c r="S7" s="910">
        <f t="shared" ref="S7:T7" si="0">M7*$T$5</f>
        <v>3903.0239999999994</v>
      </c>
      <c r="T7" s="911">
        <f t="shared" si="0"/>
        <v>5595.5039999999999</v>
      </c>
      <c r="U7" s="446">
        <f>L7*$W$5</f>
        <v>2651.3519999999999</v>
      </c>
      <c r="V7" s="910">
        <f>M7*$W$5</f>
        <v>3766.8719999999994</v>
      </c>
      <c r="W7" s="911">
        <f>N7*$W$5</f>
        <v>5400.311999999999</v>
      </c>
      <c r="X7" s="447">
        <f>L7*$Z$5</f>
        <v>2395.8000000000002</v>
      </c>
      <c r="Y7" s="910">
        <f>M7*$Z$5</f>
        <v>3403.7999999999997</v>
      </c>
      <c r="Z7" s="530">
        <f>N7*$Z$5</f>
        <v>4879.7999999999993</v>
      </c>
      <c r="AA7" s="446">
        <f>L7*$AC$5</f>
        <v>2236.08</v>
      </c>
      <c r="AB7" s="530">
        <f>M7*$AC$5</f>
        <v>3176.8799999999997</v>
      </c>
      <c r="AC7" s="911">
        <f>N7*$AC$5</f>
        <v>4554.4799999999996</v>
      </c>
    </row>
    <row r="8" spans="1:35" s="217" customFormat="1" ht="18" customHeight="1">
      <c r="B8" s="2025" t="s">
        <v>1594</v>
      </c>
      <c r="C8" s="2026"/>
      <c r="D8" s="105">
        <v>0.8</v>
      </c>
      <c r="E8" s="1225"/>
      <c r="F8" s="1229"/>
      <c r="G8" s="1540"/>
      <c r="H8" s="1229"/>
      <c r="I8" s="1229"/>
      <c r="J8" s="1229"/>
      <c r="K8" s="1229"/>
      <c r="L8" s="180">
        <f>L7/$E7</f>
        <v>3.1943999999999999</v>
      </c>
      <c r="M8" s="183">
        <f t="shared" ref="M8:AC8" si="1">M7/$E7</f>
        <v>4.5383999999999993</v>
      </c>
      <c r="N8" s="182">
        <f t="shared" si="1"/>
        <v>6.5063999999999993</v>
      </c>
      <c r="O8" s="181">
        <f t="shared" si="1"/>
        <v>2.9707920000000003</v>
      </c>
      <c r="P8" s="183">
        <f t="shared" si="1"/>
        <v>4.2207119999999998</v>
      </c>
      <c r="Q8" s="184">
        <f t="shared" si="1"/>
        <v>6.0509520000000006</v>
      </c>
      <c r="R8" s="180">
        <f t="shared" si="1"/>
        <v>2.7471840000000003</v>
      </c>
      <c r="S8" s="183">
        <f t="shared" si="1"/>
        <v>3.9030239999999994</v>
      </c>
      <c r="T8" s="182">
        <f t="shared" si="1"/>
        <v>5.595504</v>
      </c>
      <c r="U8" s="180">
        <f t="shared" si="1"/>
        <v>2.6513519999999997</v>
      </c>
      <c r="V8" s="183">
        <f t="shared" si="1"/>
        <v>3.7668719999999993</v>
      </c>
      <c r="W8" s="182">
        <f t="shared" si="1"/>
        <v>5.4003119999999987</v>
      </c>
      <c r="X8" s="181">
        <f t="shared" si="1"/>
        <v>2.3958000000000004</v>
      </c>
      <c r="Y8" s="183">
        <f t="shared" si="1"/>
        <v>3.4037999999999999</v>
      </c>
      <c r="Z8" s="184">
        <f t="shared" si="1"/>
        <v>4.8797999999999995</v>
      </c>
      <c r="AA8" s="180">
        <f t="shared" si="1"/>
        <v>2.2360799999999998</v>
      </c>
      <c r="AB8" s="184">
        <f t="shared" si="1"/>
        <v>3.1768799999999997</v>
      </c>
      <c r="AC8" s="182">
        <f t="shared" si="1"/>
        <v>4.5544799999999999</v>
      </c>
    </row>
    <row r="9" spans="1:35" s="217" customFormat="1" ht="18" customHeight="1">
      <c r="B9" s="2027" t="s">
        <v>1595</v>
      </c>
      <c r="C9" s="2028"/>
      <c r="D9" s="1233"/>
      <c r="E9" s="1225">
        <v>1000</v>
      </c>
      <c r="F9" s="1234">
        <f>E9*D10</f>
        <v>900</v>
      </c>
      <c r="G9" s="1234">
        <f>F9*120%</f>
        <v>1080</v>
      </c>
      <c r="H9" s="1234">
        <f>F9*24%*7</f>
        <v>1512</v>
      </c>
      <c r="I9" s="1246">
        <f>F9*12.5%*12</f>
        <v>1350</v>
      </c>
      <c r="J9" s="1246">
        <f>F9*8%*12</f>
        <v>864</v>
      </c>
      <c r="K9" s="1234">
        <f>F9*$K$6</f>
        <v>2513.7000000000003</v>
      </c>
      <c r="L9" s="446">
        <f>G9+K9</f>
        <v>3593.7000000000003</v>
      </c>
      <c r="M9" s="910">
        <f>G9+H9+K9</f>
        <v>5105.7000000000007</v>
      </c>
      <c r="N9" s="911">
        <f>G9+H9+I9+J9+K9</f>
        <v>7319.7000000000007</v>
      </c>
      <c r="O9" s="447">
        <f>L9*$Q$5</f>
        <v>3342.1410000000005</v>
      </c>
      <c r="P9" s="596">
        <f>M9*$Q$5</f>
        <v>4748.3010000000013</v>
      </c>
      <c r="Q9" s="531">
        <f>N9*$Q$5</f>
        <v>6807.3210000000008</v>
      </c>
      <c r="R9" s="440">
        <f t="shared" ref="R9:T9" si="2">L9*$T$5</f>
        <v>3090.5820000000003</v>
      </c>
      <c r="S9" s="596">
        <f t="shared" si="2"/>
        <v>4390.902000000001</v>
      </c>
      <c r="T9" s="443">
        <f t="shared" si="2"/>
        <v>6294.9420000000009</v>
      </c>
      <c r="U9" s="440">
        <f>L9*$W$5</f>
        <v>2982.7710000000002</v>
      </c>
      <c r="V9" s="596">
        <f>M9*$W$5</f>
        <v>4237.7310000000007</v>
      </c>
      <c r="W9" s="443">
        <f>N9*$W$5</f>
        <v>6075.3510000000006</v>
      </c>
      <c r="X9" s="442">
        <f>L9*$Z$5</f>
        <v>2695.2750000000001</v>
      </c>
      <c r="Y9" s="596">
        <f>M9*$Z$5</f>
        <v>3829.2750000000005</v>
      </c>
      <c r="Z9" s="531">
        <f>N9*$Z$5</f>
        <v>5489.7750000000005</v>
      </c>
      <c r="AA9" s="440">
        <f>L9*$AC$5</f>
        <v>2515.59</v>
      </c>
      <c r="AB9" s="531">
        <f>M9*$AC$5</f>
        <v>3573.9900000000002</v>
      </c>
      <c r="AC9" s="443">
        <f>N9*$AC$5</f>
        <v>5123.79</v>
      </c>
    </row>
    <row r="10" spans="1:35" s="217" customFormat="1" ht="18" customHeight="1">
      <c r="B10" s="2025" t="s">
        <v>1596</v>
      </c>
      <c r="C10" s="2026"/>
      <c r="D10" s="105">
        <v>0.9</v>
      </c>
      <c r="E10" s="1225"/>
      <c r="F10" s="1229"/>
      <c r="G10" s="1229"/>
      <c r="H10" s="1229"/>
      <c r="I10" s="1229"/>
      <c r="J10" s="1229"/>
      <c r="K10" s="1229"/>
      <c r="L10" s="180">
        <f>L9/$E9</f>
        <v>3.5937000000000001</v>
      </c>
      <c r="M10" s="183">
        <f t="shared" ref="M10:AC10" si="3">M9/$E9</f>
        <v>5.1057000000000006</v>
      </c>
      <c r="N10" s="182">
        <f t="shared" si="3"/>
        <v>7.319700000000001</v>
      </c>
      <c r="O10" s="181">
        <f t="shared" si="3"/>
        <v>3.3421410000000007</v>
      </c>
      <c r="P10" s="183">
        <f t="shared" si="3"/>
        <v>4.7483010000000014</v>
      </c>
      <c r="Q10" s="184">
        <f t="shared" si="3"/>
        <v>6.8073210000000008</v>
      </c>
      <c r="R10" s="180">
        <f t="shared" si="3"/>
        <v>3.0905820000000004</v>
      </c>
      <c r="S10" s="183">
        <f t="shared" si="3"/>
        <v>4.3909020000000005</v>
      </c>
      <c r="T10" s="182">
        <f t="shared" si="3"/>
        <v>6.2949420000000007</v>
      </c>
      <c r="U10" s="180">
        <f t="shared" si="3"/>
        <v>2.9827710000000001</v>
      </c>
      <c r="V10" s="183">
        <f t="shared" si="3"/>
        <v>4.237731000000001</v>
      </c>
      <c r="W10" s="182">
        <f t="shared" si="3"/>
        <v>6.0753510000000004</v>
      </c>
      <c r="X10" s="181">
        <f t="shared" si="3"/>
        <v>2.6952750000000001</v>
      </c>
      <c r="Y10" s="183">
        <f t="shared" si="3"/>
        <v>3.8292750000000004</v>
      </c>
      <c r="Z10" s="184">
        <f t="shared" si="3"/>
        <v>5.4897750000000007</v>
      </c>
      <c r="AA10" s="180">
        <f t="shared" si="3"/>
        <v>2.51559</v>
      </c>
      <c r="AB10" s="184">
        <f t="shared" si="3"/>
        <v>3.5739900000000002</v>
      </c>
      <c r="AC10" s="182">
        <f t="shared" si="3"/>
        <v>5.1237899999999996</v>
      </c>
    </row>
    <row r="11" spans="1:35" s="217" customFormat="1" ht="18" customHeight="1">
      <c r="B11" s="2027" t="s">
        <v>1597</v>
      </c>
      <c r="C11" s="2028"/>
      <c r="D11" s="1233"/>
      <c r="E11" s="1225">
        <v>1000</v>
      </c>
      <c r="F11" s="1234">
        <f>E11*D12</f>
        <v>870</v>
      </c>
      <c r="G11" s="1234">
        <f t="shared" ref="G11" si="4">F11*120%</f>
        <v>1044</v>
      </c>
      <c r="H11" s="1234">
        <f>F11*24%*7</f>
        <v>1461.6</v>
      </c>
      <c r="I11" s="1246">
        <f>F11*12.5%*12</f>
        <v>1305</v>
      </c>
      <c r="J11" s="1246">
        <f>F11*8%*12</f>
        <v>835.2</v>
      </c>
      <c r="K11" s="1234">
        <f>F11*$K$6</f>
        <v>2429.9100000000003</v>
      </c>
      <c r="L11" s="446">
        <f>G11+K11</f>
        <v>3473.9100000000003</v>
      </c>
      <c r="M11" s="910">
        <f>G11+H11+K11</f>
        <v>4935.51</v>
      </c>
      <c r="N11" s="911">
        <f>G11+H11+I11+J11+K11</f>
        <v>7075.7100000000009</v>
      </c>
      <c r="O11" s="447">
        <f>L11*$Q$5</f>
        <v>3230.7363000000005</v>
      </c>
      <c r="P11" s="596">
        <f>M11*$Q$5</f>
        <v>4590.0243</v>
      </c>
      <c r="Q11" s="531">
        <f>N11*$Q$5</f>
        <v>6580.4103000000014</v>
      </c>
      <c r="R11" s="440">
        <f t="shared" ref="R11:T11" si="5">L11*$T$5</f>
        <v>2987.5626000000002</v>
      </c>
      <c r="S11" s="596">
        <f t="shared" si="5"/>
        <v>4244.5385999999999</v>
      </c>
      <c r="T11" s="443">
        <f t="shared" si="5"/>
        <v>6085.1106000000009</v>
      </c>
      <c r="U11" s="440">
        <f>L11*$W$5</f>
        <v>2883.3453</v>
      </c>
      <c r="V11" s="596">
        <f>M11*$W$5</f>
        <v>4096.4732999999997</v>
      </c>
      <c r="W11" s="443">
        <f>N11*$W$5</f>
        <v>5872.8393000000005</v>
      </c>
      <c r="X11" s="442">
        <f>L11*$Z$5</f>
        <v>2605.4325000000003</v>
      </c>
      <c r="Y11" s="596">
        <f>M11*$Z$5</f>
        <v>3701.6325000000002</v>
      </c>
      <c r="Z11" s="531">
        <f>N11*$Z$5</f>
        <v>5306.7825000000012</v>
      </c>
      <c r="AA11" s="440">
        <f>L11*$AC$5</f>
        <v>2431.7370000000001</v>
      </c>
      <c r="AB11" s="531">
        <f>M11*$AC$5</f>
        <v>3454.857</v>
      </c>
      <c r="AC11" s="443">
        <f>N11*$AC$5</f>
        <v>4952.9970000000003</v>
      </c>
    </row>
    <row r="12" spans="1:35" s="217" customFormat="1" ht="18" customHeight="1">
      <c r="B12" s="2025" t="s">
        <v>1596</v>
      </c>
      <c r="C12" s="2026"/>
      <c r="D12" s="105">
        <v>0.87</v>
      </c>
      <c r="E12" s="1225"/>
      <c r="F12" s="1229"/>
      <c r="G12" s="1229"/>
      <c r="H12" s="1229"/>
      <c r="I12" s="1229"/>
      <c r="J12" s="1229"/>
      <c r="K12" s="1229"/>
      <c r="L12" s="180">
        <f t="shared" ref="L12:AC12" si="6">L11/$E11</f>
        <v>3.4739100000000005</v>
      </c>
      <c r="M12" s="183">
        <f t="shared" si="6"/>
        <v>4.9355099999999998</v>
      </c>
      <c r="N12" s="182">
        <f t="shared" si="6"/>
        <v>7.0757100000000008</v>
      </c>
      <c r="O12" s="181">
        <f t="shared" si="6"/>
        <v>3.2307363000000007</v>
      </c>
      <c r="P12" s="183">
        <f t="shared" si="6"/>
        <v>4.5900242999999996</v>
      </c>
      <c r="Q12" s="184">
        <f t="shared" si="6"/>
        <v>6.5804103000000014</v>
      </c>
      <c r="R12" s="180">
        <f t="shared" si="6"/>
        <v>2.9875626000000004</v>
      </c>
      <c r="S12" s="183">
        <f t="shared" si="6"/>
        <v>4.2445386000000003</v>
      </c>
      <c r="T12" s="182">
        <f t="shared" si="6"/>
        <v>6.085110600000001</v>
      </c>
      <c r="U12" s="180">
        <f t="shared" si="6"/>
        <v>2.8833452999999998</v>
      </c>
      <c r="V12" s="183">
        <f t="shared" si="6"/>
        <v>4.0964732999999995</v>
      </c>
      <c r="W12" s="182">
        <f t="shared" si="6"/>
        <v>5.8728393000000008</v>
      </c>
      <c r="X12" s="181">
        <f t="shared" si="6"/>
        <v>2.6054325000000005</v>
      </c>
      <c r="Y12" s="183">
        <f t="shared" si="6"/>
        <v>3.7016325000000001</v>
      </c>
      <c r="Z12" s="184">
        <f t="shared" si="6"/>
        <v>5.3067825000000015</v>
      </c>
      <c r="AA12" s="180">
        <f t="shared" si="6"/>
        <v>2.431737</v>
      </c>
      <c r="AB12" s="184">
        <f t="shared" si="6"/>
        <v>3.4548570000000001</v>
      </c>
      <c r="AC12" s="182">
        <f t="shared" si="6"/>
        <v>4.9529969999999999</v>
      </c>
    </row>
    <row r="13" spans="1:35" s="217" customFormat="1" ht="18" customHeight="1">
      <c r="B13" s="2027" t="s">
        <v>1598</v>
      </c>
      <c r="C13" s="2028"/>
      <c r="D13" s="1233"/>
      <c r="E13" s="1225">
        <v>1000</v>
      </c>
      <c r="F13" s="1234">
        <f>E13*D14</f>
        <v>400</v>
      </c>
      <c r="G13" s="1234">
        <f t="shared" ref="G13" si="7">F13*120%</f>
        <v>480</v>
      </c>
      <c r="H13" s="1234">
        <f>F13*24%*7</f>
        <v>672</v>
      </c>
      <c r="I13" s="1246">
        <f>F13*12.5%*12</f>
        <v>600</v>
      </c>
      <c r="J13" s="1246">
        <f>F13*8%*12</f>
        <v>384</v>
      </c>
      <c r="K13" s="1234">
        <f>F13*$K$6</f>
        <v>1117.2</v>
      </c>
      <c r="L13" s="446">
        <f>G13+K13</f>
        <v>1597.2</v>
      </c>
      <c r="M13" s="910">
        <f>G13+H13+K13</f>
        <v>2269.1999999999998</v>
      </c>
      <c r="N13" s="911">
        <f>G13+H13+I13+J13+K13</f>
        <v>3253.2</v>
      </c>
      <c r="O13" s="447">
        <f>L13*$Q$5</f>
        <v>1485.3960000000002</v>
      </c>
      <c r="P13" s="596">
        <f>M13*$Q$5</f>
        <v>2110.3559999999998</v>
      </c>
      <c r="Q13" s="531">
        <f>N13*$Q$5</f>
        <v>3025.4760000000001</v>
      </c>
      <c r="R13" s="440">
        <f t="shared" ref="R13:T13" si="8">L13*$T$5</f>
        <v>1373.5920000000001</v>
      </c>
      <c r="S13" s="596">
        <f t="shared" si="8"/>
        <v>1951.5119999999997</v>
      </c>
      <c r="T13" s="443">
        <f t="shared" si="8"/>
        <v>2797.752</v>
      </c>
      <c r="U13" s="440">
        <f>L13*$W$5</f>
        <v>1325.6759999999999</v>
      </c>
      <c r="V13" s="596">
        <f>M13*$W$5</f>
        <v>1883.4359999999997</v>
      </c>
      <c r="W13" s="443">
        <f>N13*$W$5</f>
        <v>2700.1559999999995</v>
      </c>
      <c r="X13" s="442">
        <f>L13*$Z$5</f>
        <v>1197.9000000000001</v>
      </c>
      <c r="Y13" s="596">
        <f>M13*$Z$5</f>
        <v>1701.8999999999999</v>
      </c>
      <c r="Z13" s="531">
        <f>N13*$Z$5</f>
        <v>2439.8999999999996</v>
      </c>
      <c r="AA13" s="440">
        <f>L13*$AC$5</f>
        <v>1118.04</v>
      </c>
      <c r="AB13" s="531">
        <f>M13*$AC$5</f>
        <v>1588.4399999999998</v>
      </c>
      <c r="AC13" s="443">
        <f>N13*$AC$5</f>
        <v>2277.2399999999998</v>
      </c>
    </row>
    <row r="14" spans="1:35" s="217" customFormat="1" ht="18" customHeight="1">
      <c r="B14" s="2025" t="s">
        <v>1599</v>
      </c>
      <c r="C14" s="2026"/>
      <c r="D14" s="105">
        <v>0.4</v>
      </c>
      <c r="E14" s="1225"/>
      <c r="F14" s="1229"/>
      <c r="G14" s="1229"/>
      <c r="H14" s="1229"/>
      <c r="I14" s="1229"/>
      <c r="J14" s="1229"/>
      <c r="K14" s="1229"/>
      <c r="L14" s="180">
        <f t="shared" ref="L14:AC14" si="9">L13/$E13</f>
        <v>1.5972</v>
      </c>
      <c r="M14" s="183">
        <f t="shared" si="9"/>
        <v>2.2691999999999997</v>
      </c>
      <c r="N14" s="182">
        <f t="shared" si="9"/>
        <v>3.2531999999999996</v>
      </c>
      <c r="O14" s="181">
        <f t="shared" si="9"/>
        <v>1.4853960000000002</v>
      </c>
      <c r="P14" s="183">
        <f t="shared" si="9"/>
        <v>2.1103559999999999</v>
      </c>
      <c r="Q14" s="184">
        <f t="shared" si="9"/>
        <v>3.0254760000000003</v>
      </c>
      <c r="R14" s="180">
        <f t="shared" si="9"/>
        <v>1.3735920000000001</v>
      </c>
      <c r="S14" s="183">
        <f t="shared" si="9"/>
        <v>1.9515119999999997</v>
      </c>
      <c r="T14" s="182">
        <f t="shared" si="9"/>
        <v>2.797752</v>
      </c>
      <c r="U14" s="180">
        <f t="shared" si="9"/>
        <v>1.3256759999999999</v>
      </c>
      <c r="V14" s="183">
        <f t="shared" si="9"/>
        <v>1.8834359999999997</v>
      </c>
      <c r="W14" s="182">
        <f t="shared" si="9"/>
        <v>2.7001559999999993</v>
      </c>
      <c r="X14" s="181">
        <f t="shared" si="9"/>
        <v>1.1979000000000002</v>
      </c>
      <c r="Y14" s="183">
        <f t="shared" si="9"/>
        <v>1.7019</v>
      </c>
      <c r="Z14" s="184">
        <f t="shared" si="9"/>
        <v>2.4398999999999997</v>
      </c>
      <c r="AA14" s="180">
        <f t="shared" si="9"/>
        <v>1.1180399999999999</v>
      </c>
      <c r="AB14" s="184">
        <f t="shared" si="9"/>
        <v>1.5884399999999999</v>
      </c>
      <c r="AC14" s="182">
        <f t="shared" si="9"/>
        <v>2.2772399999999999</v>
      </c>
    </row>
    <row r="15" spans="1:35" s="217" customFormat="1" ht="18" customHeight="1">
      <c r="B15" s="2037" t="s">
        <v>1725</v>
      </c>
      <c r="C15" s="2038"/>
      <c r="D15" s="2039"/>
      <c r="E15" s="1225">
        <v>1000</v>
      </c>
      <c r="F15" s="1234">
        <f>E15*D16</f>
        <v>730</v>
      </c>
      <c r="G15" s="1234">
        <f t="shared" ref="G15" si="10">F15*120%</f>
        <v>876</v>
      </c>
      <c r="H15" s="1234">
        <f>F15*24%*7</f>
        <v>1226.3999999999999</v>
      </c>
      <c r="I15" s="1246">
        <f>F15*12.5%*12</f>
        <v>1095</v>
      </c>
      <c r="J15" s="1246">
        <f>F15*8%*12</f>
        <v>700.8</v>
      </c>
      <c r="K15" s="1234">
        <f>F15*$K$6</f>
        <v>2038.89</v>
      </c>
      <c r="L15" s="446">
        <f>G15+K15</f>
        <v>2914.8900000000003</v>
      </c>
      <c r="M15" s="910">
        <f>G15+H15+K15</f>
        <v>4141.29</v>
      </c>
      <c r="N15" s="911">
        <f>G15+H15+I15+J15+K15</f>
        <v>5937.09</v>
      </c>
      <c r="O15" s="447">
        <f>L15*$Q$5</f>
        <v>2710.8477000000003</v>
      </c>
      <c r="P15" s="596">
        <f>M15*$Q$5</f>
        <v>3851.3997000000004</v>
      </c>
      <c r="Q15" s="531">
        <f>N15*$Q$5</f>
        <v>5521.4937</v>
      </c>
      <c r="R15" s="440">
        <f t="shared" ref="R15:T15" si="11">L15*$T$5</f>
        <v>2506.8054000000002</v>
      </c>
      <c r="S15" s="596">
        <f t="shared" si="11"/>
        <v>3561.5093999999999</v>
      </c>
      <c r="T15" s="443">
        <f t="shared" si="11"/>
        <v>5105.8973999999998</v>
      </c>
      <c r="U15" s="440">
        <f>L15*$W$5</f>
        <v>2419.3587000000002</v>
      </c>
      <c r="V15" s="596">
        <f>M15*$W$5</f>
        <v>3437.2706999999996</v>
      </c>
      <c r="W15" s="443">
        <f>N15*$W$5</f>
        <v>4927.7847000000002</v>
      </c>
      <c r="X15" s="442">
        <f>L15*$Z$5</f>
        <v>2186.1675000000005</v>
      </c>
      <c r="Y15" s="596">
        <f>M15*$Z$5</f>
        <v>3105.9674999999997</v>
      </c>
      <c r="Z15" s="531">
        <f>N15*$Z$5</f>
        <v>4452.8175000000001</v>
      </c>
      <c r="AA15" s="440">
        <f>L15*$AC$5</f>
        <v>2040.423</v>
      </c>
      <c r="AB15" s="531">
        <f>M15*$AC$5</f>
        <v>2898.9029999999998</v>
      </c>
      <c r="AC15" s="443">
        <f>N15*$AC$5</f>
        <v>4155.9629999999997</v>
      </c>
    </row>
    <row r="16" spans="1:35" s="217" customFormat="1" ht="18" customHeight="1">
      <c r="B16" s="2032" t="s">
        <v>443</v>
      </c>
      <c r="C16" s="2033"/>
      <c r="D16" s="317">
        <v>0.73</v>
      </c>
      <c r="E16" s="1225"/>
      <c r="F16" s="1229"/>
      <c r="G16" s="1229"/>
      <c r="H16" s="1229"/>
      <c r="I16" s="1229"/>
      <c r="J16" s="1229"/>
      <c r="K16" s="1229"/>
      <c r="L16" s="180">
        <f t="shared" ref="L16:AC16" si="12">L15/$E15</f>
        <v>2.9148900000000002</v>
      </c>
      <c r="M16" s="183">
        <f t="shared" si="12"/>
        <v>4.1412899999999997</v>
      </c>
      <c r="N16" s="182">
        <f t="shared" si="12"/>
        <v>5.9370900000000004</v>
      </c>
      <c r="O16" s="181">
        <f t="shared" si="12"/>
        <v>2.7108477000000004</v>
      </c>
      <c r="P16" s="183">
        <f t="shared" si="12"/>
        <v>3.8513997000000004</v>
      </c>
      <c r="Q16" s="184">
        <f t="shared" si="12"/>
        <v>5.5214936999999997</v>
      </c>
      <c r="R16" s="180">
        <f t="shared" si="12"/>
        <v>2.5068054000000002</v>
      </c>
      <c r="S16" s="183">
        <f t="shared" si="12"/>
        <v>3.5615093999999998</v>
      </c>
      <c r="T16" s="182">
        <f t="shared" si="12"/>
        <v>5.1058973999999999</v>
      </c>
      <c r="U16" s="180">
        <f t="shared" si="12"/>
        <v>2.4193587000000001</v>
      </c>
      <c r="V16" s="183">
        <f t="shared" si="12"/>
        <v>3.4372706999999996</v>
      </c>
      <c r="W16" s="182">
        <f t="shared" si="12"/>
        <v>4.9277847000000001</v>
      </c>
      <c r="X16" s="181">
        <f t="shared" si="12"/>
        <v>2.1861675000000003</v>
      </c>
      <c r="Y16" s="183">
        <f t="shared" si="12"/>
        <v>3.1059674999999998</v>
      </c>
      <c r="Z16" s="184">
        <f t="shared" si="12"/>
        <v>4.4528175000000001</v>
      </c>
      <c r="AA16" s="180">
        <f t="shared" si="12"/>
        <v>2.0404230000000001</v>
      </c>
      <c r="AB16" s="184">
        <f t="shared" si="12"/>
        <v>2.8989029999999998</v>
      </c>
      <c r="AC16" s="182">
        <f t="shared" si="12"/>
        <v>4.1559629999999999</v>
      </c>
    </row>
    <row r="17" spans="2:29" s="217" customFormat="1" ht="18" customHeight="1">
      <c r="B17" s="2034" t="s">
        <v>1600</v>
      </c>
      <c r="C17" s="2035"/>
      <c r="D17" s="2036"/>
      <c r="E17" s="1225">
        <v>1000</v>
      </c>
      <c r="F17" s="1234">
        <f>E17*D18</f>
        <v>800</v>
      </c>
      <c r="G17" s="1234">
        <f t="shared" ref="G17" si="13">F17*120%</f>
        <v>960</v>
      </c>
      <c r="H17" s="1234">
        <f>F17*24%*7</f>
        <v>1344</v>
      </c>
      <c r="I17" s="1246">
        <f>F17*12.5%*12</f>
        <v>1200</v>
      </c>
      <c r="J17" s="1246">
        <f>F17*8%*12</f>
        <v>768</v>
      </c>
      <c r="K17" s="1234">
        <f>F17*$K$6</f>
        <v>2234.4</v>
      </c>
      <c r="L17" s="446">
        <f>G17+K17</f>
        <v>3194.4</v>
      </c>
      <c r="M17" s="910">
        <f>G17+H17+K17</f>
        <v>4538.3999999999996</v>
      </c>
      <c r="N17" s="911">
        <f>G17+H17+I17+J17+K17</f>
        <v>6506.4</v>
      </c>
      <c r="O17" s="447">
        <f>L17*$Q$5</f>
        <v>2970.7920000000004</v>
      </c>
      <c r="P17" s="596">
        <f>M17*$Q$5</f>
        <v>4220.7119999999995</v>
      </c>
      <c r="Q17" s="531">
        <f>N17*$Q$5</f>
        <v>6050.9520000000002</v>
      </c>
      <c r="R17" s="440">
        <f t="shared" ref="R17:T17" si="14">L17*$T$5</f>
        <v>2747.1840000000002</v>
      </c>
      <c r="S17" s="596">
        <f t="shared" si="14"/>
        <v>3903.0239999999994</v>
      </c>
      <c r="T17" s="443">
        <f t="shared" si="14"/>
        <v>5595.5039999999999</v>
      </c>
      <c r="U17" s="440">
        <f>L17*$W$5</f>
        <v>2651.3519999999999</v>
      </c>
      <c r="V17" s="596">
        <f>M17*$W$5</f>
        <v>3766.8719999999994</v>
      </c>
      <c r="W17" s="443">
        <f>N17*$W$5</f>
        <v>5400.311999999999</v>
      </c>
      <c r="X17" s="442">
        <f>L17*$Z$5</f>
        <v>2395.8000000000002</v>
      </c>
      <c r="Y17" s="596">
        <f>M17*$Z$5</f>
        <v>3403.7999999999997</v>
      </c>
      <c r="Z17" s="531">
        <f>N17*$Z$5</f>
        <v>4879.7999999999993</v>
      </c>
      <c r="AA17" s="440">
        <f>L17*$AC$5</f>
        <v>2236.08</v>
      </c>
      <c r="AB17" s="531">
        <f>M17*$AC$5</f>
        <v>3176.8799999999997</v>
      </c>
      <c r="AC17" s="443">
        <f>N17*$AC$5</f>
        <v>4554.4799999999996</v>
      </c>
    </row>
    <row r="18" spans="2:29" s="217" customFormat="1" ht="18" customHeight="1">
      <c r="B18" s="2032" t="s">
        <v>1601</v>
      </c>
      <c r="C18" s="2033"/>
      <c r="D18" s="105">
        <v>0.8</v>
      </c>
      <c r="E18" s="1225"/>
      <c r="F18" s="1229"/>
      <c r="G18" s="1229"/>
      <c r="H18" s="1229"/>
      <c r="I18" s="1229"/>
      <c r="J18" s="1229"/>
      <c r="K18" s="1229"/>
      <c r="L18" s="180">
        <f t="shared" ref="L18:AC18" si="15">L17/$E17</f>
        <v>3.1943999999999999</v>
      </c>
      <c r="M18" s="183">
        <f t="shared" si="15"/>
        <v>4.5383999999999993</v>
      </c>
      <c r="N18" s="182">
        <f t="shared" si="15"/>
        <v>6.5063999999999993</v>
      </c>
      <c r="O18" s="181">
        <f t="shared" si="15"/>
        <v>2.9707920000000003</v>
      </c>
      <c r="P18" s="183">
        <f t="shared" si="15"/>
        <v>4.2207119999999998</v>
      </c>
      <c r="Q18" s="184">
        <f t="shared" si="15"/>
        <v>6.0509520000000006</v>
      </c>
      <c r="R18" s="180">
        <f t="shared" si="15"/>
        <v>2.7471840000000003</v>
      </c>
      <c r="S18" s="183">
        <f t="shared" si="15"/>
        <v>3.9030239999999994</v>
      </c>
      <c r="T18" s="182">
        <f t="shared" si="15"/>
        <v>5.595504</v>
      </c>
      <c r="U18" s="180">
        <f t="shared" si="15"/>
        <v>2.6513519999999997</v>
      </c>
      <c r="V18" s="183">
        <f t="shared" si="15"/>
        <v>3.7668719999999993</v>
      </c>
      <c r="W18" s="182">
        <f t="shared" si="15"/>
        <v>5.4003119999999987</v>
      </c>
      <c r="X18" s="181">
        <f t="shared" si="15"/>
        <v>2.3958000000000004</v>
      </c>
      <c r="Y18" s="183">
        <f t="shared" si="15"/>
        <v>3.4037999999999999</v>
      </c>
      <c r="Z18" s="184">
        <f t="shared" si="15"/>
        <v>4.8797999999999995</v>
      </c>
      <c r="AA18" s="180">
        <f t="shared" si="15"/>
        <v>2.2360799999999998</v>
      </c>
      <c r="AB18" s="184">
        <f t="shared" si="15"/>
        <v>3.1768799999999997</v>
      </c>
      <c r="AC18" s="182">
        <f t="shared" si="15"/>
        <v>4.5544799999999999</v>
      </c>
    </row>
    <row r="19" spans="2:29" s="217" customFormat="1" ht="18" customHeight="1">
      <c r="B19" s="2027" t="s">
        <v>1602</v>
      </c>
      <c r="C19" s="2028"/>
      <c r="D19" s="1233"/>
      <c r="E19" s="1225">
        <v>1000</v>
      </c>
      <c r="F19" s="1234">
        <f>E19*D20</f>
        <v>2100</v>
      </c>
      <c r="G19" s="1234">
        <f t="shared" ref="G19" si="16">F19*120%</f>
        <v>2520</v>
      </c>
      <c r="H19" s="1234">
        <f>F19*24%*7</f>
        <v>3528</v>
      </c>
      <c r="I19" s="1246">
        <f>F19*12.5%*12</f>
        <v>3150</v>
      </c>
      <c r="J19" s="1234">
        <f>F19*10%*12</f>
        <v>2520</v>
      </c>
      <c r="K19" s="1234">
        <f>F19*$K$6</f>
        <v>5865.3</v>
      </c>
      <c r="L19" s="440">
        <f>G19+K19</f>
        <v>8385.2999999999993</v>
      </c>
      <c r="M19" s="910">
        <f>G19+H19+K19</f>
        <v>11913.3</v>
      </c>
      <c r="N19" s="911">
        <f>G19+H19+I19+J19+K19</f>
        <v>17583.3</v>
      </c>
      <c r="O19" s="447">
        <f>L19*$Q$5</f>
        <v>7798.3289999999997</v>
      </c>
      <c r="P19" s="596">
        <f>M19*$Q$5</f>
        <v>11079.369000000001</v>
      </c>
      <c r="Q19" s="531">
        <f>N19*$Q$5</f>
        <v>16352.469000000001</v>
      </c>
      <c r="R19" s="440">
        <f t="shared" ref="R19:T19" si="17">L19*$T$5</f>
        <v>7211.3579999999993</v>
      </c>
      <c r="S19" s="596">
        <f t="shared" si="17"/>
        <v>10245.438</v>
      </c>
      <c r="T19" s="443">
        <f t="shared" si="17"/>
        <v>15121.637999999999</v>
      </c>
      <c r="U19" s="440">
        <f>L19*$W$5</f>
        <v>6959.7989999999991</v>
      </c>
      <c r="V19" s="596">
        <f>M19*$W$5</f>
        <v>9888.0389999999989</v>
      </c>
      <c r="W19" s="443">
        <f>N19*$W$5</f>
        <v>14594.138999999999</v>
      </c>
      <c r="X19" s="442">
        <f>L19*$Z$5</f>
        <v>6288.9749999999995</v>
      </c>
      <c r="Y19" s="596">
        <f>M19*$Z$5</f>
        <v>8934.9749999999985</v>
      </c>
      <c r="Z19" s="531">
        <f>N19*$Z$5</f>
        <v>13187.474999999999</v>
      </c>
      <c r="AA19" s="440">
        <f>L19*$AC$5</f>
        <v>5869.7099999999991</v>
      </c>
      <c r="AB19" s="531">
        <f>M19*$AC$5</f>
        <v>8339.31</v>
      </c>
      <c r="AC19" s="443">
        <f>N19*$AC$5</f>
        <v>12308.31</v>
      </c>
    </row>
    <row r="20" spans="2:29" s="217" customFormat="1" ht="18" customHeight="1">
      <c r="B20" s="2032" t="s">
        <v>1603</v>
      </c>
      <c r="C20" s="2033"/>
      <c r="D20" s="105">
        <v>2.1</v>
      </c>
      <c r="E20" s="1225"/>
      <c r="F20" s="1229"/>
      <c r="G20" s="1229"/>
      <c r="H20" s="1229"/>
      <c r="I20" s="1229"/>
      <c r="J20" s="1229"/>
      <c r="K20" s="1229"/>
      <c r="L20" s="180">
        <f t="shared" ref="L20:AC20" si="18">L19/$E19</f>
        <v>8.3852999999999991</v>
      </c>
      <c r="M20" s="183">
        <f t="shared" si="18"/>
        <v>11.9133</v>
      </c>
      <c r="N20" s="182">
        <f t="shared" si="18"/>
        <v>17.583299999999998</v>
      </c>
      <c r="O20" s="181">
        <f t="shared" si="18"/>
        <v>7.7983289999999998</v>
      </c>
      <c r="P20" s="183">
        <f t="shared" si="18"/>
        <v>11.079369</v>
      </c>
      <c r="Q20" s="184">
        <f t="shared" si="18"/>
        <v>16.352468999999999</v>
      </c>
      <c r="R20" s="180">
        <f t="shared" si="18"/>
        <v>7.2113579999999988</v>
      </c>
      <c r="S20" s="183">
        <f t="shared" si="18"/>
        <v>10.245438</v>
      </c>
      <c r="T20" s="182">
        <f t="shared" si="18"/>
        <v>15.121637999999999</v>
      </c>
      <c r="U20" s="180">
        <f t="shared" si="18"/>
        <v>6.9597989999999994</v>
      </c>
      <c r="V20" s="183">
        <f t="shared" si="18"/>
        <v>9.8880389999999991</v>
      </c>
      <c r="W20" s="182">
        <f t="shared" si="18"/>
        <v>14.594138999999998</v>
      </c>
      <c r="X20" s="181">
        <f t="shared" si="18"/>
        <v>6.2889749999999998</v>
      </c>
      <c r="Y20" s="183">
        <f t="shared" si="18"/>
        <v>8.9349749999999979</v>
      </c>
      <c r="Z20" s="184">
        <f t="shared" si="18"/>
        <v>13.187474999999999</v>
      </c>
      <c r="AA20" s="180">
        <f t="shared" si="18"/>
        <v>5.8697099999999995</v>
      </c>
      <c r="AB20" s="184">
        <f t="shared" si="18"/>
        <v>8.3393099999999993</v>
      </c>
      <c r="AC20" s="182">
        <f t="shared" si="18"/>
        <v>12.308309999999999</v>
      </c>
    </row>
    <row r="21" spans="2:29" s="217" customFormat="1" ht="18" customHeight="1">
      <c r="B21" s="2027" t="s">
        <v>1604</v>
      </c>
      <c r="C21" s="2028"/>
      <c r="D21" s="1233"/>
      <c r="E21" s="1225">
        <v>1000</v>
      </c>
      <c r="F21" s="1234">
        <f>E21*D22</f>
        <v>2050</v>
      </c>
      <c r="G21" s="1234">
        <f t="shared" ref="G21" si="19">F21*120%</f>
        <v>2460</v>
      </c>
      <c r="H21" s="1234">
        <f>F21*24%*7</f>
        <v>3444</v>
      </c>
      <c r="I21" s="1246">
        <f>F21*12.5%*12</f>
        <v>3075</v>
      </c>
      <c r="J21" s="1234">
        <f>F21*10%*12</f>
        <v>2460</v>
      </c>
      <c r="K21" s="1234">
        <f>F21*$K$6</f>
        <v>5725.6500000000005</v>
      </c>
      <c r="L21" s="440">
        <f>G21+K21</f>
        <v>8185.6500000000005</v>
      </c>
      <c r="M21" s="910">
        <f>G21+H21+K21</f>
        <v>11629.650000000001</v>
      </c>
      <c r="N21" s="911">
        <f>G21+H21+I21+J21+K21</f>
        <v>17164.650000000001</v>
      </c>
      <c r="O21" s="447">
        <f>L21*$Q$5</f>
        <v>7612.6545000000006</v>
      </c>
      <c r="P21" s="596">
        <f>M21*$Q$5</f>
        <v>10815.574500000002</v>
      </c>
      <c r="Q21" s="531">
        <f>N21*$Q$5</f>
        <v>15963.124500000002</v>
      </c>
      <c r="R21" s="440">
        <f t="shared" ref="R21:T21" si="20">L21*$T$5</f>
        <v>7039.6590000000006</v>
      </c>
      <c r="S21" s="596">
        <f t="shared" si="20"/>
        <v>10001.499000000002</v>
      </c>
      <c r="T21" s="443">
        <f t="shared" si="20"/>
        <v>14761.599</v>
      </c>
      <c r="U21" s="440">
        <f>L21*$W$5</f>
        <v>6794.0895</v>
      </c>
      <c r="V21" s="596">
        <f>M21*$W$5</f>
        <v>9652.6095000000005</v>
      </c>
      <c r="W21" s="443">
        <f>N21*$W$5</f>
        <v>14246.6595</v>
      </c>
      <c r="X21" s="442">
        <f>L21*$Z$5</f>
        <v>6139.2375000000002</v>
      </c>
      <c r="Y21" s="596">
        <f>M21*$Z$5</f>
        <v>8722.2375000000011</v>
      </c>
      <c r="Z21" s="531">
        <f>N21*$Z$5</f>
        <v>12873.487500000001</v>
      </c>
      <c r="AA21" s="440">
        <f>L21*$AC$5</f>
        <v>5729.9549999999999</v>
      </c>
      <c r="AB21" s="531">
        <f>M21*$AC$5</f>
        <v>8140.7550000000001</v>
      </c>
      <c r="AC21" s="443">
        <f>N21*$AC$5</f>
        <v>12015.255000000001</v>
      </c>
    </row>
    <row r="22" spans="2:29" s="217" customFormat="1" ht="18" customHeight="1">
      <c r="B22" s="2032" t="s">
        <v>470</v>
      </c>
      <c r="C22" s="2033"/>
      <c r="D22" s="105">
        <v>2.0499999999999998</v>
      </c>
      <c r="E22" s="1225"/>
      <c r="F22" s="1229"/>
      <c r="G22" s="1229"/>
      <c r="H22" s="1229"/>
      <c r="I22" s="1229"/>
      <c r="J22" s="1229"/>
      <c r="K22" s="1229"/>
      <c r="L22" s="180">
        <f t="shared" ref="L22:AC22" si="21">L21/$E21</f>
        <v>8.1856500000000008</v>
      </c>
      <c r="M22" s="183">
        <f t="shared" si="21"/>
        <v>11.629650000000002</v>
      </c>
      <c r="N22" s="182">
        <f t="shared" si="21"/>
        <v>17.164650000000002</v>
      </c>
      <c r="O22" s="181">
        <f t="shared" si="21"/>
        <v>7.6126545000000005</v>
      </c>
      <c r="P22" s="183">
        <f t="shared" si="21"/>
        <v>10.815574500000002</v>
      </c>
      <c r="Q22" s="184">
        <f t="shared" si="21"/>
        <v>15.963124500000001</v>
      </c>
      <c r="R22" s="180">
        <f t="shared" si="21"/>
        <v>7.0396590000000003</v>
      </c>
      <c r="S22" s="183">
        <f t="shared" si="21"/>
        <v>10.001499000000001</v>
      </c>
      <c r="T22" s="182">
        <f t="shared" si="21"/>
        <v>14.761599</v>
      </c>
      <c r="U22" s="180">
        <f t="shared" si="21"/>
        <v>6.7940895000000001</v>
      </c>
      <c r="V22" s="183">
        <f t="shared" si="21"/>
        <v>9.6526095000000005</v>
      </c>
      <c r="W22" s="182">
        <f t="shared" si="21"/>
        <v>14.2466595</v>
      </c>
      <c r="X22" s="181">
        <f t="shared" si="21"/>
        <v>6.1392375000000001</v>
      </c>
      <c r="Y22" s="183">
        <f t="shared" si="21"/>
        <v>8.7222375000000003</v>
      </c>
      <c r="Z22" s="184">
        <f t="shared" si="21"/>
        <v>12.873487500000001</v>
      </c>
      <c r="AA22" s="180">
        <f t="shared" si="21"/>
        <v>5.7299550000000004</v>
      </c>
      <c r="AB22" s="184">
        <f t="shared" si="21"/>
        <v>8.1407550000000004</v>
      </c>
      <c r="AC22" s="182">
        <f t="shared" si="21"/>
        <v>12.015255000000002</v>
      </c>
    </row>
    <row r="23" spans="2:29" s="217" customFormat="1" ht="18" customHeight="1">
      <c r="B23" s="2027" t="s">
        <v>1605</v>
      </c>
      <c r="C23" s="2028"/>
      <c r="D23" s="1233"/>
      <c r="E23" s="1225">
        <v>1000</v>
      </c>
      <c r="F23" s="1234">
        <f>E23*D24</f>
        <v>1600</v>
      </c>
      <c r="G23" s="1234">
        <f t="shared" ref="G23" si="22">F23*120%</f>
        <v>1920</v>
      </c>
      <c r="H23" s="1234">
        <f>F23*24%*7</f>
        <v>2688</v>
      </c>
      <c r="I23" s="1246">
        <f>F23*12.5%*12</f>
        <v>2400</v>
      </c>
      <c r="J23" s="1234">
        <f>F23*10%*12</f>
        <v>1920</v>
      </c>
      <c r="K23" s="1234">
        <f>F23*$K$6</f>
        <v>4468.8</v>
      </c>
      <c r="L23" s="440">
        <f>G23+K23</f>
        <v>6388.8</v>
      </c>
      <c r="M23" s="910">
        <f>G23+H23+K23</f>
        <v>9076.7999999999993</v>
      </c>
      <c r="N23" s="911">
        <f>G23+H23+I23+J23+K23</f>
        <v>13396.8</v>
      </c>
      <c r="O23" s="447">
        <f>L23*$Q$5</f>
        <v>5941.5840000000007</v>
      </c>
      <c r="P23" s="596">
        <f>M23*$Q$5</f>
        <v>8441.4239999999991</v>
      </c>
      <c r="Q23" s="531">
        <f>N23*$Q$5</f>
        <v>12459.023999999999</v>
      </c>
      <c r="R23" s="440">
        <f t="shared" ref="R23:T23" si="23">L23*$T$5</f>
        <v>5494.3680000000004</v>
      </c>
      <c r="S23" s="596">
        <f t="shared" si="23"/>
        <v>7806.0479999999989</v>
      </c>
      <c r="T23" s="443">
        <f t="shared" si="23"/>
        <v>11521.248</v>
      </c>
      <c r="U23" s="440">
        <f>L23*$W$5</f>
        <v>5302.7039999999997</v>
      </c>
      <c r="V23" s="596">
        <f>M23*$W$5</f>
        <v>7533.7439999999988</v>
      </c>
      <c r="W23" s="443">
        <f>N23*$W$5</f>
        <v>11119.343999999999</v>
      </c>
      <c r="X23" s="442">
        <f>L23*$Z$5</f>
        <v>4791.6000000000004</v>
      </c>
      <c r="Y23" s="596">
        <f>M23*$Z$5</f>
        <v>6807.5999999999995</v>
      </c>
      <c r="Z23" s="531">
        <f>N23*$Z$5</f>
        <v>10047.599999999999</v>
      </c>
      <c r="AA23" s="440">
        <f>L23*$AC$5</f>
        <v>4472.16</v>
      </c>
      <c r="AB23" s="531">
        <f>M23*$AC$5</f>
        <v>6353.7599999999993</v>
      </c>
      <c r="AC23" s="443">
        <f>N23*$AC$5</f>
        <v>9377.7599999999984</v>
      </c>
    </row>
    <row r="24" spans="2:29" s="217" customFormat="1" ht="18" customHeight="1">
      <c r="B24" s="2025" t="s">
        <v>1606</v>
      </c>
      <c r="C24" s="2026"/>
      <c r="D24" s="105">
        <v>1.6</v>
      </c>
      <c r="E24" s="1225"/>
      <c r="F24" s="1229"/>
      <c r="G24" s="1229"/>
      <c r="H24" s="1229"/>
      <c r="I24" s="1229"/>
      <c r="J24" s="1229"/>
      <c r="K24" s="1229"/>
      <c r="L24" s="180">
        <f t="shared" ref="L24:AC24" si="24">L23/$E23</f>
        <v>6.3887999999999998</v>
      </c>
      <c r="M24" s="183">
        <f t="shared" si="24"/>
        <v>9.0767999999999986</v>
      </c>
      <c r="N24" s="182">
        <f t="shared" si="24"/>
        <v>13.396799999999999</v>
      </c>
      <c r="O24" s="181">
        <f t="shared" si="24"/>
        <v>5.9415840000000006</v>
      </c>
      <c r="P24" s="183">
        <f t="shared" si="24"/>
        <v>8.4414239999999996</v>
      </c>
      <c r="Q24" s="184">
        <f t="shared" si="24"/>
        <v>12.459023999999999</v>
      </c>
      <c r="R24" s="180">
        <f t="shared" si="24"/>
        <v>5.4943680000000006</v>
      </c>
      <c r="S24" s="183">
        <f t="shared" si="24"/>
        <v>7.8060479999999988</v>
      </c>
      <c r="T24" s="182">
        <f t="shared" si="24"/>
        <v>11.521248</v>
      </c>
      <c r="U24" s="180">
        <f t="shared" si="24"/>
        <v>5.3027039999999994</v>
      </c>
      <c r="V24" s="183">
        <f t="shared" si="24"/>
        <v>7.5337439999999987</v>
      </c>
      <c r="W24" s="182">
        <f t="shared" si="24"/>
        <v>11.119344</v>
      </c>
      <c r="X24" s="181">
        <f t="shared" si="24"/>
        <v>4.7916000000000007</v>
      </c>
      <c r="Y24" s="183">
        <f t="shared" si="24"/>
        <v>6.8075999999999999</v>
      </c>
      <c r="Z24" s="184">
        <f t="shared" si="24"/>
        <v>10.047599999999999</v>
      </c>
      <c r="AA24" s="180">
        <f t="shared" si="24"/>
        <v>4.4721599999999997</v>
      </c>
      <c r="AB24" s="184">
        <f t="shared" si="24"/>
        <v>6.3537599999999994</v>
      </c>
      <c r="AC24" s="182">
        <f t="shared" si="24"/>
        <v>9.3777599999999985</v>
      </c>
    </row>
    <row r="25" spans="2:29" s="217" customFormat="1" ht="18" customHeight="1">
      <c r="B25" s="2027" t="s">
        <v>1607</v>
      </c>
      <c r="C25" s="2028"/>
      <c r="D25" s="1233"/>
      <c r="E25" s="1225">
        <v>1000</v>
      </c>
      <c r="F25" s="1234">
        <f>E25*D26</f>
        <v>2300</v>
      </c>
      <c r="G25" s="1234">
        <f t="shared" ref="G25" si="25">F25*120%</f>
        <v>2760</v>
      </c>
      <c r="H25" s="1234">
        <f>F25*24%*7</f>
        <v>3864</v>
      </c>
      <c r="I25" s="1246">
        <f>F25*12.5%*12</f>
        <v>3450</v>
      </c>
      <c r="J25" s="1234">
        <f>F25*10%*12</f>
        <v>2760</v>
      </c>
      <c r="K25" s="1234">
        <f>F25*$K$6</f>
        <v>6423.9000000000005</v>
      </c>
      <c r="L25" s="440">
        <f>G25+K25</f>
        <v>9183.9000000000015</v>
      </c>
      <c r="M25" s="910">
        <f>G25+H25+K25</f>
        <v>13047.900000000001</v>
      </c>
      <c r="N25" s="911">
        <f>G25+H25+I25+J25+K25</f>
        <v>19257.900000000001</v>
      </c>
      <c r="O25" s="447">
        <f>L25*$Q$5</f>
        <v>8541.0270000000019</v>
      </c>
      <c r="P25" s="596">
        <f>M25*$Q$5</f>
        <v>12134.547000000002</v>
      </c>
      <c r="Q25" s="531">
        <f>N25*$Q$5</f>
        <v>17909.847000000002</v>
      </c>
      <c r="R25" s="440">
        <f t="shared" ref="R25:T25" si="26">L25*$T$5</f>
        <v>7898.1540000000014</v>
      </c>
      <c r="S25" s="596">
        <f t="shared" si="26"/>
        <v>11221.194000000001</v>
      </c>
      <c r="T25" s="443">
        <f t="shared" si="26"/>
        <v>16561.794000000002</v>
      </c>
      <c r="U25" s="440">
        <f>L25*$W$5</f>
        <v>7622.6370000000006</v>
      </c>
      <c r="V25" s="596">
        <f>M25*$W$5</f>
        <v>10829.757000000001</v>
      </c>
      <c r="W25" s="443">
        <f>N25*$W$5</f>
        <v>15984.057000000001</v>
      </c>
      <c r="X25" s="442">
        <f>L25*$Z$5</f>
        <v>6887.9250000000011</v>
      </c>
      <c r="Y25" s="596">
        <f>M25*$Z$5</f>
        <v>9785.9250000000011</v>
      </c>
      <c r="Z25" s="531">
        <f>N25*$Z$5</f>
        <v>14443.425000000001</v>
      </c>
      <c r="AA25" s="440">
        <f>L25*$AC$5</f>
        <v>6428.7300000000005</v>
      </c>
      <c r="AB25" s="531">
        <f>M25*$AC$5</f>
        <v>9133.5300000000007</v>
      </c>
      <c r="AC25" s="443">
        <f>N25*$AC$5</f>
        <v>13480.53</v>
      </c>
    </row>
    <row r="26" spans="2:29" s="217" customFormat="1" ht="18" customHeight="1">
      <c r="B26" s="2025" t="s">
        <v>1608</v>
      </c>
      <c r="C26" s="2026"/>
      <c r="D26" s="105">
        <v>2.2999999999999998</v>
      </c>
      <c r="E26" s="1225"/>
      <c r="F26" s="1229"/>
      <c r="G26" s="1229"/>
      <c r="H26" s="1229"/>
      <c r="I26" s="1229"/>
      <c r="J26" s="1229"/>
      <c r="K26" s="1229"/>
      <c r="L26" s="180">
        <f t="shared" ref="L26:AC26" si="27">L25/$E25</f>
        <v>9.1839000000000013</v>
      </c>
      <c r="M26" s="183">
        <f t="shared" si="27"/>
        <v>13.047900000000002</v>
      </c>
      <c r="N26" s="182">
        <f t="shared" si="27"/>
        <v>19.257900000000003</v>
      </c>
      <c r="O26" s="181">
        <f t="shared" si="27"/>
        <v>8.5410270000000015</v>
      </c>
      <c r="P26" s="183">
        <f t="shared" si="27"/>
        <v>12.134547000000003</v>
      </c>
      <c r="Q26" s="184">
        <f t="shared" si="27"/>
        <v>17.909847000000003</v>
      </c>
      <c r="R26" s="180">
        <f t="shared" si="27"/>
        <v>7.8981540000000017</v>
      </c>
      <c r="S26" s="183">
        <f t="shared" si="27"/>
        <v>11.221194000000001</v>
      </c>
      <c r="T26" s="182">
        <f t="shared" si="27"/>
        <v>16.561794000000003</v>
      </c>
      <c r="U26" s="180">
        <f t="shared" si="27"/>
        <v>7.622637000000001</v>
      </c>
      <c r="V26" s="183">
        <f t="shared" si="27"/>
        <v>10.829757000000001</v>
      </c>
      <c r="W26" s="182">
        <f t="shared" si="27"/>
        <v>15.984057</v>
      </c>
      <c r="X26" s="181">
        <f t="shared" si="27"/>
        <v>6.887925000000001</v>
      </c>
      <c r="Y26" s="183">
        <f t="shared" si="27"/>
        <v>9.7859250000000007</v>
      </c>
      <c r="Z26" s="184">
        <f t="shared" si="27"/>
        <v>14.443425000000001</v>
      </c>
      <c r="AA26" s="180">
        <f t="shared" si="27"/>
        <v>6.4287300000000007</v>
      </c>
      <c r="AB26" s="184">
        <f t="shared" si="27"/>
        <v>9.1335300000000004</v>
      </c>
      <c r="AC26" s="182">
        <f t="shared" si="27"/>
        <v>13.48053</v>
      </c>
    </row>
    <row r="27" spans="2:29" s="217" customFormat="1" ht="18" customHeight="1">
      <c r="B27" s="2027" t="s">
        <v>1609</v>
      </c>
      <c r="C27" s="2028"/>
      <c r="D27" s="1233"/>
      <c r="E27" s="1225">
        <v>100000</v>
      </c>
      <c r="F27" s="1234">
        <f>E27*D28</f>
        <v>400</v>
      </c>
      <c r="G27" s="2044">
        <f>E27*C28</f>
        <v>2000</v>
      </c>
      <c r="H27" s="1234" t="s">
        <v>1610</v>
      </c>
      <c r="I27" s="1234" t="s">
        <v>1610</v>
      </c>
      <c r="J27" s="1234" t="s">
        <v>1610</v>
      </c>
      <c r="K27" s="1234">
        <f>F27*$K$6</f>
        <v>1117.2</v>
      </c>
      <c r="L27" s="440">
        <f>G27+K27</f>
        <v>3117.2</v>
      </c>
      <c r="M27" s="596">
        <f>G27+K27</f>
        <v>3117.2</v>
      </c>
      <c r="N27" s="443">
        <f>G27+K27</f>
        <v>3117.2</v>
      </c>
      <c r="O27" s="447">
        <f>L27*$Q$5</f>
        <v>2898.9960000000001</v>
      </c>
      <c r="P27" s="596">
        <f>M27*$Q$5</f>
        <v>2898.9960000000001</v>
      </c>
      <c r="Q27" s="531">
        <f>N27*$Q$5</f>
        <v>2898.9960000000001</v>
      </c>
      <c r="R27" s="440">
        <f t="shared" ref="R27:T27" si="28">L27*$T$5</f>
        <v>2680.7919999999999</v>
      </c>
      <c r="S27" s="596">
        <f t="shared" si="28"/>
        <v>2680.7919999999999</v>
      </c>
      <c r="T27" s="443">
        <f t="shared" si="28"/>
        <v>2680.7919999999999</v>
      </c>
      <c r="U27" s="440">
        <f>L27*$W$5</f>
        <v>2587.2759999999998</v>
      </c>
      <c r="V27" s="596">
        <f>M27*$W$5</f>
        <v>2587.2759999999998</v>
      </c>
      <c r="W27" s="443">
        <f>N27*$W$5</f>
        <v>2587.2759999999998</v>
      </c>
      <c r="X27" s="442">
        <f>L27*$Z$5</f>
        <v>2337.8999999999996</v>
      </c>
      <c r="Y27" s="596">
        <f>M27*$Z$5</f>
        <v>2337.8999999999996</v>
      </c>
      <c r="Z27" s="531">
        <f>N27*$Z$5</f>
        <v>2337.8999999999996</v>
      </c>
      <c r="AA27" s="440">
        <f>L27*$AC$5</f>
        <v>2182.0399999999995</v>
      </c>
      <c r="AB27" s="531">
        <f>M27*$AC$5</f>
        <v>2182.0399999999995</v>
      </c>
      <c r="AC27" s="443">
        <f>N27*$AC$5</f>
        <v>2182.0399999999995</v>
      </c>
    </row>
    <row r="28" spans="2:29" s="217" customFormat="1" ht="18" customHeight="1">
      <c r="B28" s="308" t="s">
        <v>1611</v>
      </c>
      <c r="C28" s="1011">
        <v>0.02</v>
      </c>
      <c r="D28" s="225">
        <v>4.0000000000000001E-3</v>
      </c>
      <c r="E28" s="1225"/>
      <c r="F28" s="1229"/>
      <c r="G28" s="1540"/>
      <c r="H28" s="1229"/>
      <c r="I28" s="1229"/>
      <c r="J28" s="1229"/>
      <c r="K28" s="1229"/>
      <c r="L28" s="180">
        <f t="shared" ref="L28:AC28" si="29">L27/$E27</f>
        <v>3.1171999999999998E-2</v>
      </c>
      <c r="M28" s="183">
        <f t="shared" si="29"/>
        <v>3.1171999999999998E-2</v>
      </c>
      <c r="N28" s="182">
        <f t="shared" si="29"/>
        <v>3.1171999999999998E-2</v>
      </c>
      <c r="O28" s="181">
        <f t="shared" si="29"/>
        <v>2.8989960000000002E-2</v>
      </c>
      <c r="P28" s="183">
        <f t="shared" si="29"/>
        <v>2.8989960000000002E-2</v>
      </c>
      <c r="Q28" s="184">
        <f t="shared" si="29"/>
        <v>2.8989960000000002E-2</v>
      </c>
      <c r="R28" s="180">
        <f t="shared" si="29"/>
        <v>2.6807919999999999E-2</v>
      </c>
      <c r="S28" s="183">
        <f t="shared" si="29"/>
        <v>2.6807919999999999E-2</v>
      </c>
      <c r="T28" s="182">
        <f t="shared" si="29"/>
        <v>2.6807919999999999E-2</v>
      </c>
      <c r="U28" s="180">
        <f t="shared" si="29"/>
        <v>2.5872759999999998E-2</v>
      </c>
      <c r="V28" s="183">
        <f t="shared" si="29"/>
        <v>2.5872759999999998E-2</v>
      </c>
      <c r="W28" s="182">
        <f t="shared" si="29"/>
        <v>2.5872759999999998E-2</v>
      </c>
      <c r="X28" s="181">
        <f t="shared" si="29"/>
        <v>2.3378999999999997E-2</v>
      </c>
      <c r="Y28" s="183">
        <f t="shared" si="29"/>
        <v>2.3378999999999997E-2</v>
      </c>
      <c r="Z28" s="184">
        <f t="shared" si="29"/>
        <v>2.3378999999999997E-2</v>
      </c>
      <c r="AA28" s="180">
        <f t="shared" si="29"/>
        <v>2.1820399999999997E-2</v>
      </c>
      <c r="AB28" s="184">
        <f t="shared" si="29"/>
        <v>2.1820399999999997E-2</v>
      </c>
      <c r="AC28" s="182">
        <f t="shared" si="29"/>
        <v>2.1820399999999997E-2</v>
      </c>
    </row>
    <row r="29" spans="2:29" s="217" customFormat="1" ht="18" customHeight="1">
      <c r="B29" s="2040" t="s">
        <v>1612</v>
      </c>
      <c r="C29" s="2041"/>
      <c r="D29" s="2042"/>
      <c r="E29" s="1239">
        <v>100000</v>
      </c>
      <c r="F29" s="1246">
        <f>E29*D30</f>
        <v>300</v>
      </c>
      <c r="G29" s="2031">
        <f>E29*C30</f>
        <v>1500</v>
      </c>
      <c r="H29" s="1246" t="s">
        <v>1610</v>
      </c>
      <c r="I29" s="1246" t="s">
        <v>1610</v>
      </c>
      <c r="J29" s="1246" t="s">
        <v>1610</v>
      </c>
      <c r="K29" s="1246">
        <f>F29*$K$6</f>
        <v>837.90000000000009</v>
      </c>
      <c r="L29" s="440">
        <f>G29+K29</f>
        <v>2337.9</v>
      </c>
      <c r="M29" s="596">
        <f>G29+K29</f>
        <v>2337.9</v>
      </c>
      <c r="N29" s="443">
        <f>G29+K29</f>
        <v>2337.9</v>
      </c>
      <c r="O29" s="447">
        <f>L29*$Q$5</f>
        <v>2174.2470000000003</v>
      </c>
      <c r="P29" s="910">
        <f>M29*$Q$5</f>
        <v>2174.2470000000003</v>
      </c>
      <c r="Q29" s="530">
        <f>N29*$Q$5</f>
        <v>2174.2470000000003</v>
      </c>
      <c r="R29" s="440">
        <f t="shared" ref="R29:T29" si="30">L29*$T$5</f>
        <v>2010.5940000000001</v>
      </c>
      <c r="S29" s="596">
        <f t="shared" si="30"/>
        <v>2010.5940000000001</v>
      </c>
      <c r="T29" s="443">
        <f t="shared" si="30"/>
        <v>2010.5940000000001</v>
      </c>
      <c r="U29" s="446">
        <f>L29*$W$5</f>
        <v>1940.4569999999999</v>
      </c>
      <c r="V29" s="910">
        <f>M29*$W$5</f>
        <v>1940.4569999999999</v>
      </c>
      <c r="W29" s="911">
        <f>N29*$W$5</f>
        <v>1940.4569999999999</v>
      </c>
      <c r="X29" s="447">
        <f>L29*$Z$5</f>
        <v>1753.4250000000002</v>
      </c>
      <c r="Y29" s="910">
        <f>M29*$Z$5</f>
        <v>1753.4250000000002</v>
      </c>
      <c r="Z29" s="530">
        <f>N29*$Z$5</f>
        <v>1753.4250000000002</v>
      </c>
      <c r="AA29" s="446">
        <f>L29*$AC$5</f>
        <v>1636.53</v>
      </c>
      <c r="AB29" s="530">
        <f>M29*$AC$5</f>
        <v>1636.53</v>
      </c>
      <c r="AC29" s="911">
        <f>N29*$AC$5</f>
        <v>1636.53</v>
      </c>
    </row>
    <row r="30" spans="2:29" s="217" customFormat="1" ht="18" customHeight="1" thickBot="1">
      <c r="B30" s="309" t="s">
        <v>1611</v>
      </c>
      <c r="C30" s="1014">
        <v>1.4999999999999999E-2</v>
      </c>
      <c r="D30" s="258">
        <v>3.0000000000000001E-3</v>
      </c>
      <c r="E30" s="1260"/>
      <c r="F30" s="1247"/>
      <c r="G30" s="2043"/>
      <c r="H30" s="1247"/>
      <c r="I30" s="1247"/>
      <c r="J30" s="1247"/>
      <c r="K30" s="1247"/>
      <c r="L30" s="170">
        <f t="shared" ref="L30:AC30" si="31">L29/$E29</f>
        <v>2.3379E-2</v>
      </c>
      <c r="M30" s="171">
        <f t="shared" si="31"/>
        <v>2.3379E-2</v>
      </c>
      <c r="N30" s="172">
        <f t="shared" si="31"/>
        <v>2.3379E-2</v>
      </c>
      <c r="O30" s="186">
        <f t="shared" si="31"/>
        <v>2.1742470000000003E-2</v>
      </c>
      <c r="P30" s="171">
        <f t="shared" si="31"/>
        <v>2.1742470000000003E-2</v>
      </c>
      <c r="Q30" s="187">
        <f t="shared" si="31"/>
        <v>2.1742470000000003E-2</v>
      </c>
      <c r="R30" s="170">
        <f t="shared" si="31"/>
        <v>2.0105939999999999E-2</v>
      </c>
      <c r="S30" s="171">
        <f t="shared" si="31"/>
        <v>2.0105939999999999E-2</v>
      </c>
      <c r="T30" s="172">
        <f t="shared" si="31"/>
        <v>2.0105939999999999E-2</v>
      </c>
      <c r="U30" s="170">
        <f t="shared" si="31"/>
        <v>1.9404569999999999E-2</v>
      </c>
      <c r="V30" s="171">
        <f t="shared" si="31"/>
        <v>1.9404569999999999E-2</v>
      </c>
      <c r="W30" s="172">
        <f t="shared" si="31"/>
        <v>1.9404569999999999E-2</v>
      </c>
      <c r="X30" s="186">
        <f t="shared" si="31"/>
        <v>1.7534250000000001E-2</v>
      </c>
      <c r="Y30" s="171">
        <f t="shared" si="31"/>
        <v>1.7534250000000001E-2</v>
      </c>
      <c r="Z30" s="187">
        <f t="shared" si="31"/>
        <v>1.7534250000000001E-2</v>
      </c>
      <c r="AA30" s="170">
        <f t="shared" si="31"/>
        <v>1.6365299999999999E-2</v>
      </c>
      <c r="AB30" s="187">
        <f t="shared" si="31"/>
        <v>1.6365299999999999E-2</v>
      </c>
      <c r="AC30" s="172">
        <f t="shared" si="31"/>
        <v>1.6365299999999999E-2</v>
      </c>
    </row>
    <row r="31" spans="2:29" s="217" customFormat="1" ht="18" customHeight="1">
      <c r="B31" s="26"/>
      <c r="C31" s="26"/>
      <c r="D31" s="26"/>
      <c r="E31" s="26"/>
      <c r="F31" s="26"/>
      <c r="G31" s="26"/>
      <c r="H31" s="26"/>
      <c r="I31" s="26"/>
      <c r="J31" s="26"/>
      <c r="K31" s="26"/>
      <c r="L31" s="27"/>
      <c r="M31" s="27"/>
      <c r="N31" s="27"/>
      <c r="O31" s="27"/>
      <c r="P31" s="27"/>
      <c r="Q31" s="27"/>
      <c r="R31" s="27"/>
      <c r="S31" s="27"/>
      <c r="T31" s="27"/>
      <c r="U31" s="27"/>
      <c r="V31" s="27"/>
      <c r="W31" s="27"/>
      <c r="X31" s="27"/>
      <c r="Y31" s="27"/>
      <c r="Z31" s="27"/>
      <c r="AA31" s="27"/>
      <c r="AB31" s="27"/>
      <c r="AC31" s="27"/>
    </row>
    <row r="32" spans="2:29" s="217" customFormat="1" ht="18" customHeight="1">
      <c r="B32" s="4" t="s">
        <v>472</v>
      </c>
      <c r="C32" s="5"/>
      <c r="D32" s="5"/>
      <c r="E32" s="5"/>
      <c r="F32" s="5"/>
      <c r="G32" s="5"/>
      <c r="H32" s="5"/>
      <c r="I32" s="5"/>
      <c r="J32" s="5"/>
      <c r="K32" s="5"/>
      <c r="L32" s="6"/>
      <c r="M32" s="6"/>
      <c r="N32" s="6"/>
      <c r="O32" s="6"/>
      <c r="P32" s="6"/>
      <c r="Q32" s="6"/>
      <c r="R32" s="6"/>
      <c r="S32" s="6"/>
      <c r="T32" s="6"/>
      <c r="U32" s="6"/>
      <c r="V32" s="6"/>
      <c r="W32" s="6"/>
      <c r="X32" s="6"/>
      <c r="Y32" s="6"/>
      <c r="Z32" s="6"/>
      <c r="AA32" s="6"/>
      <c r="AB32" s="6"/>
      <c r="AC32" s="6"/>
    </row>
    <row r="33" spans="2:29" s="217" customFormat="1" ht="18" customHeight="1">
      <c r="B33" s="6" t="s">
        <v>444</v>
      </c>
      <c r="C33" s="4"/>
      <c r="D33" s="4"/>
      <c r="E33" s="5"/>
      <c r="F33" s="5"/>
      <c r="G33" s="5"/>
      <c r="H33" s="5"/>
      <c r="I33" s="5"/>
      <c r="J33" s="5"/>
      <c r="K33" s="5"/>
      <c r="L33" s="6"/>
      <c r="M33" s="6"/>
      <c r="N33" s="6"/>
      <c r="O33" s="6"/>
      <c r="P33" s="6"/>
      <c r="Q33" s="6"/>
      <c r="R33" s="6"/>
      <c r="S33" s="6"/>
      <c r="T33" s="6"/>
      <c r="U33" s="6"/>
      <c r="V33" s="6"/>
      <c r="W33" s="6"/>
      <c r="X33" s="6"/>
      <c r="Y33" s="6"/>
      <c r="Z33" s="6"/>
      <c r="AA33" s="6"/>
      <c r="AB33" s="6"/>
      <c r="AC33" s="6"/>
    </row>
    <row r="34" spans="2:29" s="217" customFormat="1" ht="18" customHeight="1">
      <c r="B34" s="153" t="s">
        <v>1613</v>
      </c>
      <c r="C34" s="153"/>
      <c r="D34" s="153"/>
      <c r="E34" s="154"/>
      <c r="F34" s="154"/>
      <c r="G34" s="154"/>
      <c r="H34" s="154"/>
      <c r="I34" s="154"/>
      <c r="J34" s="154"/>
      <c r="K34" s="154"/>
      <c r="L34" s="153"/>
      <c r="M34" s="153"/>
      <c r="N34" s="30"/>
      <c r="O34" s="30"/>
      <c r="P34" s="30"/>
      <c r="Q34" s="30"/>
      <c r="R34" s="30"/>
      <c r="S34" s="30"/>
      <c r="T34" s="30"/>
      <c r="U34" s="30"/>
      <c r="V34" s="30"/>
      <c r="W34" s="30"/>
      <c r="X34" s="30"/>
      <c r="Y34" s="30"/>
      <c r="Z34" s="30"/>
      <c r="AA34" s="30"/>
      <c r="AB34" s="30"/>
      <c r="AC34" s="30"/>
    </row>
    <row r="35" spans="2:29" s="217" customFormat="1" ht="18" customHeight="1">
      <c r="B35" s="29" t="s">
        <v>1614</v>
      </c>
      <c r="C35" s="31"/>
      <c r="D35" s="31"/>
      <c r="E35" s="31"/>
      <c r="F35" s="31"/>
      <c r="G35" s="31"/>
      <c r="H35" s="31"/>
      <c r="I35" s="31"/>
      <c r="J35" s="31"/>
      <c r="K35" s="31"/>
      <c r="L35" s="29"/>
      <c r="M35" s="29"/>
      <c r="N35" s="29"/>
      <c r="O35" s="29"/>
      <c r="P35" s="29"/>
      <c r="Q35" s="29"/>
      <c r="R35" s="29"/>
      <c r="S35" s="29"/>
      <c r="T35" s="29"/>
      <c r="U35" s="29"/>
      <c r="V35" s="29"/>
      <c r="W35" s="29"/>
      <c r="X35" s="29"/>
      <c r="Y35" s="29"/>
      <c r="Z35" s="29"/>
      <c r="AA35" s="29"/>
      <c r="AB35" s="29"/>
      <c r="AC35" s="29"/>
    </row>
    <row r="36" spans="2:29" s="217" customFormat="1" ht="18" customHeight="1">
      <c r="B36" s="29" t="s">
        <v>745</v>
      </c>
      <c r="C36" s="31"/>
      <c r="D36" s="31"/>
      <c r="E36" s="31"/>
      <c r="F36" s="31"/>
      <c r="G36" s="31"/>
      <c r="H36" s="31"/>
      <c r="I36" s="31"/>
      <c r="J36" s="31"/>
      <c r="K36" s="31"/>
      <c r="L36" s="29"/>
      <c r="M36" s="29"/>
      <c r="N36" s="29"/>
      <c r="O36" s="29"/>
      <c r="P36" s="29"/>
      <c r="Q36" s="29"/>
      <c r="R36" s="29"/>
      <c r="S36" s="29"/>
      <c r="T36" s="29"/>
      <c r="U36" s="29"/>
      <c r="V36" s="29"/>
      <c r="W36" s="29"/>
      <c r="X36" s="29"/>
      <c r="Y36" s="29"/>
      <c r="Z36" s="29"/>
      <c r="AA36" s="29"/>
      <c r="AB36" s="29"/>
      <c r="AC36" s="29"/>
    </row>
    <row r="37" spans="2:29" s="217" customFormat="1" ht="18" customHeight="1">
      <c r="B37" s="6" t="s">
        <v>1615</v>
      </c>
      <c r="C37" s="5"/>
      <c r="D37" s="5"/>
      <c r="E37" s="5"/>
      <c r="F37" s="5"/>
      <c r="G37" s="5"/>
      <c r="H37" s="5"/>
      <c r="I37" s="5"/>
      <c r="J37" s="5"/>
      <c r="K37" s="5"/>
      <c r="L37" s="6"/>
      <c r="M37" s="6"/>
      <c r="N37" s="6"/>
      <c r="O37" s="6"/>
      <c r="P37" s="6"/>
      <c r="Q37" s="6"/>
      <c r="R37" s="6"/>
      <c r="S37" s="6"/>
      <c r="T37" s="6"/>
      <c r="U37" s="6"/>
      <c r="V37" s="6"/>
      <c r="W37" s="6"/>
      <c r="X37" s="6"/>
      <c r="Y37" s="6"/>
      <c r="Z37" s="6"/>
      <c r="AA37" s="6"/>
      <c r="AB37" s="6"/>
      <c r="AC37" s="6"/>
    </row>
    <row r="38" spans="2:29" s="217" customFormat="1" ht="18" customHeight="1">
      <c r="B38" s="6" t="s">
        <v>1616</v>
      </c>
      <c r="C38" s="5"/>
      <c r="D38" s="5"/>
      <c r="E38" s="5"/>
      <c r="F38" s="5"/>
      <c r="G38" s="5"/>
      <c r="H38" s="5"/>
      <c r="I38" s="5"/>
      <c r="J38" s="5"/>
      <c r="K38" s="5"/>
      <c r="L38" s="6"/>
      <c r="M38" s="6"/>
      <c r="N38" s="6"/>
      <c r="O38" s="6"/>
      <c r="P38" s="6"/>
      <c r="Q38" s="6"/>
      <c r="R38" s="6"/>
      <c r="S38" s="6"/>
      <c r="T38" s="6"/>
      <c r="U38" s="6"/>
      <c r="V38" s="6"/>
      <c r="W38" s="6"/>
      <c r="X38" s="6"/>
      <c r="Y38" s="6"/>
      <c r="Z38" s="6"/>
      <c r="AA38" s="6"/>
      <c r="AB38" s="6"/>
      <c r="AC38" s="6"/>
    </row>
    <row r="39" spans="2:29" s="217" customFormat="1" ht="18" customHeight="1">
      <c r="B39" s="6" t="s">
        <v>1617</v>
      </c>
      <c r="C39" s="5"/>
      <c r="D39" s="5"/>
      <c r="E39" s="5"/>
      <c r="F39" s="5"/>
      <c r="G39" s="5"/>
      <c r="H39" s="5"/>
      <c r="I39" s="5"/>
      <c r="J39" s="5"/>
      <c r="K39" s="5"/>
      <c r="L39" s="6"/>
      <c r="M39" s="6"/>
      <c r="N39" s="6"/>
      <c r="O39" s="6"/>
      <c r="P39" s="6"/>
      <c r="Q39" s="6"/>
      <c r="R39" s="6"/>
      <c r="S39" s="6"/>
      <c r="T39" s="6"/>
      <c r="U39" s="6"/>
      <c r="V39" s="6"/>
      <c r="W39" s="6"/>
      <c r="X39" s="6"/>
      <c r="Y39" s="6"/>
      <c r="Z39" s="6"/>
      <c r="AA39" s="6"/>
      <c r="AB39" s="6"/>
      <c r="AC39" s="6"/>
    </row>
    <row r="40" spans="2:29" s="217" customFormat="1" ht="18" customHeight="1">
      <c r="B40" s="30" t="s">
        <v>1618</v>
      </c>
      <c r="C40" s="5"/>
      <c r="D40" s="5"/>
      <c r="E40" s="5"/>
      <c r="F40" s="5"/>
      <c r="G40" s="5"/>
      <c r="H40" s="5"/>
      <c r="I40" s="5"/>
      <c r="J40" s="5"/>
      <c r="K40" s="5"/>
      <c r="L40" s="6"/>
      <c r="M40" s="6"/>
      <c r="N40" s="6"/>
      <c r="O40" s="6"/>
      <c r="P40" s="6"/>
      <c r="Q40" s="6"/>
      <c r="R40" s="6"/>
      <c r="S40" s="6"/>
      <c r="T40" s="6"/>
      <c r="U40" s="6"/>
      <c r="V40" s="6"/>
      <c r="W40" s="6"/>
      <c r="X40" s="6"/>
      <c r="Y40" s="6"/>
      <c r="Z40" s="6"/>
      <c r="AA40" s="6"/>
      <c r="AB40" s="6"/>
      <c r="AC40" s="6"/>
    </row>
    <row r="41" spans="2:29" ht="18" customHeight="1"/>
    <row r="42" spans="2:29" ht="18" customHeight="1"/>
    <row r="43" spans="2:29" ht="18" customHeight="1"/>
  </sheetData>
  <mergeCells count="119">
    <mergeCell ref="K29:K30"/>
    <mergeCell ref="I27:I28"/>
    <mergeCell ref="J27:J28"/>
    <mergeCell ref="K27:K28"/>
    <mergeCell ref="B29:D29"/>
    <mergeCell ref="E29:E30"/>
    <mergeCell ref="F29:F30"/>
    <mergeCell ref="G29:G30"/>
    <mergeCell ref="H29:H30"/>
    <mergeCell ref="I29:I30"/>
    <mergeCell ref="J29:J30"/>
    <mergeCell ref="B27:D27"/>
    <mergeCell ref="E27:E28"/>
    <mergeCell ref="F27:F28"/>
    <mergeCell ref="G27:G28"/>
    <mergeCell ref="H27:H28"/>
    <mergeCell ref="K23:K24"/>
    <mergeCell ref="B24:C24"/>
    <mergeCell ref="B25:D25"/>
    <mergeCell ref="E25:E26"/>
    <mergeCell ref="F25:F26"/>
    <mergeCell ref="G25:G26"/>
    <mergeCell ref="H25:H26"/>
    <mergeCell ref="I25:I26"/>
    <mergeCell ref="J25:J26"/>
    <mergeCell ref="K25:K26"/>
    <mergeCell ref="B23:D23"/>
    <mergeCell ref="E23:E24"/>
    <mergeCell ref="F23:F24"/>
    <mergeCell ref="G23:G24"/>
    <mergeCell ref="H23:H24"/>
    <mergeCell ref="I23:I24"/>
    <mergeCell ref="J23:J24"/>
    <mergeCell ref="B26:C26"/>
    <mergeCell ref="K19:K20"/>
    <mergeCell ref="B20:C20"/>
    <mergeCell ref="B21:D21"/>
    <mergeCell ref="E21:E22"/>
    <mergeCell ref="F21:F22"/>
    <mergeCell ref="G21:G22"/>
    <mergeCell ref="H21:H22"/>
    <mergeCell ref="I21:I22"/>
    <mergeCell ref="J21:J22"/>
    <mergeCell ref="K21:K22"/>
    <mergeCell ref="B22:C22"/>
    <mergeCell ref="B19:D19"/>
    <mergeCell ref="E19:E20"/>
    <mergeCell ref="F19:F20"/>
    <mergeCell ref="G19:G20"/>
    <mergeCell ref="H19:H20"/>
    <mergeCell ref="I19:I20"/>
    <mergeCell ref="J19:J20"/>
    <mergeCell ref="K15:K16"/>
    <mergeCell ref="B16:C16"/>
    <mergeCell ref="B17:D17"/>
    <mergeCell ref="E17:E18"/>
    <mergeCell ref="F17:F18"/>
    <mergeCell ref="G17:G18"/>
    <mergeCell ref="H17:H18"/>
    <mergeCell ref="I17:I18"/>
    <mergeCell ref="J17:J18"/>
    <mergeCell ref="K17:K18"/>
    <mergeCell ref="B15:D15"/>
    <mergeCell ref="E15:E16"/>
    <mergeCell ref="F15:F16"/>
    <mergeCell ref="G15:G16"/>
    <mergeCell ref="H15:H16"/>
    <mergeCell ref="I15:I16"/>
    <mergeCell ref="J15:J16"/>
    <mergeCell ref="B18:C18"/>
    <mergeCell ref="K11:K12"/>
    <mergeCell ref="B12:C12"/>
    <mergeCell ref="B13:D13"/>
    <mergeCell ref="E13:E14"/>
    <mergeCell ref="F13:F14"/>
    <mergeCell ref="G13:G14"/>
    <mergeCell ref="H13:H14"/>
    <mergeCell ref="I13:I14"/>
    <mergeCell ref="J13:J14"/>
    <mergeCell ref="K13:K14"/>
    <mergeCell ref="B14:C14"/>
    <mergeCell ref="B11:D11"/>
    <mergeCell ref="E11:E12"/>
    <mergeCell ref="F11:F12"/>
    <mergeCell ref="G11:G12"/>
    <mergeCell ref="H11:H12"/>
    <mergeCell ref="I11:I12"/>
    <mergeCell ref="J11:J12"/>
    <mergeCell ref="K7:K8"/>
    <mergeCell ref="B8:C8"/>
    <mergeCell ref="B9:D9"/>
    <mergeCell ref="E9:E10"/>
    <mergeCell ref="F9:F10"/>
    <mergeCell ref="G9:G10"/>
    <mergeCell ref="H9:H10"/>
    <mergeCell ref="I9:I10"/>
    <mergeCell ref="J9:J10"/>
    <mergeCell ref="K9:K10"/>
    <mergeCell ref="B7:D7"/>
    <mergeCell ref="E7:E8"/>
    <mergeCell ref="F7:F8"/>
    <mergeCell ref="G7:G8"/>
    <mergeCell ref="H7:H8"/>
    <mergeCell ref="I7:I8"/>
    <mergeCell ref="J7:J8"/>
    <mergeCell ref="B10:C10"/>
    <mergeCell ref="B1:AC1"/>
    <mergeCell ref="B5:D5"/>
    <mergeCell ref="E5:E6"/>
    <mergeCell ref="F5:F6"/>
    <mergeCell ref="G5:H5"/>
    <mergeCell ref="I5:J5"/>
    <mergeCell ref="L5:N5"/>
    <mergeCell ref="O5:P5"/>
    <mergeCell ref="R5:S5"/>
    <mergeCell ref="U5:V5"/>
    <mergeCell ref="X5:Y5"/>
    <mergeCell ref="AA5:AB5"/>
    <mergeCell ref="B6:C6"/>
  </mergeCells>
  <phoneticPr fontId="100" type="noConversion"/>
  <printOptions horizontalCentered="1"/>
  <pageMargins left="0.31496062992125984" right="0.31496062992125984" top="0.31496062992125984" bottom="0.31496062992125984" header="0" footer="0"/>
  <pageSetup paperSize="9" scale="56" orientation="landscape" r:id="rId1"/>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66FF"/>
    <pageSetUpPr fitToPage="1"/>
  </sheetPr>
  <dimension ref="A1:Q47"/>
  <sheetViews>
    <sheetView zoomScaleNormal="100" workbookViewId="0">
      <selection activeCell="B1" sqref="B1:P1"/>
    </sheetView>
  </sheetViews>
  <sheetFormatPr defaultRowHeight="18" customHeight="1"/>
  <cols>
    <col min="1" max="1" width="1" style="3" customWidth="1"/>
    <col min="2" max="2" width="11.125" style="3" customWidth="1"/>
    <col min="3" max="3" width="11.125" style="2" customWidth="1"/>
    <col min="4" max="6" width="10.625" style="2" customWidth="1"/>
    <col min="7" max="9" width="10.625" style="3" customWidth="1"/>
    <col min="10" max="10" width="8.875" style="3" customWidth="1"/>
    <col min="11" max="11" width="10.75" style="3" customWidth="1"/>
    <col min="12" max="12" width="12" style="3" customWidth="1"/>
    <col min="13" max="16" width="10.75" style="3" customWidth="1"/>
    <col min="17" max="17" width="9.125" style="3" customWidth="1"/>
    <col min="18" max="18" width="8.625" style="3" customWidth="1"/>
    <col min="19" max="25" width="9" style="3"/>
    <col min="26" max="26" width="11.5" style="3" bestFit="1" customWidth="1"/>
    <col min="27" max="16384" width="9" style="3"/>
  </cols>
  <sheetData>
    <row r="1" spans="1:17" s="128" customFormat="1" ht="30" customHeight="1" thickBot="1">
      <c r="A1" s="314"/>
      <c r="B1" s="1082" t="s">
        <v>1705</v>
      </c>
      <c r="C1" s="1082"/>
      <c r="D1" s="1082"/>
      <c r="E1" s="1082"/>
      <c r="F1" s="1082"/>
      <c r="G1" s="1082"/>
      <c r="H1" s="1082"/>
      <c r="I1" s="1082"/>
      <c r="J1" s="1082"/>
      <c r="K1" s="1082"/>
      <c r="L1" s="1082"/>
      <c r="M1" s="1082"/>
      <c r="N1" s="1082"/>
      <c r="O1" s="1082"/>
      <c r="P1" s="1082"/>
    </row>
    <row r="2" spans="1:17" s="2" customFormat="1" ht="18" customHeight="1" thickTop="1">
      <c r="B2" s="1"/>
      <c r="C2" s="1"/>
      <c r="F2" s="3"/>
      <c r="G2" s="3"/>
      <c r="H2" s="3"/>
      <c r="I2" s="3"/>
      <c r="J2" s="3"/>
    </row>
    <row r="3" spans="1:17" s="6" customFormat="1" ht="18" customHeight="1" thickBot="1">
      <c r="B3" s="4" t="s">
        <v>456</v>
      </c>
      <c r="C3" s="5"/>
      <c r="D3" s="5"/>
      <c r="E3" s="5"/>
    </row>
    <row r="4" spans="1:17" s="9" customFormat="1" ht="18" customHeight="1">
      <c r="B4" s="1853" t="s">
        <v>457</v>
      </c>
      <c r="C4" s="1854"/>
      <c r="D4" s="1303" t="s">
        <v>458</v>
      </c>
      <c r="E4" s="1304"/>
      <c r="F4" s="1304"/>
      <c r="G4" s="1304"/>
      <c r="H4" s="1304"/>
      <c r="I4" s="1304"/>
      <c r="J4" s="1304"/>
      <c r="K4" s="1304"/>
      <c r="L4" s="1304"/>
      <c r="M4" s="1304"/>
      <c r="N4" s="1304"/>
      <c r="O4" s="1304"/>
      <c r="P4" s="1305"/>
    </row>
    <row r="5" spans="1:17" s="9" customFormat="1" ht="18" customHeight="1">
      <c r="B5" s="1867" t="s">
        <v>474</v>
      </c>
      <c r="C5" s="1868"/>
      <c r="D5" s="2046" t="s">
        <v>475</v>
      </c>
      <c r="E5" s="2047"/>
      <c r="F5" s="2047"/>
      <c r="G5" s="2047"/>
      <c r="H5" s="2047"/>
      <c r="I5" s="2047"/>
      <c r="J5" s="2047"/>
      <c r="K5" s="2047"/>
      <c r="L5" s="2047"/>
      <c r="M5" s="2047"/>
      <c r="N5" s="2047"/>
      <c r="O5" s="2047"/>
      <c r="P5" s="2048"/>
    </row>
    <row r="6" spans="1:17" s="9" customFormat="1" ht="18" customHeight="1">
      <c r="B6" s="1306" t="s">
        <v>476</v>
      </c>
      <c r="C6" s="1307"/>
      <c r="D6" s="1858" t="s">
        <v>477</v>
      </c>
      <c r="E6" s="1859"/>
      <c r="F6" s="1859"/>
      <c r="G6" s="1859"/>
      <c r="H6" s="1859"/>
      <c r="I6" s="1859"/>
      <c r="J6" s="1859"/>
      <c r="K6" s="1859"/>
      <c r="L6" s="1859"/>
      <c r="M6" s="1859"/>
      <c r="N6" s="1859"/>
      <c r="O6" s="1859"/>
      <c r="P6" s="2045"/>
    </row>
    <row r="7" spans="1:17" s="9" customFormat="1" ht="18" customHeight="1" thickBot="1">
      <c r="B7" s="1874" t="s">
        <v>478</v>
      </c>
      <c r="C7" s="1875"/>
      <c r="D7" s="1876" t="s">
        <v>479</v>
      </c>
      <c r="E7" s="1877"/>
      <c r="F7" s="1877"/>
      <c r="G7" s="1877"/>
      <c r="H7" s="1877"/>
      <c r="I7" s="1877"/>
      <c r="J7" s="1877"/>
      <c r="K7" s="1877"/>
      <c r="L7" s="1877"/>
      <c r="M7" s="1877"/>
      <c r="N7" s="1877"/>
      <c r="O7" s="1877"/>
      <c r="P7" s="2055"/>
    </row>
    <row r="8" spans="1:17" s="6" customFormat="1" ht="18" customHeight="1">
      <c r="C8" s="5"/>
      <c r="D8" s="5"/>
      <c r="E8" s="9"/>
      <c r="F8" s="9"/>
      <c r="G8" s="9"/>
      <c r="H8" s="9"/>
      <c r="I8" s="9"/>
      <c r="J8" s="9"/>
      <c r="K8" s="9"/>
      <c r="L8" s="9"/>
      <c r="M8" s="9"/>
      <c r="N8" s="9"/>
      <c r="O8" s="9"/>
      <c r="P8" s="9"/>
      <c r="Q8" s="9"/>
    </row>
    <row r="9" spans="1:17" s="6" customFormat="1" ht="18" customHeight="1" thickBot="1">
      <c r="B9" s="4" t="s">
        <v>460</v>
      </c>
      <c r="C9" s="5"/>
      <c r="D9" s="5"/>
      <c r="E9" s="5"/>
    </row>
    <row r="10" spans="1:17" s="9" customFormat="1" ht="18" customHeight="1">
      <c r="B10" s="1853" t="s">
        <v>461</v>
      </c>
      <c r="C10" s="1854"/>
      <c r="D10" s="1303" t="s">
        <v>462</v>
      </c>
      <c r="E10" s="1304"/>
      <c r="F10" s="1304"/>
      <c r="G10" s="1304"/>
      <c r="H10" s="1304"/>
      <c r="I10" s="1304"/>
      <c r="J10" s="1304"/>
      <c r="K10" s="1304"/>
      <c r="L10" s="1304"/>
      <c r="M10" s="1304"/>
      <c r="N10" s="1304"/>
      <c r="O10" s="1304"/>
      <c r="P10" s="1305"/>
    </row>
    <row r="11" spans="1:17" s="9" customFormat="1" ht="18" customHeight="1">
      <c r="B11" s="2056" t="s">
        <v>480</v>
      </c>
      <c r="C11" s="1868"/>
      <c r="D11" s="2057" t="s">
        <v>481</v>
      </c>
      <c r="E11" s="2058"/>
      <c r="F11" s="2058"/>
      <c r="G11" s="2058"/>
      <c r="H11" s="2058"/>
      <c r="I11" s="2058"/>
      <c r="J11" s="2058"/>
      <c r="K11" s="2058"/>
      <c r="L11" s="2058"/>
      <c r="M11" s="2058"/>
      <c r="N11" s="2058"/>
      <c r="O11" s="2058"/>
      <c r="P11" s="2059"/>
    </row>
    <row r="12" spans="1:17" s="9" customFormat="1" ht="18" customHeight="1">
      <c r="B12" s="1867"/>
      <c r="C12" s="1868"/>
      <c r="D12" s="2060"/>
      <c r="E12" s="2061"/>
      <c r="F12" s="2061"/>
      <c r="G12" s="2061"/>
      <c r="H12" s="2061"/>
      <c r="I12" s="2061"/>
      <c r="J12" s="2061"/>
      <c r="K12" s="2061"/>
      <c r="L12" s="2061"/>
      <c r="M12" s="2061"/>
      <c r="N12" s="2061"/>
      <c r="O12" s="2061"/>
      <c r="P12" s="2062"/>
    </row>
    <row r="13" spans="1:17" s="9" customFormat="1" ht="18" customHeight="1">
      <c r="B13" s="2063" t="s">
        <v>482</v>
      </c>
      <c r="C13" s="2064"/>
      <c r="D13" s="2069" t="s">
        <v>483</v>
      </c>
      <c r="E13" s="2070"/>
      <c r="F13" s="2070"/>
      <c r="G13" s="2070"/>
      <c r="H13" s="2070"/>
      <c r="I13" s="2070"/>
      <c r="J13" s="2070"/>
      <c r="K13" s="2070"/>
      <c r="L13" s="2070"/>
      <c r="M13" s="2070"/>
      <c r="N13" s="2070"/>
      <c r="O13" s="2070"/>
      <c r="P13" s="2071"/>
    </row>
    <row r="14" spans="1:17" s="9" customFormat="1" ht="18" customHeight="1">
      <c r="B14" s="2065"/>
      <c r="C14" s="2066"/>
      <c r="D14" s="2072"/>
      <c r="E14" s="2073"/>
      <c r="F14" s="2073"/>
      <c r="G14" s="2073"/>
      <c r="H14" s="2073"/>
      <c r="I14" s="2073"/>
      <c r="J14" s="2073"/>
      <c r="K14" s="2073"/>
      <c r="L14" s="2073"/>
      <c r="M14" s="2073"/>
      <c r="N14" s="2073"/>
      <c r="O14" s="2073"/>
      <c r="P14" s="2074"/>
    </row>
    <row r="15" spans="1:17" s="9" customFormat="1" ht="18" customHeight="1" thickBot="1">
      <c r="B15" s="2067"/>
      <c r="C15" s="2068"/>
      <c r="D15" s="2075"/>
      <c r="E15" s="2076"/>
      <c r="F15" s="2076"/>
      <c r="G15" s="2076"/>
      <c r="H15" s="2076"/>
      <c r="I15" s="2076"/>
      <c r="J15" s="2076"/>
      <c r="K15" s="2076"/>
      <c r="L15" s="2076"/>
      <c r="M15" s="2076"/>
      <c r="N15" s="2076"/>
      <c r="O15" s="2076"/>
      <c r="P15" s="2077"/>
    </row>
    <row r="16" spans="1:17" s="6" customFormat="1" ht="18" customHeight="1">
      <c r="B16" s="850"/>
      <c r="C16" s="857"/>
      <c r="D16" s="857"/>
      <c r="E16" s="5"/>
    </row>
    <row r="17" spans="2:16" s="5" customFormat="1" ht="18" customHeight="1" thickBot="1">
      <c r="B17" s="4" t="s">
        <v>463</v>
      </c>
      <c r="E17" s="10"/>
      <c r="F17" s="6"/>
      <c r="G17" s="6"/>
      <c r="H17" s="6"/>
      <c r="I17" s="6"/>
      <c r="J17" s="6"/>
    </row>
    <row r="18" spans="2:16" s="9" customFormat="1" ht="18" customHeight="1">
      <c r="B18" s="1853" t="s">
        <v>461</v>
      </c>
      <c r="C18" s="1854"/>
      <c r="D18" s="1303" t="s">
        <v>464</v>
      </c>
      <c r="E18" s="1304"/>
      <c r="F18" s="1304"/>
      <c r="G18" s="1304"/>
      <c r="H18" s="1304"/>
      <c r="I18" s="1304"/>
      <c r="J18" s="1854" t="s">
        <v>465</v>
      </c>
      <c r="K18" s="1854"/>
      <c r="L18" s="1854"/>
      <c r="M18" s="1854"/>
      <c r="N18" s="1854"/>
      <c r="O18" s="1854"/>
      <c r="P18" s="1855"/>
    </row>
    <row r="19" spans="2:16" s="9" customFormat="1" ht="18" customHeight="1">
      <c r="B19" s="1867" t="s">
        <v>484</v>
      </c>
      <c r="C19" s="1885"/>
      <c r="D19" s="2049" t="s">
        <v>485</v>
      </c>
      <c r="E19" s="1971"/>
      <c r="F19" s="1971"/>
      <c r="G19" s="1971"/>
      <c r="H19" s="1971"/>
      <c r="I19" s="1971"/>
      <c r="J19" s="2052"/>
      <c r="K19" s="2052"/>
      <c r="L19" s="2052"/>
      <c r="M19" s="2052"/>
      <c r="N19" s="2052"/>
      <c r="O19" s="2052"/>
      <c r="P19" s="2053"/>
    </row>
    <row r="20" spans="2:16" s="9" customFormat="1" ht="18" customHeight="1">
      <c r="B20" s="1867"/>
      <c r="C20" s="1885"/>
      <c r="D20" s="2050"/>
      <c r="E20" s="2051"/>
      <c r="F20" s="2051"/>
      <c r="G20" s="2051"/>
      <c r="H20" s="2051"/>
      <c r="I20" s="2051"/>
      <c r="J20" s="2052"/>
      <c r="K20" s="2052"/>
      <c r="L20" s="2052"/>
      <c r="M20" s="2054"/>
      <c r="N20" s="2054"/>
      <c r="O20" s="2054"/>
      <c r="P20" s="2053"/>
    </row>
    <row r="21" spans="2:16" s="9" customFormat="1" ht="18" customHeight="1">
      <c r="B21" s="2056" t="s">
        <v>486</v>
      </c>
      <c r="C21" s="1885"/>
      <c r="D21" s="2049" t="s">
        <v>487</v>
      </c>
      <c r="E21" s="1971"/>
      <c r="F21" s="1971"/>
      <c r="G21" s="1971"/>
      <c r="H21" s="1971"/>
      <c r="I21" s="1971"/>
      <c r="J21" s="2052"/>
      <c r="K21" s="2052"/>
      <c r="L21" s="2052"/>
      <c r="M21" s="2052"/>
      <c r="N21" s="2052"/>
      <c r="O21" s="2052"/>
      <c r="P21" s="2053"/>
    </row>
    <row r="22" spans="2:16" s="9" customFormat="1" ht="18" customHeight="1" thickBot="1">
      <c r="B22" s="1867"/>
      <c r="C22" s="1885"/>
      <c r="D22" s="2050"/>
      <c r="E22" s="2051"/>
      <c r="F22" s="2051"/>
      <c r="G22" s="2051"/>
      <c r="H22" s="2051"/>
      <c r="I22" s="2051"/>
      <c r="J22" s="2052"/>
      <c r="K22" s="2052"/>
      <c r="L22" s="2052"/>
      <c r="M22" s="2054"/>
      <c r="N22" s="2054"/>
      <c r="O22" s="2054"/>
      <c r="P22" s="2053"/>
    </row>
    <row r="23" spans="2:16" s="9" customFormat="1" ht="18" customHeight="1">
      <c r="B23" s="1306" t="s">
        <v>488</v>
      </c>
      <c r="C23" s="1307"/>
      <c r="D23" s="2002" t="s">
        <v>489</v>
      </c>
      <c r="E23" s="2006"/>
      <c r="F23" s="2006"/>
      <c r="G23" s="2006"/>
      <c r="H23" s="2006"/>
      <c r="I23" s="2006"/>
      <c r="J23" s="2078" t="s">
        <v>490</v>
      </c>
      <c r="K23" s="2079"/>
      <c r="L23" s="851" t="s">
        <v>491</v>
      </c>
      <c r="M23" s="223" t="s">
        <v>492</v>
      </c>
      <c r="N23" s="852" t="s">
        <v>493</v>
      </c>
      <c r="O23" s="852" t="s">
        <v>494</v>
      </c>
      <c r="P23" s="236" t="s">
        <v>495</v>
      </c>
    </row>
    <row r="24" spans="2:16" s="9" customFormat="1" ht="18" customHeight="1" thickBot="1">
      <c r="B24" s="1891"/>
      <c r="C24" s="1912"/>
      <c r="D24" s="2011"/>
      <c r="E24" s="2012"/>
      <c r="F24" s="2012"/>
      <c r="G24" s="2012"/>
      <c r="H24" s="2012"/>
      <c r="I24" s="2012"/>
      <c r="J24" s="2080"/>
      <c r="K24" s="2081"/>
      <c r="L24" s="549" t="s">
        <v>37</v>
      </c>
      <c r="M24" s="224">
        <v>0.32</v>
      </c>
      <c r="N24" s="407">
        <v>0.3</v>
      </c>
      <c r="O24" s="407">
        <v>0.27</v>
      </c>
      <c r="P24" s="162">
        <v>0.24</v>
      </c>
    </row>
    <row r="25" spans="2:16" s="9" customFormat="1" ht="18" customHeight="1">
      <c r="B25" s="1867" t="s">
        <v>496</v>
      </c>
      <c r="C25" s="1868"/>
      <c r="D25" s="2082" t="s">
        <v>497</v>
      </c>
      <c r="E25" s="2083"/>
      <c r="F25" s="2083"/>
      <c r="G25" s="2083"/>
      <c r="H25" s="2083"/>
      <c r="I25" s="2083"/>
      <c r="J25" s="851" t="s">
        <v>498</v>
      </c>
      <c r="K25" s="832" t="s">
        <v>499</v>
      </c>
      <c r="L25" s="833" t="s">
        <v>500</v>
      </c>
      <c r="M25" s="496" t="s">
        <v>501</v>
      </c>
      <c r="N25" s="130" t="s">
        <v>502</v>
      </c>
      <c r="O25" s="130" t="s">
        <v>503</v>
      </c>
      <c r="P25" s="237" t="s">
        <v>504</v>
      </c>
    </row>
    <row r="26" spans="2:16" s="9" customFormat="1" ht="18" customHeight="1" thickBot="1">
      <c r="B26" s="1867"/>
      <c r="C26" s="1868"/>
      <c r="D26" s="2084"/>
      <c r="E26" s="2085"/>
      <c r="F26" s="2085"/>
      <c r="G26" s="2085"/>
      <c r="H26" s="2085"/>
      <c r="I26" s="2085"/>
      <c r="J26" s="851" t="s">
        <v>37</v>
      </c>
      <c r="K26" s="869">
        <v>0.15</v>
      </c>
      <c r="L26" s="870">
        <v>0.125</v>
      </c>
      <c r="M26" s="493">
        <v>0.1</v>
      </c>
      <c r="N26" s="493">
        <v>7.4999999999999997E-2</v>
      </c>
      <c r="O26" s="494">
        <v>0.05</v>
      </c>
      <c r="P26" s="495">
        <v>0</v>
      </c>
    </row>
    <row r="27" spans="2:16" s="9" customFormat="1" ht="18" customHeight="1">
      <c r="B27" s="1889" t="s">
        <v>505</v>
      </c>
      <c r="C27" s="1307"/>
      <c r="D27" s="2082" t="s">
        <v>506</v>
      </c>
      <c r="E27" s="2083"/>
      <c r="F27" s="2083"/>
      <c r="G27" s="2083"/>
      <c r="H27" s="2083"/>
      <c r="I27" s="2086"/>
      <c r="J27" s="851" t="s">
        <v>507</v>
      </c>
      <c r="K27" s="2088" t="s">
        <v>508</v>
      </c>
      <c r="L27" s="2089"/>
      <c r="M27" s="2111" t="s">
        <v>509</v>
      </c>
      <c r="N27" s="2112"/>
      <c r="O27" s="2090" t="s">
        <v>510</v>
      </c>
      <c r="P27" s="2091"/>
    </row>
    <row r="28" spans="2:16" s="9" customFormat="1" ht="18" customHeight="1" thickBot="1">
      <c r="B28" s="1856"/>
      <c r="C28" s="1857"/>
      <c r="D28" s="2084"/>
      <c r="E28" s="2085"/>
      <c r="F28" s="2085"/>
      <c r="G28" s="2085"/>
      <c r="H28" s="2085"/>
      <c r="I28" s="2087"/>
      <c r="J28" s="851" t="s">
        <v>511</v>
      </c>
      <c r="K28" s="2092" t="s">
        <v>512</v>
      </c>
      <c r="L28" s="2093"/>
      <c r="M28" s="2094" t="s">
        <v>513</v>
      </c>
      <c r="N28" s="2095"/>
      <c r="O28" s="2096" t="s">
        <v>514</v>
      </c>
      <c r="P28" s="2097"/>
    </row>
    <row r="29" spans="2:16" s="9" customFormat="1" ht="18" customHeight="1">
      <c r="B29" s="2098" t="s">
        <v>515</v>
      </c>
      <c r="C29" s="2099"/>
      <c r="D29" s="1978" t="s">
        <v>516</v>
      </c>
      <c r="E29" s="2104"/>
      <c r="F29" s="2104"/>
      <c r="G29" s="2104"/>
      <c r="H29" s="2104"/>
      <c r="I29" s="2104"/>
      <c r="J29" s="2105" t="s">
        <v>517</v>
      </c>
      <c r="K29" s="2105"/>
      <c r="L29" s="2105"/>
      <c r="M29" s="2105"/>
      <c r="N29" s="2105"/>
      <c r="O29" s="2105"/>
      <c r="P29" s="2106"/>
    </row>
    <row r="30" spans="2:16" s="9" customFormat="1" ht="18" customHeight="1">
      <c r="B30" s="2100"/>
      <c r="C30" s="2101"/>
      <c r="D30" s="1978"/>
      <c r="E30" s="2104"/>
      <c r="F30" s="2104"/>
      <c r="G30" s="2104"/>
      <c r="H30" s="2104"/>
      <c r="I30" s="2104"/>
      <c r="J30" s="2107"/>
      <c r="K30" s="2107"/>
      <c r="L30" s="2107"/>
      <c r="M30" s="2107"/>
      <c r="N30" s="2107"/>
      <c r="O30" s="2107"/>
      <c r="P30" s="2108"/>
    </row>
    <row r="31" spans="2:16" s="9" customFormat="1" ht="18" customHeight="1" thickBot="1">
      <c r="B31" s="2102"/>
      <c r="C31" s="2103"/>
      <c r="D31" s="1973"/>
      <c r="E31" s="1974"/>
      <c r="F31" s="1974"/>
      <c r="G31" s="1974"/>
      <c r="H31" s="1974"/>
      <c r="I31" s="1974"/>
      <c r="J31" s="2109"/>
      <c r="K31" s="2109"/>
      <c r="L31" s="2109"/>
      <c r="M31" s="2109"/>
      <c r="N31" s="2109"/>
      <c r="O31" s="2109"/>
      <c r="P31" s="2110"/>
    </row>
    <row r="32" spans="2:16" s="6" customFormat="1" ht="18" customHeight="1">
      <c r="B32" s="492"/>
      <c r="D32" s="5"/>
      <c r="E32" s="5"/>
      <c r="F32" s="5"/>
    </row>
    <row r="33" spans="2:16" s="6" customFormat="1" ht="18" customHeight="1">
      <c r="B33" s="492"/>
      <c r="C33" s="5"/>
      <c r="D33" s="5"/>
      <c r="E33" s="5"/>
      <c r="F33" s="5"/>
      <c r="K33" s="3"/>
      <c r="L33" s="3"/>
      <c r="M33" s="3"/>
      <c r="N33" s="3"/>
      <c r="O33" s="3"/>
      <c r="P33" s="3"/>
    </row>
    <row r="47" spans="2:16" ht="18" customHeight="1">
      <c r="B47" s="131"/>
      <c r="C47" s="132"/>
      <c r="D47" s="3"/>
      <c r="E47" s="3"/>
      <c r="F47" s="3"/>
    </row>
  </sheetData>
  <mergeCells count="40">
    <mergeCell ref="O27:P27"/>
    <mergeCell ref="K28:L28"/>
    <mergeCell ref="M28:N28"/>
    <mergeCell ref="O28:P28"/>
    <mergeCell ref="B29:C31"/>
    <mergeCell ref="D29:I31"/>
    <mergeCell ref="J29:P31"/>
    <mergeCell ref="M27:N27"/>
    <mergeCell ref="B25:C26"/>
    <mergeCell ref="D25:I26"/>
    <mergeCell ref="B27:C28"/>
    <mergeCell ref="D27:I28"/>
    <mergeCell ref="K27:L27"/>
    <mergeCell ref="B21:C22"/>
    <mergeCell ref="D21:I22"/>
    <mergeCell ref="J21:P22"/>
    <mergeCell ref="B23:C24"/>
    <mergeCell ref="D23:I24"/>
    <mergeCell ref="J23:K24"/>
    <mergeCell ref="B19:C20"/>
    <mergeCell ref="D19:I20"/>
    <mergeCell ref="J19:P20"/>
    <mergeCell ref="B7:C7"/>
    <mergeCell ref="D7:P7"/>
    <mergeCell ref="B10:C10"/>
    <mergeCell ref="D10:P10"/>
    <mergeCell ref="B11:C12"/>
    <mergeCell ref="D11:P12"/>
    <mergeCell ref="B13:C15"/>
    <mergeCell ref="D13:P15"/>
    <mergeCell ref="B18:C18"/>
    <mergeCell ref="D18:I18"/>
    <mergeCell ref="J18:P18"/>
    <mergeCell ref="B6:C6"/>
    <mergeCell ref="D6:P6"/>
    <mergeCell ref="B1:P1"/>
    <mergeCell ref="B4:C4"/>
    <mergeCell ref="D4:P4"/>
    <mergeCell ref="B5:C5"/>
    <mergeCell ref="D5:P5"/>
  </mergeCells>
  <phoneticPr fontId="100" type="noConversion"/>
  <pageMargins left="0.31496062992125984" right="0.31496062992125984" top="0.31496062992125984" bottom="0.31496062992125984" header="0" footer="0"/>
  <pageSetup paperSize="9" scale="85"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45"/>
  <sheetViews>
    <sheetView zoomScaleNormal="100" workbookViewId="0">
      <selection activeCell="B1" sqref="B1:AF1"/>
    </sheetView>
  </sheetViews>
  <sheetFormatPr defaultRowHeight="18" customHeight="1"/>
  <cols>
    <col min="1" max="1" width="1" style="3" customWidth="1"/>
    <col min="2" max="2" width="8.125" style="3" customWidth="1"/>
    <col min="3" max="4" width="8.125" style="571" customWidth="1"/>
    <col min="5" max="5" width="8.125" style="572" customWidth="1"/>
    <col min="6" max="7" width="7.625" style="2" customWidth="1"/>
    <col min="8" max="32" width="7.625" style="3" customWidth="1"/>
    <col min="33" max="16384" width="9" style="3"/>
  </cols>
  <sheetData>
    <row r="1" spans="1:32" ht="30" customHeight="1" thickBot="1">
      <c r="B1" s="1082" t="s">
        <v>1704</v>
      </c>
      <c r="C1" s="1082"/>
      <c r="D1" s="1082"/>
      <c r="E1" s="1082"/>
      <c r="F1" s="1082"/>
      <c r="G1" s="1082"/>
      <c r="H1" s="1082"/>
      <c r="I1" s="1082"/>
      <c r="J1" s="1082"/>
      <c r="K1" s="1082"/>
      <c r="L1" s="1082"/>
      <c r="M1" s="1082"/>
      <c r="N1" s="1082"/>
      <c r="O1" s="1082"/>
      <c r="P1" s="1082"/>
      <c r="Q1" s="1082"/>
      <c r="R1" s="1082"/>
      <c r="S1" s="1082"/>
      <c r="T1" s="1082"/>
      <c r="U1" s="1082"/>
      <c r="V1" s="1082"/>
      <c r="W1" s="1082"/>
      <c r="X1" s="1082"/>
      <c r="Y1" s="1082"/>
      <c r="Z1" s="1082"/>
      <c r="AA1" s="1082"/>
      <c r="AB1" s="1082"/>
      <c r="AC1" s="1082"/>
      <c r="AD1" s="1082"/>
      <c r="AE1" s="1082"/>
      <c r="AF1" s="1082"/>
    </row>
    <row r="2" spans="1:32" s="2" customFormat="1" ht="18" customHeight="1" thickTop="1" thickBot="1">
      <c r="A2" s="5"/>
      <c r="B2" s="35"/>
      <c r="C2" s="553"/>
      <c r="D2" s="553"/>
      <c r="E2" s="553"/>
      <c r="F2" s="35"/>
      <c r="G2" s="35"/>
      <c r="H2" s="35"/>
      <c r="I2" s="35"/>
      <c r="J2" s="35"/>
      <c r="K2" s="35"/>
      <c r="L2" s="5"/>
      <c r="M2" s="5"/>
      <c r="N2" s="5"/>
      <c r="O2" s="5"/>
      <c r="P2" s="5"/>
      <c r="Q2" s="6"/>
      <c r="R2" s="6"/>
      <c r="S2" s="6"/>
      <c r="T2" s="6"/>
      <c r="U2" s="6"/>
      <c r="V2" s="6"/>
      <c r="W2" s="6"/>
      <c r="X2" s="5"/>
      <c r="Y2" s="5"/>
      <c r="Z2" s="5"/>
      <c r="AA2" s="5"/>
      <c r="AB2" s="5"/>
      <c r="AC2" s="5"/>
      <c r="AD2" s="5"/>
      <c r="AE2" s="5"/>
      <c r="AF2" s="5"/>
    </row>
    <row r="3" spans="1:32" s="6" customFormat="1" ht="18" customHeight="1">
      <c r="A3" s="855"/>
      <c r="B3" s="2113" t="s">
        <v>518</v>
      </c>
      <c r="C3" s="2114"/>
      <c r="D3" s="2114"/>
      <c r="E3" s="2115"/>
      <c r="F3" s="2116" t="s">
        <v>519</v>
      </c>
      <c r="G3" s="1955" t="s">
        <v>520</v>
      </c>
      <c r="H3" s="1953"/>
      <c r="I3" s="853" t="s">
        <v>521</v>
      </c>
      <c r="J3" s="853" t="s">
        <v>522</v>
      </c>
      <c r="K3" s="1955" t="s">
        <v>523</v>
      </c>
      <c r="L3" s="1953"/>
      <c r="M3" s="871">
        <v>0.15</v>
      </c>
      <c r="N3" s="872" t="s">
        <v>524</v>
      </c>
      <c r="O3" s="1952" t="s">
        <v>525</v>
      </c>
      <c r="P3" s="1953"/>
      <c r="Q3" s="2118"/>
      <c r="R3" s="1959" t="s">
        <v>526</v>
      </c>
      <c r="S3" s="1958"/>
      <c r="T3" s="854">
        <v>0.93</v>
      </c>
      <c r="U3" s="1959" t="s">
        <v>527</v>
      </c>
      <c r="V3" s="1958"/>
      <c r="W3" s="858">
        <v>0.86</v>
      </c>
      <c r="X3" s="1959" t="s">
        <v>245</v>
      </c>
      <c r="Y3" s="1958"/>
      <c r="Z3" s="858">
        <v>0.83</v>
      </c>
      <c r="AA3" s="1959" t="s">
        <v>528</v>
      </c>
      <c r="AB3" s="1958"/>
      <c r="AC3" s="854">
        <v>0.75</v>
      </c>
      <c r="AD3" s="1960" t="s">
        <v>529</v>
      </c>
      <c r="AE3" s="1961"/>
      <c r="AF3" s="858">
        <v>0.7</v>
      </c>
    </row>
    <row r="4" spans="1:32" s="6" customFormat="1" ht="24.95" customHeight="1" thickBot="1">
      <c r="A4" s="855"/>
      <c r="B4" s="517" t="s">
        <v>459</v>
      </c>
      <c r="C4" s="554" t="s">
        <v>530</v>
      </c>
      <c r="D4" s="555" t="s">
        <v>531</v>
      </c>
      <c r="E4" s="556" t="s">
        <v>532</v>
      </c>
      <c r="F4" s="2117"/>
      <c r="G4" s="487" t="s">
        <v>533</v>
      </c>
      <c r="H4" s="557" t="s">
        <v>534</v>
      </c>
      <c r="I4" s="532" t="s">
        <v>535</v>
      </c>
      <c r="J4" s="533">
        <v>0.32</v>
      </c>
      <c r="K4" s="534" t="s">
        <v>536</v>
      </c>
      <c r="L4" s="532" t="s">
        <v>534</v>
      </c>
      <c r="M4" s="557" t="s">
        <v>537</v>
      </c>
      <c r="N4" s="557" t="s">
        <v>538</v>
      </c>
      <c r="O4" s="17" t="s">
        <v>467</v>
      </c>
      <c r="P4" s="867" t="s">
        <v>468</v>
      </c>
      <c r="Q4" s="19" t="s">
        <v>469</v>
      </c>
      <c r="R4" s="856" t="s">
        <v>467</v>
      </c>
      <c r="S4" s="867" t="s">
        <v>468</v>
      </c>
      <c r="T4" s="113" t="s">
        <v>469</v>
      </c>
      <c r="U4" s="17" t="s">
        <v>467</v>
      </c>
      <c r="V4" s="867" t="s">
        <v>468</v>
      </c>
      <c r="W4" s="19" t="s">
        <v>469</v>
      </c>
      <c r="X4" s="17" t="s">
        <v>467</v>
      </c>
      <c r="Y4" s="867" t="s">
        <v>468</v>
      </c>
      <c r="Z4" s="19" t="s">
        <v>469</v>
      </c>
      <c r="AA4" s="856" t="s">
        <v>467</v>
      </c>
      <c r="AB4" s="867" t="s">
        <v>468</v>
      </c>
      <c r="AC4" s="113" t="s">
        <v>469</v>
      </c>
      <c r="AD4" s="17" t="s">
        <v>467</v>
      </c>
      <c r="AE4" s="867" t="s">
        <v>468</v>
      </c>
      <c r="AF4" s="19" t="s">
        <v>469</v>
      </c>
    </row>
    <row r="5" spans="1:32" s="6" customFormat="1" ht="18" customHeight="1">
      <c r="A5" s="855"/>
      <c r="B5" s="2126" t="s">
        <v>539</v>
      </c>
      <c r="C5" s="2127"/>
      <c r="D5" s="2127"/>
      <c r="E5" s="2128"/>
      <c r="F5" s="2129">
        <v>1000</v>
      </c>
      <c r="G5" s="1938">
        <f>F5*C6*E6</f>
        <v>315</v>
      </c>
      <c r="H5" s="1938">
        <f>G5*11</f>
        <v>3465</v>
      </c>
      <c r="I5" s="1938">
        <f>F5*D6*E6*12</f>
        <v>0</v>
      </c>
      <c r="J5" s="1938">
        <f>(F5*12)*E6*$J$4</f>
        <v>4032</v>
      </c>
      <c r="K5" s="1938">
        <f>G5*$M$3</f>
        <v>47.25</v>
      </c>
      <c r="L5" s="1938">
        <f>H5*$M$3</f>
        <v>519.75</v>
      </c>
      <c r="M5" s="2124">
        <f>I5*$M$3</f>
        <v>0</v>
      </c>
      <c r="N5" s="1962" t="s">
        <v>540</v>
      </c>
      <c r="O5" s="114">
        <f>G5+J5+K5</f>
        <v>4394.25</v>
      </c>
      <c r="P5" s="188">
        <f>SUM(G5:H6,J5:L6)</f>
        <v>8379</v>
      </c>
      <c r="Q5" s="124">
        <f>SUM(G5:M6)</f>
        <v>8379</v>
      </c>
      <c r="R5" s="164">
        <f>O5*$T$3</f>
        <v>4086.6525000000001</v>
      </c>
      <c r="S5" s="188">
        <f>P5*$T$3</f>
        <v>7792.47</v>
      </c>
      <c r="T5" s="117">
        <f>Q5*$T$3</f>
        <v>7792.47</v>
      </c>
      <c r="U5" s="114">
        <f>O5*$W$3</f>
        <v>3779.0549999999998</v>
      </c>
      <c r="V5" s="188">
        <f>P5*$W$3</f>
        <v>7205.94</v>
      </c>
      <c r="W5" s="116">
        <f>Q5*$W$3</f>
        <v>7205.94</v>
      </c>
      <c r="X5" s="114">
        <f>O5*$Z$3</f>
        <v>3647.2275</v>
      </c>
      <c r="Y5" s="188">
        <f>P5*$Z$3</f>
        <v>6954.57</v>
      </c>
      <c r="Z5" s="116">
        <f>Q5*$Z$3</f>
        <v>6954.57</v>
      </c>
      <c r="AA5" s="164">
        <f>O5*$AC$3</f>
        <v>3295.6875</v>
      </c>
      <c r="AB5" s="188">
        <f>P5*$AC$3</f>
        <v>6284.25</v>
      </c>
      <c r="AC5" s="117">
        <f>Q5*$AC$3</f>
        <v>6284.25</v>
      </c>
      <c r="AD5" s="114">
        <f>O5*$AF$3</f>
        <v>3075.9749999999999</v>
      </c>
      <c r="AE5" s="188">
        <f>P5*$AF$3</f>
        <v>5865.2999999999993</v>
      </c>
      <c r="AF5" s="116">
        <f>Q5*$AF$3</f>
        <v>5865.2999999999993</v>
      </c>
    </row>
    <row r="6" spans="1:32" s="6" customFormat="1" ht="18" customHeight="1">
      <c r="A6" s="855"/>
      <c r="B6" s="535" t="s">
        <v>471</v>
      </c>
      <c r="C6" s="558">
        <v>0.3</v>
      </c>
      <c r="D6" s="559">
        <v>0</v>
      </c>
      <c r="E6" s="560">
        <v>1.05</v>
      </c>
      <c r="F6" s="2130"/>
      <c r="G6" s="1940"/>
      <c r="H6" s="1940"/>
      <c r="I6" s="1940"/>
      <c r="J6" s="1940"/>
      <c r="K6" s="1940"/>
      <c r="L6" s="1940"/>
      <c r="M6" s="1965"/>
      <c r="N6" s="1963"/>
      <c r="O6" s="289">
        <f t="shared" ref="O6:AF6" si="0">O5/$F5</f>
        <v>4.3942500000000004</v>
      </c>
      <c r="P6" s="488">
        <f t="shared" si="0"/>
        <v>8.3789999999999996</v>
      </c>
      <c r="Q6" s="536">
        <f t="shared" si="0"/>
        <v>8.3789999999999996</v>
      </c>
      <c r="R6" s="289">
        <f t="shared" si="0"/>
        <v>4.0866525000000005</v>
      </c>
      <c r="S6" s="488">
        <f t="shared" si="0"/>
        <v>7.7924700000000007</v>
      </c>
      <c r="T6" s="536">
        <f t="shared" si="0"/>
        <v>7.7924700000000007</v>
      </c>
      <c r="U6" s="289">
        <f>U5/$F5</f>
        <v>3.7790550000000001</v>
      </c>
      <c r="V6" s="488">
        <f>V5/$F5</f>
        <v>7.20594</v>
      </c>
      <c r="W6" s="536">
        <f>W5/$F5</f>
        <v>7.20594</v>
      </c>
      <c r="X6" s="289">
        <f t="shared" si="0"/>
        <v>3.6472275000000001</v>
      </c>
      <c r="Y6" s="488">
        <f t="shared" si="0"/>
        <v>6.9545699999999995</v>
      </c>
      <c r="Z6" s="536">
        <f t="shared" si="0"/>
        <v>6.9545699999999995</v>
      </c>
      <c r="AA6" s="289">
        <f t="shared" si="0"/>
        <v>3.2956875000000001</v>
      </c>
      <c r="AB6" s="488">
        <f t="shared" si="0"/>
        <v>6.2842500000000001</v>
      </c>
      <c r="AC6" s="536">
        <f t="shared" si="0"/>
        <v>6.2842500000000001</v>
      </c>
      <c r="AD6" s="289">
        <f t="shared" si="0"/>
        <v>3.0759750000000001</v>
      </c>
      <c r="AE6" s="488">
        <f t="shared" si="0"/>
        <v>5.8652999999999995</v>
      </c>
      <c r="AF6" s="536">
        <f t="shared" si="0"/>
        <v>5.8652999999999995</v>
      </c>
    </row>
    <row r="7" spans="1:32" s="6" customFormat="1" ht="18" customHeight="1">
      <c r="A7" s="855"/>
      <c r="B7" s="2119" t="s">
        <v>541</v>
      </c>
      <c r="C7" s="2120"/>
      <c r="D7" s="2120"/>
      <c r="E7" s="2121"/>
      <c r="F7" s="2122">
        <v>1000</v>
      </c>
      <c r="G7" s="1938">
        <f>F7*C8*E8</f>
        <v>360</v>
      </c>
      <c r="H7" s="1938">
        <f>G7*11</f>
        <v>3960</v>
      </c>
      <c r="I7" s="1938">
        <f>F7*D8*E8*12</f>
        <v>3312</v>
      </c>
      <c r="J7" s="1938">
        <f t="shared" ref="J7" si="1">(F7*12)*E8*$J$4</f>
        <v>4608</v>
      </c>
      <c r="K7" s="1938">
        <f>G7*$M$3</f>
        <v>54</v>
      </c>
      <c r="L7" s="1938">
        <f>H7*$M$3</f>
        <v>594</v>
      </c>
      <c r="M7" s="2124">
        <f>I7*$M$3</f>
        <v>496.79999999999995</v>
      </c>
      <c r="N7" s="2125" t="s">
        <v>540</v>
      </c>
      <c r="O7" s="114">
        <f>G7+J7+K7</f>
        <v>5022</v>
      </c>
      <c r="P7" s="188">
        <f>SUM(G7:H8,J7:L8)</f>
        <v>9576</v>
      </c>
      <c r="Q7" s="124">
        <f>SUM(G7:M8)</f>
        <v>13384.8</v>
      </c>
      <c r="R7" s="164">
        <f>O7*$T$3</f>
        <v>4670.46</v>
      </c>
      <c r="S7" s="188">
        <f>P7*$T$3</f>
        <v>8905.68</v>
      </c>
      <c r="T7" s="117">
        <f>Q7*$T$3</f>
        <v>12447.864</v>
      </c>
      <c r="U7" s="114">
        <f t="shared" ref="U7:W7" si="2">O7*$W$3</f>
        <v>4318.92</v>
      </c>
      <c r="V7" s="188">
        <f t="shared" si="2"/>
        <v>8235.36</v>
      </c>
      <c r="W7" s="116">
        <f t="shared" si="2"/>
        <v>11510.928</v>
      </c>
      <c r="X7" s="114">
        <f>O7*$Z$3</f>
        <v>4168.26</v>
      </c>
      <c r="Y7" s="188">
        <f>P7*$Z$3</f>
        <v>7948.08</v>
      </c>
      <c r="Z7" s="116">
        <f>Q7*$Z$3</f>
        <v>11109.383999999998</v>
      </c>
      <c r="AA7" s="164">
        <f>O7*$AC$3</f>
        <v>3766.5</v>
      </c>
      <c r="AB7" s="188">
        <f>P7*$AC$3</f>
        <v>7182</v>
      </c>
      <c r="AC7" s="117">
        <f>Q7*$AC$3</f>
        <v>10038.599999999999</v>
      </c>
      <c r="AD7" s="114">
        <f>O7*$AF$3</f>
        <v>3515.3999999999996</v>
      </c>
      <c r="AE7" s="188">
        <f>P7*$AF$3</f>
        <v>6703.2</v>
      </c>
      <c r="AF7" s="116">
        <f>Q7*$AF$3</f>
        <v>9369.3599999999988</v>
      </c>
    </row>
    <row r="8" spans="1:32" s="6" customFormat="1" ht="18" customHeight="1">
      <c r="A8" s="855"/>
      <c r="B8" s="535" t="s">
        <v>471</v>
      </c>
      <c r="C8" s="558">
        <v>0.3</v>
      </c>
      <c r="D8" s="682">
        <v>0.23</v>
      </c>
      <c r="E8" s="560">
        <v>1.2</v>
      </c>
      <c r="F8" s="2123"/>
      <c r="G8" s="1940"/>
      <c r="H8" s="1940"/>
      <c r="I8" s="1940"/>
      <c r="J8" s="1940"/>
      <c r="K8" s="1940"/>
      <c r="L8" s="1940"/>
      <c r="M8" s="1965"/>
      <c r="N8" s="1963"/>
      <c r="O8" s="289">
        <f t="shared" ref="O8:AF8" si="3">O7/$F7</f>
        <v>5.0220000000000002</v>
      </c>
      <c r="P8" s="488">
        <f t="shared" si="3"/>
        <v>9.5760000000000005</v>
      </c>
      <c r="Q8" s="536">
        <f t="shared" si="3"/>
        <v>13.384799999999998</v>
      </c>
      <c r="R8" s="289">
        <f t="shared" si="3"/>
        <v>4.6704600000000003</v>
      </c>
      <c r="S8" s="488">
        <f t="shared" si="3"/>
        <v>8.9056800000000003</v>
      </c>
      <c r="T8" s="536">
        <f t="shared" si="3"/>
        <v>12.447863999999999</v>
      </c>
      <c r="U8" s="289">
        <f t="shared" si="3"/>
        <v>4.3189200000000003</v>
      </c>
      <c r="V8" s="488">
        <f t="shared" si="3"/>
        <v>8.23536</v>
      </c>
      <c r="W8" s="536">
        <f t="shared" si="3"/>
        <v>11.510928</v>
      </c>
      <c r="X8" s="289">
        <f t="shared" si="3"/>
        <v>4.1682600000000001</v>
      </c>
      <c r="Y8" s="488">
        <f t="shared" si="3"/>
        <v>7.94808</v>
      </c>
      <c r="Z8" s="536">
        <f t="shared" si="3"/>
        <v>11.109383999999999</v>
      </c>
      <c r="AA8" s="289">
        <f t="shared" si="3"/>
        <v>3.7665000000000002</v>
      </c>
      <c r="AB8" s="488">
        <f t="shared" si="3"/>
        <v>7.1820000000000004</v>
      </c>
      <c r="AC8" s="536">
        <f t="shared" si="3"/>
        <v>10.038599999999999</v>
      </c>
      <c r="AD8" s="289">
        <f t="shared" si="3"/>
        <v>3.5153999999999996</v>
      </c>
      <c r="AE8" s="488">
        <f t="shared" si="3"/>
        <v>6.7031999999999998</v>
      </c>
      <c r="AF8" s="536">
        <f t="shared" si="3"/>
        <v>9.3693599999999986</v>
      </c>
    </row>
    <row r="9" spans="1:32" s="6" customFormat="1" ht="18" customHeight="1">
      <c r="A9" s="855"/>
      <c r="B9" s="2119" t="s">
        <v>542</v>
      </c>
      <c r="C9" s="2120"/>
      <c r="D9" s="2120"/>
      <c r="E9" s="2121"/>
      <c r="F9" s="2122">
        <v>1000</v>
      </c>
      <c r="G9" s="1938">
        <f>F9*C10*E10</f>
        <v>330</v>
      </c>
      <c r="H9" s="1938">
        <f>G9*11</f>
        <v>3630</v>
      </c>
      <c r="I9" s="1938">
        <f>F9*D10*E10*12</f>
        <v>0</v>
      </c>
      <c r="J9" s="1938">
        <f t="shared" ref="J9" si="4">(F9*12)*E10*$J$4</f>
        <v>4224.0000000000009</v>
      </c>
      <c r="K9" s="1938">
        <f>G9*$M$3</f>
        <v>49.5</v>
      </c>
      <c r="L9" s="1938">
        <f>H9*$M$3</f>
        <v>544.5</v>
      </c>
      <c r="M9" s="2124">
        <f>I9*$M$3</f>
        <v>0</v>
      </c>
      <c r="N9" s="2125" t="s">
        <v>543</v>
      </c>
      <c r="O9" s="114">
        <f>G9+J9+K9</f>
        <v>4603.5000000000009</v>
      </c>
      <c r="P9" s="188">
        <f>SUM(G9:H10,J9:L10)</f>
        <v>8778</v>
      </c>
      <c r="Q9" s="124">
        <f>SUM(G9:M10)</f>
        <v>8778</v>
      </c>
      <c r="R9" s="164">
        <f>O9*$T$3</f>
        <v>4281.255000000001</v>
      </c>
      <c r="S9" s="188">
        <f>P9*$T$3</f>
        <v>8163.5400000000009</v>
      </c>
      <c r="T9" s="117">
        <f>Q9*$T$3</f>
        <v>8163.5400000000009</v>
      </c>
      <c r="U9" s="114">
        <f t="shared" ref="U9:W9" si="5">O9*$W$3</f>
        <v>3959.0100000000007</v>
      </c>
      <c r="V9" s="188">
        <f t="shared" si="5"/>
        <v>7549.08</v>
      </c>
      <c r="W9" s="116">
        <f t="shared" si="5"/>
        <v>7549.08</v>
      </c>
      <c r="X9" s="114">
        <f>O9*$Z$3</f>
        <v>3820.9050000000007</v>
      </c>
      <c r="Y9" s="188">
        <f>P9*$Z$3</f>
        <v>7285.74</v>
      </c>
      <c r="Z9" s="116">
        <f>Q9*$Z$3</f>
        <v>7285.74</v>
      </c>
      <c r="AA9" s="164">
        <f>O9*$AC$3</f>
        <v>3452.6250000000009</v>
      </c>
      <c r="AB9" s="188">
        <f>P9*$AC$3</f>
        <v>6583.5</v>
      </c>
      <c r="AC9" s="117">
        <f>Q9*$AC$3</f>
        <v>6583.5</v>
      </c>
      <c r="AD9" s="114">
        <f>O9*$AF$3</f>
        <v>3222.4500000000003</v>
      </c>
      <c r="AE9" s="188">
        <f>P9*$AF$3</f>
        <v>6144.5999999999995</v>
      </c>
      <c r="AF9" s="116">
        <f>Q9*$AF$3</f>
        <v>6144.5999999999995</v>
      </c>
    </row>
    <row r="10" spans="1:32" s="6" customFormat="1" ht="18" customHeight="1">
      <c r="A10" s="855"/>
      <c r="B10" s="535" t="s">
        <v>31</v>
      </c>
      <c r="C10" s="558">
        <v>0.3</v>
      </c>
      <c r="D10" s="559">
        <v>0</v>
      </c>
      <c r="E10" s="560">
        <v>1.1000000000000001</v>
      </c>
      <c r="F10" s="2123"/>
      <c r="G10" s="1940"/>
      <c r="H10" s="1940"/>
      <c r="I10" s="1940"/>
      <c r="J10" s="1940"/>
      <c r="K10" s="1940"/>
      <c r="L10" s="1940"/>
      <c r="M10" s="1965"/>
      <c r="N10" s="1963"/>
      <c r="O10" s="289">
        <f t="shared" ref="O10:AF10" si="6">O9/$F9</f>
        <v>4.6035000000000013</v>
      </c>
      <c r="P10" s="488">
        <f t="shared" si="6"/>
        <v>8.7780000000000005</v>
      </c>
      <c r="Q10" s="536">
        <f t="shared" si="6"/>
        <v>8.7780000000000005</v>
      </c>
      <c r="R10" s="289">
        <f t="shared" si="6"/>
        <v>4.2812550000000007</v>
      </c>
      <c r="S10" s="488">
        <f t="shared" si="6"/>
        <v>8.1635400000000011</v>
      </c>
      <c r="T10" s="536">
        <f t="shared" si="6"/>
        <v>8.1635400000000011</v>
      </c>
      <c r="U10" s="289">
        <f t="shared" si="6"/>
        <v>3.9590100000000006</v>
      </c>
      <c r="V10" s="488">
        <f t="shared" si="6"/>
        <v>7.54908</v>
      </c>
      <c r="W10" s="536">
        <f t="shared" si="6"/>
        <v>7.54908</v>
      </c>
      <c r="X10" s="289">
        <f t="shared" si="6"/>
        <v>3.8209050000000007</v>
      </c>
      <c r="Y10" s="488">
        <f t="shared" si="6"/>
        <v>7.2857399999999997</v>
      </c>
      <c r="Z10" s="536">
        <f t="shared" si="6"/>
        <v>7.2857399999999997</v>
      </c>
      <c r="AA10" s="289">
        <f t="shared" si="6"/>
        <v>3.4526250000000007</v>
      </c>
      <c r="AB10" s="488">
        <f t="shared" si="6"/>
        <v>6.5834999999999999</v>
      </c>
      <c r="AC10" s="536">
        <f t="shared" si="6"/>
        <v>6.5834999999999999</v>
      </c>
      <c r="AD10" s="289">
        <f t="shared" si="6"/>
        <v>3.2224500000000003</v>
      </c>
      <c r="AE10" s="488">
        <f t="shared" si="6"/>
        <v>6.1445999999999996</v>
      </c>
      <c r="AF10" s="536">
        <f t="shared" si="6"/>
        <v>6.1445999999999996</v>
      </c>
    </row>
    <row r="11" spans="1:32" s="6" customFormat="1" ht="18" customHeight="1">
      <c r="A11" s="855"/>
      <c r="B11" s="2119" t="s">
        <v>544</v>
      </c>
      <c r="C11" s="2120"/>
      <c r="D11" s="2120"/>
      <c r="E11" s="2121"/>
      <c r="F11" s="2122">
        <v>1000</v>
      </c>
      <c r="G11" s="1938">
        <f>F11*C12*E12</f>
        <v>270</v>
      </c>
      <c r="H11" s="1938">
        <f>G11*11</f>
        <v>2970</v>
      </c>
      <c r="I11" s="1938">
        <f>F11*D12*E12*12</f>
        <v>0</v>
      </c>
      <c r="J11" s="2131">
        <f t="shared" ref="J11" si="7">(F11*12)*E12*$J$4</f>
        <v>3456</v>
      </c>
      <c r="K11" s="1938">
        <f>G11*$M$3</f>
        <v>40.5</v>
      </c>
      <c r="L11" s="1938">
        <f>H11*$M$3</f>
        <v>445.5</v>
      </c>
      <c r="M11" s="2124">
        <f>I11*$M$3</f>
        <v>0</v>
      </c>
      <c r="N11" s="2125" t="s">
        <v>543</v>
      </c>
      <c r="O11" s="114">
        <f>G11+J11+K11</f>
        <v>3766.5</v>
      </c>
      <c r="P11" s="188">
        <f>SUM(G11:H12,J11:L12)</f>
        <v>7182</v>
      </c>
      <c r="Q11" s="124">
        <f>SUM(G11:M12)</f>
        <v>7182</v>
      </c>
      <c r="R11" s="164">
        <f>O11*$T$3</f>
        <v>3502.8450000000003</v>
      </c>
      <c r="S11" s="188">
        <f>P11*$T$3</f>
        <v>6679.26</v>
      </c>
      <c r="T11" s="117">
        <f>Q11*$T$3</f>
        <v>6679.26</v>
      </c>
      <c r="U11" s="114">
        <f t="shared" ref="U11:W11" si="8">O11*$W$3</f>
        <v>3239.19</v>
      </c>
      <c r="V11" s="188">
        <f t="shared" si="8"/>
        <v>6176.5199999999995</v>
      </c>
      <c r="W11" s="116">
        <f t="shared" si="8"/>
        <v>6176.5199999999995</v>
      </c>
      <c r="X11" s="114">
        <f>O11*$Z$3</f>
        <v>3126.1949999999997</v>
      </c>
      <c r="Y11" s="188">
        <f>P11*$Z$3</f>
        <v>5961.0599999999995</v>
      </c>
      <c r="Z11" s="116">
        <f>Q11*$Z$3</f>
        <v>5961.0599999999995</v>
      </c>
      <c r="AA11" s="164">
        <f>O11*$AC$3</f>
        <v>2824.875</v>
      </c>
      <c r="AB11" s="188">
        <f>P11*$AC$3</f>
        <v>5386.5</v>
      </c>
      <c r="AC11" s="117">
        <f>Q11*$AC$3</f>
        <v>5386.5</v>
      </c>
      <c r="AD11" s="114">
        <f>O11*$AF$3</f>
        <v>2636.5499999999997</v>
      </c>
      <c r="AE11" s="188">
        <f>P11*$AF$3</f>
        <v>5027.3999999999996</v>
      </c>
      <c r="AF11" s="116">
        <f>Q11*$AF$3</f>
        <v>5027.3999999999996</v>
      </c>
    </row>
    <row r="12" spans="1:32" s="6" customFormat="1" ht="18" customHeight="1">
      <c r="A12" s="855"/>
      <c r="B12" s="535" t="s">
        <v>31</v>
      </c>
      <c r="C12" s="558">
        <v>0.3</v>
      </c>
      <c r="D12" s="559">
        <v>0</v>
      </c>
      <c r="E12" s="560">
        <v>0.9</v>
      </c>
      <c r="F12" s="2123"/>
      <c r="G12" s="1940"/>
      <c r="H12" s="1940"/>
      <c r="I12" s="1940"/>
      <c r="J12" s="2132"/>
      <c r="K12" s="1940"/>
      <c r="L12" s="1940"/>
      <c r="M12" s="1965"/>
      <c r="N12" s="1963"/>
      <c r="O12" s="289">
        <f t="shared" ref="O12:AF12" si="9">O11/$F11</f>
        <v>3.7665000000000002</v>
      </c>
      <c r="P12" s="488">
        <f t="shared" si="9"/>
        <v>7.1820000000000004</v>
      </c>
      <c r="Q12" s="536">
        <f t="shared" si="9"/>
        <v>7.1820000000000004</v>
      </c>
      <c r="R12" s="289">
        <f t="shared" si="9"/>
        <v>3.5028450000000002</v>
      </c>
      <c r="S12" s="488">
        <f t="shared" si="9"/>
        <v>6.6792600000000002</v>
      </c>
      <c r="T12" s="536">
        <f t="shared" si="9"/>
        <v>6.6792600000000002</v>
      </c>
      <c r="U12" s="289">
        <f t="shared" si="9"/>
        <v>3.2391900000000002</v>
      </c>
      <c r="V12" s="488">
        <f t="shared" si="9"/>
        <v>6.1765199999999991</v>
      </c>
      <c r="W12" s="536">
        <f t="shared" si="9"/>
        <v>6.1765199999999991</v>
      </c>
      <c r="X12" s="289">
        <f t="shared" si="9"/>
        <v>3.1261949999999996</v>
      </c>
      <c r="Y12" s="488">
        <f t="shared" si="9"/>
        <v>5.9610599999999998</v>
      </c>
      <c r="Z12" s="536">
        <f t="shared" si="9"/>
        <v>5.9610599999999998</v>
      </c>
      <c r="AA12" s="289">
        <f t="shared" si="9"/>
        <v>2.824875</v>
      </c>
      <c r="AB12" s="488">
        <f t="shared" si="9"/>
        <v>5.3864999999999998</v>
      </c>
      <c r="AC12" s="536">
        <f t="shared" si="9"/>
        <v>5.3864999999999998</v>
      </c>
      <c r="AD12" s="289">
        <f t="shared" si="9"/>
        <v>2.6365499999999997</v>
      </c>
      <c r="AE12" s="488">
        <f t="shared" si="9"/>
        <v>5.0273999999999992</v>
      </c>
      <c r="AF12" s="536">
        <f t="shared" si="9"/>
        <v>5.0273999999999992</v>
      </c>
    </row>
    <row r="13" spans="1:32" s="6" customFormat="1" ht="18" customHeight="1">
      <c r="A13" s="855"/>
      <c r="B13" s="2119" t="s">
        <v>545</v>
      </c>
      <c r="C13" s="2120"/>
      <c r="D13" s="2120"/>
      <c r="E13" s="2121"/>
      <c r="F13" s="2122">
        <v>1000</v>
      </c>
      <c r="G13" s="1938">
        <f>F13*C14*E14</f>
        <v>330</v>
      </c>
      <c r="H13" s="1938">
        <f>G13*11</f>
        <v>3630</v>
      </c>
      <c r="I13" s="1938">
        <f>F13*D14*E14*12</f>
        <v>0</v>
      </c>
      <c r="J13" s="2131">
        <f t="shared" ref="J13" si="10">(F13*12)*E14*$J$4</f>
        <v>4224.0000000000009</v>
      </c>
      <c r="K13" s="1938">
        <f>G13*$M$3</f>
        <v>49.5</v>
      </c>
      <c r="L13" s="1938">
        <f>H13*$M$3</f>
        <v>544.5</v>
      </c>
      <c r="M13" s="2124">
        <f>I13*$M$3</f>
        <v>0</v>
      </c>
      <c r="N13" s="2125" t="s">
        <v>543</v>
      </c>
      <c r="O13" s="114">
        <f>G13+J13+K13</f>
        <v>4603.5000000000009</v>
      </c>
      <c r="P13" s="188">
        <f>SUM(G13:H14,J13:L14)</f>
        <v>8778</v>
      </c>
      <c r="Q13" s="124">
        <f>SUM(G13:M14)</f>
        <v>8778</v>
      </c>
      <c r="R13" s="164">
        <f>O13*$T$3</f>
        <v>4281.255000000001</v>
      </c>
      <c r="S13" s="188">
        <f>P13*$T$3</f>
        <v>8163.5400000000009</v>
      </c>
      <c r="T13" s="117">
        <f>Q13*$T$3</f>
        <v>8163.5400000000009</v>
      </c>
      <c r="U13" s="114">
        <f t="shared" ref="U13:W13" si="11">O13*$W$3</f>
        <v>3959.0100000000007</v>
      </c>
      <c r="V13" s="188">
        <f t="shared" si="11"/>
        <v>7549.08</v>
      </c>
      <c r="W13" s="116">
        <f t="shared" si="11"/>
        <v>7549.08</v>
      </c>
      <c r="X13" s="114">
        <f>O13*$Z$3</f>
        <v>3820.9050000000007</v>
      </c>
      <c r="Y13" s="188">
        <f>P13*$Z$3</f>
        <v>7285.74</v>
      </c>
      <c r="Z13" s="116">
        <f>Q13*$Z$3</f>
        <v>7285.74</v>
      </c>
      <c r="AA13" s="164">
        <f>O13*$AC$3</f>
        <v>3452.6250000000009</v>
      </c>
      <c r="AB13" s="188">
        <f>P13*$AC$3</f>
        <v>6583.5</v>
      </c>
      <c r="AC13" s="117">
        <f>Q13*$AC$3</f>
        <v>6583.5</v>
      </c>
      <c r="AD13" s="114">
        <f>O13*$AF$3</f>
        <v>3222.4500000000003</v>
      </c>
      <c r="AE13" s="188">
        <f>P13*$AF$3</f>
        <v>6144.5999999999995</v>
      </c>
      <c r="AF13" s="116">
        <f>Q13*$AF$3</f>
        <v>6144.5999999999995</v>
      </c>
    </row>
    <row r="14" spans="1:32" s="6" customFormat="1" ht="18" customHeight="1">
      <c r="A14" s="855"/>
      <c r="B14" s="535" t="s">
        <v>31</v>
      </c>
      <c r="C14" s="558">
        <v>0.3</v>
      </c>
      <c r="D14" s="559">
        <v>0</v>
      </c>
      <c r="E14" s="560">
        <v>1.1000000000000001</v>
      </c>
      <c r="F14" s="2123"/>
      <c r="G14" s="1940"/>
      <c r="H14" s="1940"/>
      <c r="I14" s="1940"/>
      <c r="J14" s="2132"/>
      <c r="K14" s="1940"/>
      <c r="L14" s="1940"/>
      <c r="M14" s="1965"/>
      <c r="N14" s="1963"/>
      <c r="O14" s="289">
        <f t="shared" ref="O14:AF14" si="12">O13/$F13</f>
        <v>4.6035000000000013</v>
      </c>
      <c r="P14" s="488">
        <f t="shared" si="12"/>
        <v>8.7780000000000005</v>
      </c>
      <c r="Q14" s="536">
        <f t="shared" si="12"/>
        <v>8.7780000000000005</v>
      </c>
      <c r="R14" s="289">
        <f t="shared" si="12"/>
        <v>4.2812550000000007</v>
      </c>
      <c r="S14" s="488">
        <f t="shared" si="12"/>
        <v>8.1635400000000011</v>
      </c>
      <c r="T14" s="536">
        <f t="shared" si="12"/>
        <v>8.1635400000000011</v>
      </c>
      <c r="U14" s="289">
        <f t="shared" si="12"/>
        <v>3.9590100000000006</v>
      </c>
      <c r="V14" s="488">
        <f t="shared" si="12"/>
        <v>7.54908</v>
      </c>
      <c r="W14" s="536">
        <f t="shared" si="12"/>
        <v>7.54908</v>
      </c>
      <c r="X14" s="289">
        <f t="shared" si="12"/>
        <v>3.8209050000000007</v>
      </c>
      <c r="Y14" s="488">
        <f t="shared" si="12"/>
        <v>7.2857399999999997</v>
      </c>
      <c r="Z14" s="536">
        <f t="shared" si="12"/>
        <v>7.2857399999999997</v>
      </c>
      <c r="AA14" s="289">
        <f t="shared" si="12"/>
        <v>3.4526250000000007</v>
      </c>
      <c r="AB14" s="488">
        <f t="shared" si="12"/>
        <v>6.5834999999999999</v>
      </c>
      <c r="AC14" s="536">
        <f t="shared" si="12"/>
        <v>6.5834999999999999</v>
      </c>
      <c r="AD14" s="289">
        <f t="shared" si="12"/>
        <v>3.2224500000000003</v>
      </c>
      <c r="AE14" s="488">
        <f t="shared" si="12"/>
        <v>6.1445999999999996</v>
      </c>
      <c r="AF14" s="536">
        <f t="shared" si="12"/>
        <v>6.1445999999999996</v>
      </c>
    </row>
    <row r="15" spans="1:32" s="6" customFormat="1" ht="18" customHeight="1">
      <c r="A15" s="855"/>
      <c r="B15" s="2119" t="s">
        <v>546</v>
      </c>
      <c r="C15" s="2120"/>
      <c r="D15" s="2120"/>
      <c r="E15" s="2121"/>
      <c r="F15" s="2122">
        <v>1000</v>
      </c>
      <c r="G15" s="1938">
        <f>F15*C16*E16</f>
        <v>300</v>
      </c>
      <c r="H15" s="1938">
        <f>G15*11</f>
        <v>3300</v>
      </c>
      <c r="I15" s="1938">
        <f>F15*D16*E16*12</f>
        <v>0</v>
      </c>
      <c r="J15" s="1938">
        <f t="shared" ref="J15" si="13">(F15*12)*E16*$J$4</f>
        <v>3840</v>
      </c>
      <c r="K15" s="1938">
        <f>G15*$M$3</f>
        <v>45</v>
      </c>
      <c r="L15" s="1938">
        <f>H15*$M$3</f>
        <v>495</v>
      </c>
      <c r="M15" s="2124">
        <f>I15*$M$3</f>
        <v>0</v>
      </c>
      <c r="N15" s="2125" t="s">
        <v>540</v>
      </c>
      <c r="O15" s="114">
        <f>G15+J15+K15</f>
        <v>4185</v>
      </c>
      <c r="P15" s="188">
        <f>SUM(G15:H16,J15:L16)</f>
        <v>7980</v>
      </c>
      <c r="Q15" s="124">
        <f>SUM(G15:M16)</f>
        <v>7980</v>
      </c>
      <c r="R15" s="164">
        <f>O15*$T$3</f>
        <v>3892.05</v>
      </c>
      <c r="S15" s="188">
        <f>P15*$T$3</f>
        <v>7421.4000000000005</v>
      </c>
      <c r="T15" s="117">
        <f>Q15*$T$3</f>
        <v>7421.4000000000005</v>
      </c>
      <c r="U15" s="114">
        <f t="shared" ref="U15:W15" si="14">O15*$W$3</f>
        <v>3599.1</v>
      </c>
      <c r="V15" s="188">
        <f t="shared" si="14"/>
        <v>6862.8</v>
      </c>
      <c r="W15" s="116">
        <f t="shared" si="14"/>
        <v>6862.8</v>
      </c>
      <c r="X15" s="114">
        <f>O15*$Z$3</f>
        <v>3473.5499999999997</v>
      </c>
      <c r="Y15" s="188">
        <f>P15*$Z$3</f>
        <v>6623.4</v>
      </c>
      <c r="Z15" s="116">
        <f>Q15*$Z$3</f>
        <v>6623.4</v>
      </c>
      <c r="AA15" s="164">
        <f>O15*$AC$3</f>
        <v>3138.75</v>
      </c>
      <c r="AB15" s="188">
        <f>P15*$AC$3</f>
        <v>5985</v>
      </c>
      <c r="AC15" s="117">
        <f>Q15*$AC$3</f>
        <v>5985</v>
      </c>
      <c r="AD15" s="114">
        <f>O15*$AF$3</f>
        <v>2929.5</v>
      </c>
      <c r="AE15" s="188">
        <f>P15*$AF$3</f>
        <v>5586</v>
      </c>
      <c r="AF15" s="116">
        <f>Q15*$AF$3</f>
        <v>5586</v>
      </c>
    </row>
    <row r="16" spans="1:32" s="6" customFormat="1" ht="18" customHeight="1">
      <c r="A16" s="855"/>
      <c r="B16" s="535" t="s">
        <v>471</v>
      </c>
      <c r="C16" s="558">
        <v>0.3</v>
      </c>
      <c r="D16" s="559">
        <v>0</v>
      </c>
      <c r="E16" s="560">
        <v>1</v>
      </c>
      <c r="F16" s="2123"/>
      <c r="G16" s="1940"/>
      <c r="H16" s="1940"/>
      <c r="I16" s="1940"/>
      <c r="J16" s="1940"/>
      <c r="K16" s="1940"/>
      <c r="L16" s="1940"/>
      <c r="M16" s="1965"/>
      <c r="N16" s="1963"/>
      <c r="O16" s="289">
        <f t="shared" ref="O16:AF16" si="15">O15/$F15</f>
        <v>4.1849999999999996</v>
      </c>
      <c r="P16" s="488">
        <f t="shared" si="15"/>
        <v>7.98</v>
      </c>
      <c r="Q16" s="536">
        <f t="shared" si="15"/>
        <v>7.98</v>
      </c>
      <c r="R16" s="289">
        <f t="shared" si="15"/>
        <v>3.8920500000000002</v>
      </c>
      <c r="S16" s="488">
        <f t="shared" si="15"/>
        <v>7.4214000000000002</v>
      </c>
      <c r="T16" s="536">
        <f t="shared" si="15"/>
        <v>7.4214000000000002</v>
      </c>
      <c r="U16" s="289">
        <f t="shared" si="15"/>
        <v>3.5991</v>
      </c>
      <c r="V16" s="488">
        <f t="shared" si="15"/>
        <v>6.8628</v>
      </c>
      <c r="W16" s="536">
        <f t="shared" si="15"/>
        <v>6.8628</v>
      </c>
      <c r="X16" s="289">
        <f t="shared" si="15"/>
        <v>3.4735499999999999</v>
      </c>
      <c r="Y16" s="488">
        <f t="shared" si="15"/>
        <v>6.6233999999999993</v>
      </c>
      <c r="Z16" s="536">
        <f t="shared" si="15"/>
        <v>6.6233999999999993</v>
      </c>
      <c r="AA16" s="289">
        <f t="shared" si="15"/>
        <v>3.1387499999999999</v>
      </c>
      <c r="AB16" s="488">
        <f t="shared" si="15"/>
        <v>5.9850000000000003</v>
      </c>
      <c r="AC16" s="536">
        <f t="shared" si="15"/>
        <v>5.9850000000000003</v>
      </c>
      <c r="AD16" s="289">
        <f t="shared" si="15"/>
        <v>2.9295</v>
      </c>
      <c r="AE16" s="488">
        <f t="shared" si="15"/>
        <v>5.5860000000000003</v>
      </c>
      <c r="AF16" s="536">
        <f t="shared" si="15"/>
        <v>5.5860000000000003</v>
      </c>
    </row>
    <row r="17" spans="1:32" s="6" customFormat="1" ht="18" customHeight="1">
      <c r="A17" s="855"/>
      <c r="B17" s="2119" t="s">
        <v>547</v>
      </c>
      <c r="C17" s="2120"/>
      <c r="D17" s="2120"/>
      <c r="E17" s="2121"/>
      <c r="F17" s="2122">
        <v>1000</v>
      </c>
      <c r="G17" s="1938">
        <f>F17*C18*E18</f>
        <v>375</v>
      </c>
      <c r="H17" s="1938">
        <f>G17*11</f>
        <v>4125</v>
      </c>
      <c r="I17" s="1938">
        <f>F17*D18*E18*12</f>
        <v>0</v>
      </c>
      <c r="J17" s="1938">
        <f t="shared" ref="J17" si="16">(F17*12)*E18*$J$4</f>
        <v>4800</v>
      </c>
      <c r="K17" s="1938">
        <f>G17*$M$3</f>
        <v>56.25</v>
      </c>
      <c r="L17" s="1938">
        <f>H17*$M$3</f>
        <v>618.75</v>
      </c>
      <c r="M17" s="2124">
        <f>I17*$M$3</f>
        <v>0</v>
      </c>
      <c r="N17" s="2125" t="s">
        <v>540</v>
      </c>
      <c r="O17" s="114">
        <f>G17+J17+K17</f>
        <v>5231.25</v>
      </c>
      <c r="P17" s="188">
        <f>SUM(G17:H18,J17:L18)</f>
        <v>9975</v>
      </c>
      <c r="Q17" s="124">
        <f>SUM(G17:M18)</f>
        <v>9975</v>
      </c>
      <c r="R17" s="164">
        <f>O17*$T$3</f>
        <v>4865.0625</v>
      </c>
      <c r="S17" s="188">
        <f>P17*$T$3</f>
        <v>9276.75</v>
      </c>
      <c r="T17" s="117">
        <f>Q17*$T$3</f>
        <v>9276.75</v>
      </c>
      <c r="U17" s="114">
        <f t="shared" ref="U17:W17" si="17">O17*$W$3</f>
        <v>4498.875</v>
      </c>
      <c r="V17" s="188">
        <f t="shared" si="17"/>
        <v>8578.5</v>
      </c>
      <c r="W17" s="116">
        <f t="shared" si="17"/>
        <v>8578.5</v>
      </c>
      <c r="X17" s="114">
        <f>O17*$Z$3</f>
        <v>4341.9375</v>
      </c>
      <c r="Y17" s="188">
        <f>P17*$Z$3</f>
        <v>8279.25</v>
      </c>
      <c r="Z17" s="116">
        <f>Q17*$Z$3</f>
        <v>8279.25</v>
      </c>
      <c r="AA17" s="164">
        <f>O17*$AC$3</f>
        <v>3923.4375</v>
      </c>
      <c r="AB17" s="188">
        <f>P17*$AC$3</f>
        <v>7481.25</v>
      </c>
      <c r="AC17" s="117">
        <f>Q17*$AC$3</f>
        <v>7481.25</v>
      </c>
      <c r="AD17" s="114">
        <f>O17*$AF$3</f>
        <v>3661.8749999999995</v>
      </c>
      <c r="AE17" s="188">
        <f>P17*$AF$3</f>
        <v>6982.5</v>
      </c>
      <c r="AF17" s="116">
        <f>Q17*$AF$3</f>
        <v>6982.5</v>
      </c>
    </row>
    <row r="18" spans="1:32" s="6" customFormat="1" ht="18" customHeight="1">
      <c r="A18" s="855"/>
      <c r="B18" s="535" t="s">
        <v>471</v>
      </c>
      <c r="C18" s="558">
        <v>0.3</v>
      </c>
      <c r="D18" s="559">
        <v>0</v>
      </c>
      <c r="E18" s="560">
        <v>1.25</v>
      </c>
      <c r="F18" s="2123"/>
      <c r="G18" s="1940"/>
      <c r="H18" s="1940"/>
      <c r="I18" s="1940"/>
      <c r="J18" s="1940"/>
      <c r="K18" s="1940"/>
      <c r="L18" s="1940"/>
      <c r="M18" s="1965"/>
      <c r="N18" s="1963"/>
      <c r="O18" s="289">
        <f t="shared" ref="O18:AF18" si="18">O17/$F17</f>
        <v>5.2312500000000002</v>
      </c>
      <c r="P18" s="488">
        <f t="shared" si="18"/>
        <v>9.9749999999999996</v>
      </c>
      <c r="Q18" s="536">
        <f t="shared" si="18"/>
        <v>9.9749999999999996</v>
      </c>
      <c r="R18" s="289">
        <f t="shared" si="18"/>
        <v>4.8650624999999996</v>
      </c>
      <c r="S18" s="488">
        <f t="shared" si="18"/>
        <v>9.2767499999999998</v>
      </c>
      <c r="T18" s="536">
        <f t="shared" si="18"/>
        <v>9.2767499999999998</v>
      </c>
      <c r="U18" s="289">
        <f t="shared" si="18"/>
        <v>4.498875</v>
      </c>
      <c r="V18" s="488">
        <f t="shared" si="18"/>
        <v>8.5785</v>
      </c>
      <c r="W18" s="536">
        <f t="shared" si="18"/>
        <v>8.5785</v>
      </c>
      <c r="X18" s="289">
        <f t="shared" si="18"/>
        <v>4.3419375000000002</v>
      </c>
      <c r="Y18" s="488">
        <f t="shared" si="18"/>
        <v>8.2792499999999993</v>
      </c>
      <c r="Z18" s="536">
        <f t="shared" si="18"/>
        <v>8.2792499999999993</v>
      </c>
      <c r="AA18" s="289">
        <f t="shared" si="18"/>
        <v>3.9234374999999999</v>
      </c>
      <c r="AB18" s="488">
        <f t="shared" si="18"/>
        <v>7.4812500000000002</v>
      </c>
      <c r="AC18" s="536">
        <f t="shared" si="18"/>
        <v>7.4812500000000002</v>
      </c>
      <c r="AD18" s="289">
        <f t="shared" si="18"/>
        <v>3.6618749999999993</v>
      </c>
      <c r="AE18" s="488">
        <f t="shared" si="18"/>
        <v>6.9824999999999999</v>
      </c>
      <c r="AF18" s="536">
        <f t="shared" si="18"/>
        <v>6.9824999999999999</v>
      </c>
    </row>
    <row r="19" spans="1:32" s="6" customFormat="1" ht="18" customHeight="1">
      <c r="A19" s="855"/>
      <c r="B19" s="2119" t="s">
        <v>548</v>
      </c>
      <c r="C19" s="2120"/>
      <c r="D19" s="2120"/>
      <c r="E19" s="2121"/>
      <c r="F19" s="2122">
        <v>1000</v>
      </c>
      <c r="G19" s="1938">
        <f>F19*C20*E20</f>
        <v>375</v>
      </c>
      <c r="H19" s="1938">
        <f>G19*11</f>
        <v>4125</v>
      </c>
      <c r="I19" s="1938">
        <f>F19*D20*E20*12</f>
        <v>1800</v>
      </c>
      <c r="J19" s="1938">
        <f t="shared" ref="J19" si="19">(F19*12)*E20*$J$4</f>
        <v>4800</v>
      </c>
      <c r="K19" s="1938">
        <f>G19*$M$3</f>
        <v>56.25</v>
      </c>
      <c r="L19" s="1938">
        <f>H19*$M$3</f>
        <v>618.75</v>
      </c>
      <c r="M19" s="2124">
        <f>I19*$M$3</f>
        <v>270</v>
      </c>
      <c r="N19" s="2125" t="s">
        <v>540</v>
      </c>
      <c r="O19" s="114">
        <f>G19+J19+K19</f>
        <v>5231.25</v>
      </c>
      <c r="P19" s="188">
        <f>SUM(G19:H20,J19:L20)</f>
        <v>9975</v>
      </c>
      <c r="Q19" s="124">
        <f>SUM(G19:M20)</f>
        <v>12045</v>
      </c>
      <c r="R19" s="164">
        <f>O19*$T$3</f>
        <v>4865.0625</v>
      </c>
      <c r="S19" s="188">
        <f>P19*$T$3</f>
        <v>9276.75</v>
      </c>
      <c r="T19" s="117">
        <f>Q19*$T$3</f>
        <v>11201.85</v>
      </c>
      <c r="U19" s="114">
        <f t="shared" ref="U19:W19" si="20">O19*$W$3</f>
        <v>4498.875</v>
      </c>
      <c r="V19" s="188">
        <f t="shared" si="20"/>
        <v>8578.5</v>
      </c>
      <c r="W19" s="116">
        <f t="shared" si="20"/>
        <v>10358.700000000001</v>
      </c>
      <c r="X19" s="114">
        <f>O19*$Z$3</f>
        <v>4341.9375</v>
      </c>
      <c r="Y19" s="188">
        <f>P19*$Z$3</f>
        <v>8279.25</v>
      </c>
      <c r="Z19" s="116">
        <f>Q19*$Z$3</f>
        <v>9997.35</v>
      </c>
      <c r="AA19" s="164">
        <f>O19*$AC$3</f>
        <v>3923.4375</v>
      </c>
      <c r="AB19" s="188">
        <f>P19*$AC$3</f>
        <v>7481.25</v>
      </c>
      <c r="AC19" s="117">
        <f>Q19*$AC$3</f>
        <v>9033.75</v>
      </c>
      <c r="AD19" s="114">
        <f>O19*$AF$3</f>
        <v>3661.8749999999995</v>
      </c>
      <c r="AE19" s="188">
        <f>P19*$AF$3</f>
        <v>6982.5</v>
      </c>
      <c r="AF19" s="116">
        <f>Q19*$AF$3</f>
        <v>8431.5</v>
      </c>
    </row>
    <row r="20" spans="1:32" s="6" customFormat="1" ht="18" customHeight="1">
      <c r="A20" s="855"/>
      <c r="B20" s="537" t="s">
        <v>549</v>
      </c>
      <c r="C20" s="558">
        <v>0.3</v>
      </c>
      <c r="D20" s="559">
        <v>0.12</v>
      </c>
      <c r="E20" s="560">
        <v>1.25</v>
      </c>
      <c r="F20" s="2123"/>
      <c r="G20" s="1940"/>
      <c r="H20" s="1940"/>
      <c r="I20" s="1940"/>
      <c r="J20" s="1940"/>
      <c r="K20" s="1940"/>
      <c r="L20" s="1940"/>
      <c r="M20" s="1965"/>
      <c r="N20" s="1963"/>
      <c r="O20" s="289">
        <f t="shared" ref="O20:AF20" si="21">O19/$F19</f>
        <v>5.2312500000000002</v>
      </c>
      <c r="P20" s="488">
        <f t="shared" si="21"/>
        <v>9.9749999999999996</v>
      </c>
      <c r="Q20" s="536">
        <f t="shared" si="21"/>
        <v>12.045</v>
      </c>
      <c r="R20" s="289">
        <f t="shared" si="21"/>
        <v>4.8650624999999996</v>
      </c>
      <c r="S20" s="488">
        <f t="shared" si="21"/>
        <v>9.2767499999999998</v>
      </c>
      <c r="T20" s="536">
        <f t="shared" si="21"/>
        <v>11.20185</v>
      </c>
      <c r="U20" s="289">
        <f t="shared" si="21"/>
        <v>4.498875</v>
      </c>
      <c r="V20" s="488">
        <f t="shared" si="21"/>
        <v>8.5785</v>
      </c>
      <c r="W20" s="536">
        <f t="shared" si="21"/>
        <v>10.358700000000001</v>
      </c>
      <c r="X20" s="289">
        <f t="shared" si="21"/>
        <v>4.3419375000000002</v>
      </c>
      <c r="Y20" s="488">
        <f t="shared" si="21"/>
        <v>8.2792499999999993</v>
      </c>
      <c r="Z20" s="536">
        <f t="shared" si="21"/>
        <v>9.9973500000000008</v>
      </c>
      <c r="AA20" s="289">
        <f t="shared" si="21"/>
        <v>3.9234374999999999</v>
      </c>
      <c r="AB20" s="488">
        <f t="shared" si="21"/>
        <v>7.4812500000000002</v>
      </c>
      <c r="AC20" s="536">
        <f t="shared" si="21"/>
        <v>9.0337499999999995</v>
      </c>
      <c r="AD20" s="289">
        <f t="shared" si="21"/>
        <v>3.6618749999999993</v>
      </c>
      <c r="AE20" s="488">
        <f t="shared" si="21"/>
        <v>6.9824999999999999</v>
      </c>
      <c r="AF20" s="536">
        <f t="shared" si="21"/>
        <v>8.4314999999999998</v>
      </c>
    </row>
    <row r="21" spans="1:32" s="6" customFormat="1" ht="18" customHeight="1">
      <c r="A21" s="855"/>
      <c r="B21" s="2119" t="s">
        <v>548</v>
      </c>
      <c r="C21" s="2120"/>
      <c r="D21" s="2120"/>
      <c r="E21" s="2121"/>
      <c r="F21" s="2122">
        <v>1000</v>
      </c>
      <c r="G21" s="1938">
        <f>F21*C22*E22</f>
        <v>375</v>
      </c>
      <c r="H21" s="1938">
        <f>G21*11</f>
        <v>4125</v>
      </c>
      <c r="I21" s="1938">
        <f>F21*D22*E22*12</f>
        <v>0</v>
      </c>
      <c r="J21" s="1938">
        <f t="shared" ref="J21" si="22">(F21*12)*E22*$J$4</f>
        <v>4800</v>
      </c>
      <c r="K21" s="1938">
        <f>G21*$M$3</f>
        <v>56.25</v>
      </c>
      <c r="L21" s="1938">
        <f>H21*$M$3</f>
        <v>618.75</v>
      </c>
      <c r="M21" s="2124">
        <f>I21*$M$3</f>
        <v>0</v>
      </c>
      <c r="N21" s="2125" t="s">
        <v>540</v>
      </c>
      <c r="O21" s="114">
        <f>G21+J21+K21</f>
        <v>5231.25</v>
      </c>
      <c r="P21" s="188">
        <f>SUM(G21:H22,J21:L22)</f>
        <v>9975</v>
      </c>
      <c r="Q21" s="124">
        <f>SUM(G21:M22)</f>
        <v>9975</v>
      </c>
      <c r="R21" s="164">
        <f>O21*$T$3</f>
        <v>4865.0625</v>
      </c>
      <c r="S21" s="188">
        <f>P21*$T$3</f>
        <v>9276.75</v>
      </c>
      <c r="T21" s="117">
        <f>Q21*$T$3</f>
        <v>9276.75</v>
      </c>
      <c r="U21" s="114">
        <f t="shared" ref="U21:W21" si="23">O21*$W$3</f>
        <v>4498.875</v>
      </c>
      <c r="V21" s="188">
        <f t="shared" si="23"/>
        <v>8578.5</v>
      </c>
      <c r="W21" s="116">
        <f t="shared" si="23"/>
        <v>8578.5</v>
      </c>
      <c r="X21" s="114">
        <f>O21*$Z$3</f>
        <v>4341.9375</v>
      </c>
      <c r="Y21" s="188">
        <f>P21*$Z$3</f>
        <v>8279.25</v>
      </c>
      <c r="Z21" s="116">
        <f>Q21*$Z$3</f>
        <v>8279.25</v>
      </c>
      <c r="AA21" s="164">
        <f>O21*$AC$3</f>
        <v>3923.4375</v>
      </c>
      <c r="AB21" s="188">
        <f>P21*$AC$3</f>
        <v>7481.25</v>
      </c>
      <c r="AC21" s="117">
        <f>Q21*$AC$3</f>
        <v>7481.25</v>
      </c>
      <c r="AD21" s="114">
        <f>O21*$AF$3</f>
        <v>3661.8749999999995</v>
      </c>
      <c r="AE21" s="188">
        <f>P21*$AF$3</f>
        <v>6982.5</v>
      </c>
      <c r="AF21" s="116">
        <f>Q21*$AF$3</f>
        <v>6982.5</v>
      </c>
    </row>
    <row r="22" spans="1:32" s="6" customFormat="1" ht="18" customHeight="1">
      <c r="A22" s="855"/>
      <c r="B22" s="537" t="s">
        <v>550</v>
      </c>
      <c r="C22" s="558">
        <v>0.3</v>
      </c>
      <c r="D22" s="559">
        <v>0</v>
      </c>
      <c r="E22" s="560">
        <v>1.25</v>
      </c>
      <c r="F22" s="2123"/>
      <c r="G22" s="1940"/>
      <c r="H22" s="1940"/>
      <c r="I22" s="1940"/>
      <c r="J22" s="1940"/>
      <c r="K22" s="1940"/>
      <c r="L22" s="1940"/>
      <c r="M22" s="1965"/>
      <c r="N22" s="1963"/>
      <c r="O22" s="289">
        <f t="shared" ref="O22:AF22" si="24">O21/$F21</f>
        <v>5.2312500000000002</v>
      </c>
      <c r="P22" s="488">
        <f t="shared" si="24"/>
        <v>9.9749999999999996</v>
      </c>
      <c r="Q22" s="536">
        <f t="shared" si="24"/>
        <v>9.9749999999999996</v>
      </c>
      <c r="R22" s="289">
        <f t="shared" si="24"/>
        <v>4.8650624999999996</v>
      </c>
      <c r="S22" s="488">
        <f t="shared" si="24"/>
        <v>9.2767499999999998</v>
      </c>
      <c r="T22" s="536">
        <f t="shared" si="24"/>
        <v>9.2767499999999998</v>
      </c>
      <c r="U22" s="289">
        <f t="shared" si="24"/>
        <v>4.498875</v>
      </c>
      <c r="V22" s="488">
        <f t="shared" si="24"/>
        <v>8.5785</v>
      </c>
      <c r="W22" s="536">
        <f t="shared" si="24"/>
        <v>8.5785</v>
      </c>
      <c r="X22" s="289">
        <f t="shared" si="24"/>
        <v>4.3419375000000002</v>
      </c>
      <c r="Y22" s="488">
        <f t="shared" si="24"/>
        <v>8.2792499999999993</v>
      </c>
      <c r="Z22" s="536">
        <f t="shared" si="24"/>
        <v>8.2792499999999993</v>
      </c>
      <c r="AA22" s="289">
        <f t="shared" si="24"/>
        <v>3.9234374999999999</v>
      </c>
      <c r="AB22" s="488">
        <f t="shared" si="24"/>
        <v>7.4812500000000002</v>
      </c>
      <c r="AC22" s="536">
        <f t="shared" si="24"/>
        <v>7.4812500000000002</v>
      </c>
      <c r="AD22" s="289">
        <f t="shared" si="24"/>
        <v>3.6618749999999993</v>
      </c>
      <c r="AE22" s="488">
        <f t="shared" si="24"/>
        <v>6.9824999999999999</v>
      </c>
      <c r="AF22" s="536">
        <f t="shared" si="24"/>
        <v>6.9824999999999999</v>
      </c>
    </row>
    <row r="23" spans="1:32" s="6" customFormat="1" ht="18" customHeight="1">
      <c r="A23" s="855"/>
      <c r="B23" s="2119" t="s">
        <v>551</v>
      </c>
      <c r="C23" s="2120"/>
      <c r="D23" s="2120"/>
      <c r="E23" s="2121"/>
      <c r="F23" s="2122">
        <v>1000</v>
      </c>
      <c r="G23" s="1938">
        <f>F23*C24*E24</f>
        <v>375</v>
      </c>
      <c r="H23" s="1938">
        <f>G23*11</f>
        <v>4125</v>
      </c>
      <c r="I23" s="1938">
        <f>F23*D24*E24*12</f>
        <v>2580</v>
      </c>
      <c r="J23" s="1938">
        <f t="shared" ref="J23" si="25">(F23*12)*E24*$J$4</f>
        <v>4800</v>
      </c>
      <c r="K23" s="1938">
        <f>G23*$M$3</f>
        <v>56.25</v>
      </c>
      <c r="L23" s="1938">
        <f>H23*$M$3</f>
        <v>618.75</v>
      </c>
      <c r="M23" s="2124">
        <f>I23*$M$3</f>
        <v>387</v>
      </c>
      <c r="N23" s="2125" t="s">
        <v>540</v>
      </c>
      <c r="O23" s="114">
        <f>G23+J23+K23</f>
        <v>5231.25</v>
      </c>
      <c r="P23" s="188">
        <f>SUM(G23:H24,J23:L24)</f>
        <v>9975</v>
      </c>
      <c r="Q23" s="124">
        <f>SUM(G23:M24)</f>
        <v>12942</v>
      </c>
      <c r="R23" s="164">
        <f>O23*$T$3</f>
        <v>4865.0625</v>
      </c>
      <c r="S23" s="188">
        <f>P23*$T$3</f>
        <v>9276.75</v>
      </c>
      <c r="T23" s="117">
        <f>Q23*$T$3</f>
        <v>12036.060000000001</v>
      </c>
      <c r="U23" s="114">
        <f t="shared" ref="U23:W23" si="26">O23*$W$3</f>
        <v>4498.875</v>
      </c>
      <c r="V23" s="188">
        <f t="shared" si="26"/>
        <v>8578.5</v>
      </c>
      <c r="W23" s="116">
        <f t="shared" si="26"/>
        <v>11130.119999999999</v>
      </c>
      <c r="X23" s="114">
        <f>O23*$Z$3</f>
        <v>4341.9375</v>
      </c>
      <c r="Y23" s="188">
        <f>P23*$Z$3</f>
        <v>8279.25</v>
      </c>
      <c r="Z23" s="116">
        <f>Q23*$Z$3</f>
        <v>10741.859999999999</v>
      </c>
      <c r="AA23" s="164">
        <f>O23*$AC$3</f>
        <v>3923.4375</v>
      </c>
      <c r="AB23" s="188">
        <f>P23*$AC$3</f>
        <v>7481.25</v>
      </c>
      <c r="AC23" s="117">
        <f>Q23*$AC$3</f>
        <v>9706.5</v>
      </c>
      <c r="AD23" s="114">
        <f>O23*$AF$3</f>
        <v>3661.8749999999995</v>
      </c>
      <c r="AE23" s="188">
        <f>P23*$AF$3</f>
        <v>6982.5</v>
      </c>
      <c r="AF23" s="116">
        <f>Q23*$AF$3</f>
        <v>9059.4</v>
      </c>
    </row>
    <row r="24" spans="1:32" s="6" customFormat="1" ht="18" customHeight="1">
      <c r="A24" s="855"/>
      <c r="B24" s="535" t="s">
        <v>471</v>
      </c>
      <c r="C24" s="558">
        <v>0.3</v>
      </c>
      <c r="D24" s="561">
        <v>0.17199999999999999</v>
      </c>
      <c r="E24" s="560">
        <v>1.25</v>
      </c>
      <c r="F24" s="2123"/>
      <c r="G24" s="1940"/>
      <c r="H24" s="1940"/>
      <c r="I24" s="1940"/>
      <c r="J24" s="1940"/>
      <c r="K24" s="1940"/>
      <c r="L24" s="1940"/>
      <c r="M24" s="1965"/>
      <c r="N24" s="1963"/>
      <c r="O24" s="289">
        <f t="shared" ref="O24:AF24" si="27">O23/$F23</f>
        <v>5.2312500000000002</v>
      </c>
      <c r="P24" s="488">
        <f t="shared" si="27"/>
        <v>9.9749999999999996</v>
      </c>
      <c r="Q24" s="536">
        <f t="shared" si="27"/>
        <v>12.942</v>
      </c>
      <c r="R24" s="289">
        <f t="shared" si="27"/>
        <v>4.8650624999999996</v>
      </c>
      <c r="S24" s="488">
        <f t="shared" si="27"/>
        <v>9.2767499999999998</v>
      </c>
      <c r="T24" s="536">
        <f t="shared" si="27"/>
        <v>12.036060000000001</v>
      </c>
      <c r="U24" s="289">
        <f t="shared" si="27"/>
        <v>4.498875</v>
      </c>
      <c r="V24" s="488">
        <f t="shared" si="27"/>
        <v>8.5785</v>
      </c>
      <c r="W24" s="536">
        <f t="shared" si="27"/>
        <v>11.13012</v>
      </c>
      <c r="X24" s="289">
        <f t="shared" si="27"/>
        <v>4.3419375000000002</v>
      </c>
      <c r="Y24" s="488">
        <f t="shared" si="27"/>
        <v>8.2792499999999993</v>
      </c>
      <c r="Z24" s="536">
        <f t="shared" si="27"/>
        <v>10.741859999999999</v>
      </c>
      <c r="AA24" s="289">
        <f t="shared" si="27"/>
        <v>3.9234374999999999</v>
      </c>
      <c r="AB24" s="488">
        <f t="shared" si="27"/>
        <v>7.4812500000000002</v>
      </c>
      <c r="AC24" s="536">
        <f t="shared" si="27"/>
        <v>9.7065000000000001</v>
      </c>
      <c r="AD24" s="289">
        <f t="shared" si="27"/>
        <v>3.6618749999999993</v>
      </c>
      <c r="AE24" s="488">
        <f t="shared" si="27"/>
        <v>6.9824999999999999</v>
      </c>
      <c r="AF24" s="536">
        <f t="shared" si="27"/>
        <v>9.0594000000000001</v>
      </c>
    </row>
    <row r="25" spans="1:32" s="6" customFormat="1" ht="18" customHeight="1">
      <c r="A25" s="855"/>
      <c r="B25" s="2119" t="s">
        <v>552</v>
      </c>
      <c r="C25" s="2120"/>
      <c r="D25" s="2120"/>
      <c r="E25" s="2121"/>
      <c r="F25" s="2122">
        <v>1000</v>
      </c>
      <c r="G25" s="1938">
        <f>F25*C26*E26</f>
        <v>131.25</v>
      </c>
      <c r="H25" s="1938">
        <f>G25*11</f>
        <v>1443.75</v>
      </c>
      <c r="I25" s="1938">
        <f>F25*D26*E26*12</f>
        <v>900</v>
      </c>
      <c r="J25" s="1938">
        <f t="shared" ref="J25" si="28">(F25*12)*E26*$J$4</f>
        <v>2880</v>
      </c>
      <c r="K25" s="1938">
        <f>G25*$M$3</f>
        <v>19.6875</v>
      </c>
      <c r="L25" s="1938">
        <f>H25*$M$3</f>
        <v>216.5625</v>
      </c>
      <c r="M25" s="2124">
        <f>I25*$M$3</f>
        <v>135</v>
      </c>
      <c r="N25" s="2125">
        <f>F25*(90%/12*100%)*12</f>
        <v>900</v>
      </c>
      <c r="O25" s="114">
        <f>G25+J25+K25</f>
        <v>3030.9375</v>
      </c>
      <c r="P25" s="188">
        <f>SUM(G25:H26,J25:L26)</f>
        <v>4691.25</v>
      </c>
      <c r="Q25" s="124">
        <f>SUM(G25:M26)</f>
        <v>5726.25</v>
      </c>
      <c r="R25" s="164">
        <f>O25*$T$3</f>
        <v>2818.7718750000004</v>
      </c>
      <c r="S25" s="188">
        <f>P25*$T$3</f>
        <v>4362.8625000000002</v>
      </c>
      <c r="T25" s="117">
        <f>Q25*$T$3</f>
        <v>5325.4125000000004</v>
      </c>
      <c r="U25" s="114">
        <f t="shared" ref="U25:W25" si="29">O25*$W$3</f>
        <v>2606.6062499999998</v>
      </c>
      <c r="V25" s="188">
        <f t="shared" si="29"/>
        <v>4034.4749999999999</v>
      </c>
      <c r="W25" s="116">
        <f t="shared" si="29"/>
        <v>4924.5749999999998</v>
      </c>
      <c r="X25" s="114">
        <f>O25*$Z$3</f>
        <v>2515.6781249999999</v>
      </c>
      <c r="Y25" s="188">
        <f>P25*$Z$3</f>
        <v>3893.7374999999997</v>
      </c>
      <c r="Z25" s="116">
        <f>Q25*$Z$3</f>
        <v>4752.7874999999995</v>
      </c>
      <c r="AA25" s="164">
        <f>O25*$AC$3</f>
        <v>2273.203125</v>
      </c>
      <c r="AB25" s="188">
        <f>P25*$AC$3</f>
        <v>3518.4375</v>
      </c>
      <c r="AC25" s="117">
        <f>Q25*$AC$3</f>
        <v>4294.6875</v>
      </c>
      <c r="AD25" s="114">
        <f>O25*$AF$3</f>
        <v>2121.65625</v>
      </c>
      <c r="AE25" s="188">
        <f>P25*$AF$3</f>
        <v>3283.875</v>
      </c>
      <c r="AF25" s="116">
        <f>Q25*$AF$3</f>
        <v>4008.3749999999995</v>
      </c>
    </row>
    <row r="26" spans="1:32" s="6" customFormat="1" ht="18" customHeight="1">
      <c r="A26" s="855"/>
      <c r="B26" s="535" t="s">
        <v>471</v>
      </c>
      <c r="C26" s="873">
        <v>0.17499999999999999</v>
      </c>
      <c r="D26" s="561">
        <v>0.1</v>
      </c>
      <c r="E26" s="560">
        <v>0.75</v>
      </c>
      <c r="F26" s="2123"/>
      <c r="G26" s="1940"/>
      <c r="H26" s="1940"/>
      <c r="I26" s="1940"/>
      <c r="J26" s="1940"/>
      <c r="K26" s="1940"/>
      <c r="L26" s="1940"/>
      <c r="M26" s="1965"/>
      <c r="N26" s="1963"/>
      <c r="O26" s="289">
        <f t="shared" ref="O26:AF26" si="30">O25/$F25</f>
        <v>3.0309374999999998</v>
      </c>
      <c r="P26" s="488">
        <f t="shared" si="30"/>
        <v>4.6912500000000001</v>
      </c>
      <c r="Q26" s="536">
        <f t="shared" si="30"/>
        <v>5.7262500000000003</v>
      </c>
      <c r="R26" s="289">
        <f t="shared" si="30"/>
        <v>2.8187718750000004</v>
      </c>
      <c r="S26" s="488">
        <f t="shared" si="30"/>
        <v>4.3628625000000003</v>
      </c>
      <c r="T26" s="536">
        <f t="shared" si="30"/>
        <v>5.3254125000000005</v>
      </c>
      <c r="U26" s="289">
        <f t="shared" si="30"/>
        <v>2.60660625</v>
      </c>
      <c r="V26" s="488">
        <f t="shared" si="30"/>
        <v>4.0344749999999996</v>
      </c>
      <c r="W26" s="536">
        <f t="shared" si="30"/>
        <v>4.9245749999999999</v>
      </c>
      <c r="X26" s="289">
        <f t="shared" si="30"/>
        <v>2.515678125</v>
      </c>
      <c r="Y26" s="488">
        <f t="shared" si="30"/>
        <v>3.8937374999999999</v>
      </c>
      <c r="Z26" s="536">
        <f t="shared" si="30"/>
        <v>4.7527874999999993</v>
      </c>
      <c r="AA26" s="289">
        <f t="shared" si="30"/>
        <v>2.2732031250000002</v>
      </c>
      <c r="AB26" s="488">
        <f t="shared" si="30"/>
        <v>3.5184375000000001</v>
      </c>
      <c r="AC26" s="536">
        <f t="shared" si="30"/>
        <v>4.2946875000000002</v>
      </c>
      <c r="AD26" s="289">
        <f t="shared" si="30"/>
        <v>2.12165625</v>
      </c>
      <c r="AE26" s="488">
        <f t="shared" si="30"/>
        <v>3.2838750000000001</v>
      </c>
      <c r="AF26" s="536">
        <f t="shared" si="30"/>
        <v>4.0083749999999991</v>
      </c>
    </row>
    <row r="27" spans="1:32" s="6" customFormat="1" ht="18" customHeight="1">
      <c r="A27" s="855"/>
      <c r="B27" s="2119" t="s">
        <v>553</v>
      </c>
      <c r="C27" s="2120"/>
      <c r="D27" s="2120"/>
      <c r="E27" s="2121"/>
      <c r="F27" s="2129">
        <v>1000</v>
      </c>
      <c r="G27" s="1938">
        <v>40</v>
      </c>
      <c r="H27" s="1938" t="s">
        <v>471</v>
      </c>
      <c r="I27" s="1938" t="s">
        <v>471</v>
      </c>
      <c r="J27" s="1938" t="s">
        <v>471</v>
      </c>
      <c r="K27" s="1938" t="s">
        <v>471</v>
      </c>
      <c r="L27" s="1938" t="s">
        <v>471</v>
      </c>
      <c r="M27" s="2124" t="s">
        <v>471</v>
      </c>
      <c r="N27" s="2125" t="s">
        <v>540</v>
      </c>
      <c r="O27" s="114">
        <v>40</v>
      </c>
      <c r="P27" s="188">
        <v>40</v>
      </c>
      <c r="Q27" s="124">
        <v>40</v>
      </c>
      <c r="R27" s="164">
        <f>O27*$T$3</f>
        <v>37.200000000000003</v>
      </c>
      <c r="S27" s="188">
        <f>P27*$T$3</f>
        <v>37.200000000000003</v>
      </c>
      <c r="T27" s="117">
        <f>Q27*$T$3</f>
        <v>37.200000000000003</v>
      </c>
      <c r="U27" s="114">
        <f t="shared" ref="U27:W27" si="31">O27*$W$3</f>
        <v>34.4</v>
      </c>
      <c r="V27" s="188">
        <f t="shared" si="31"/>
        <v>34.4</v>
      </c>
      <c r="W27" s="116">
        <f t="shared" si="31"/>
        <v>34.4</v>
      </c>
      <c r="X27" s="114">
        <f>O27*$Z$3</f>
        <v>33.199999999999996</v>
      </c>
      <c r="Y27" s="188">
        <f>P27*$Z$3</f>
        <v>33.199999999999996</v>
      </c>
      <c r="Z27" s="116">
        <f>Q27*$Z$3</f>
        <v>33.199999999999996</v>
      </c>
      <c r="AA27" s="164">
        <f>O27*$AC$3</f>
        <v>30</v>
      </c>
      <c r="AB27" s="188">
        <f>P27*$AC$3</f>
        <v>30</v>
      </c>
      <c r="AC27" s="117">
        <f>Q27*$AC$3</f>
        <v>30</v>
      </c>
      <c r="AD27" s="114">
        <f>O27*$AF$3</f>
        <v>28</v>
      </c>
      <c r="AE27" s="188">
        <f>P27*$AF$3</f>
        <v>28</v>
      </c>
      <c r="AF27" s="116">
        <f>Q27*$AF$3</f>
        <v>28</v>
      </c>
    </row>
    <row r="28" spans="1:32" s="6" customFormat="1" ht="18" customHeight="1" thickBot="1">
      <c r="A28" s="855"/>
      <c r="B28" s="538" t="s">
        <v>554</v>
      </c>
      <c r="C28" s="562">
        <v>0.04</v>
      </c>
      <c r="D28" s="562" t="s">
        <v>471</v>
      </c>
      <c r="E28" s="563" t="s">
        <v>471</v>
      </c>
      <c r="F28" s="2134"/>
      <c r="G28" s="1939"/>
      <c r="H28" s="1939"/>
      <c r="I28" s="1939"/>
      <c r="J28" s="1939"/>
      <c r="K28" s="1939"/>
      <c r="L28" s="1939"/>
      <c r="M28" s="2135"/>
      <c r="N28" s="2133"/>
      <c r="O28" s="292">
        <f t="shared" ref="O28:AF28" si="32">O27/$F27</f>
        <v>0.04</v>
      </c>
      <c r="P28" s="489">
        <f t="shared" si="32"/>
        <v>0.04</v>
      </c>
      <c r="Q28" s="294">
        <f t="shared" si="32"/>
        <v>0.04</v>
      </c>
      <c r="R28" s="292">
        <f t="shared" si="32"/>
        <v>3.7200000000000004E-2</v>
      </c>
      <c r="S28" s="489">
        <f t="shared" si="32"/>
        <v>3.7200000000000004E-2</v>
      </c>
      <c r="T28" s="294">
        <f t="shared" si="32"/>
        <v>3.7200000000000004E-2</v>
      </c>
      <c r="U28" s="292">
        <f t="shared" si="32"/>
        <v>3.44E-2</v>
      </c>
      <c r="V28" s="489">
        <f t="shared" si="32"/>
        <v>3.44E-2</v>
      </c>
      <c r="W28" s="294">
        <f t="shared" si="32"/>
        <v>3.44E-2</v>
      </c>
      <c r="X28" s="292">
        <f t="shared" si="32"/>
        <v>3.3199999999999993E-2</v>
      </c>
      <c r="Y28" s="489">
        <f t="shared" si="32"/>
        <v>3.3199999999999993E-2</v>
      </c>
      <c r="Z28" s="294">
        <f t="shared" si="32"/>
        <v>3.3199999999999993E-2</v>
      </c>
      <c r="AA28" s="292">
        <f t="shared" si="32"/>
        <v>0.03</v>
      </c>
      <c r="AB28" s="489">
        <f t="shared" si="32"/>
        <v>0.03</v>
      </c>
      <c r="AC28" s="294">
        <f t="shared" si="32"/>
        <v>0.03</v>
      </c>
      <c r="AD28" s="292">
        <f t="shared" si="32"/>
        <v>2.8000000000000001E-2</v>
      </c>
      <c r="AE28" s="489">
        <f t="shared" si="32"/>
        <v>2.8000000000000001E-2</v>
      </c>
      <c r="AF28" s="294">
        <f t="shared" si="32"/>
        <v>2.8000000000000001E-2</v>
      </c>
    </row>
    <row r="29" spans="1:32" s="855" customFormat="1" ht="18" customHeight="1">
      <c r="C29" s="564"/>
      <c r="D29" s="564"/>
      <c r="E29" s="565"/>
      <c r="F29" s="857"/>
      <c r="G29" s="857"/>
    </row>
    <row r="30" spans="1:32" s="855" customFormat="1" ht="18" customHeight="1">
      <c r="B30" s="133" t="s">
        <v>472</v>
      </c>
      <c r="C30" s="566"/>
      <c r="D30" s="566"/>
      <c r="E30" s="565"/>
      <c r="F30" s="857"/>
      <c r="G30" s="857"/>
    </row>
    <row r="31" spans="1:32" s="855" customFormat="1" ht="18" customHeight="1">
      <c r="B31" s="855" t="s">
        <v>473</v>
      </c>
      <c r="C31" s="564"/>
      <c r="D31" s="564"/>
      <c r="E31" s="565"/>
      <c r="F31" s="857"/>
      <c r="G31" s="857"/>
    </row>
    <row r="32" spans="1:32" s="134" customFormat="1" ht="18" customHeight="1">
      <c r="B32" s="134" t="s">
        <v>555</v>
      </c>
      <c r="C32" s="567"/>
      <c r="D32" s="567"/>
      <c r="E32" s="567"/>
    </row>
    <row r="33" spans="2:19" s="6" customFormat="1" ht="18" customHeight="1">
      <c r="B33" s="6" t="s">
        <v>556</v>
      </c>
      <c r="C33" s="568"/>
      <c r="D33" s="568"/>
      <c r="E33" s="569"/>
      <c r="F33" s="5"/>
      <c r="G33" s="5"/>
    </row>
    <row r="34" spans="2:19" s="6" customFormat="1" ht="18" customHeight="1">
      <c r="B34" s="30" t="s">
        <v>557</v>
      </c>
      <c r="C34" s="570"/>
      <c r="D34" s="570"/>
      <c r="E34" s="569"/>
      <c r="F34" s="5"/>
      <c r="G34" s="5"/>
    </row>
    <row r="35" spans="2:19" s="6" customFormat="1" ht="18" customHeight="1">
      <c r="C35" s="568"/>
      <c r="D35" s="568"/>
      <c r="E35" s="569"/>
      <c r="F35" s="5"/>
      <c r="G35" s="5"/>
    </row>
    <row r="36" spans="2:19" s="6" customFormat="1" ht="18" customHeight="1">
      <c r="C36" s="568"/>
      <c r="D36" s="568"/>
      <c r="E36" s="569"/>
      <c r="F36" s="5"/>
      <c r="G36" s="5"/>
    </row>
    <row r="37" spans="2:19" s="6" customFormat="1" ht="18" customHeight="1">
      <c r="C37" s="568"/>
      <c r="D37" s="568"/>
      <c r="E37" s="569"/>
      <c r="F37" s="5"/>
      <c r="G37" s="5"/>
    </row>
    <row r="38" spans="2:19" s="6" customFormat="1" ht="18" customHeight="1">
      <c r="C38" s="568"/>
      <c r="D38" s="568"/>
      <c r="E38" s="569"/>
      <c r="F38" s="5"/>
      <c r="G38" s="5"/>
    </row>
    <row r="39" spans="2:19" s="6" customFormat="1" ht="18" customHeight="1">
      <c r="C39" s="568"/>
      <c r="D39" s="568"/>
      <c r="E39" s="569"/>
      <c r="F39" s="5"/>
      <c r="G39" s="5"/>
    </row>
    <row r="40" spans="2:19" s="6" customFormat="1" ht="18" customHeight="1">
      <c r="C40" s="568"/>
      <c r="D40" s="568"/>
      <c r="E40" s="569"/>
      <c r="F40" s="5"/>
      <c r="G40" s="5"/>
    </row>
    <row r="45" spans="2:19" ht="18" customHeight="1">
      <c r="R45" s="135"/>
      <c r="S45" s="135"/>
    </row>
  </sheetData>
  <mergeCells count="131">
    <mergeCell ref="N27:N28"/>
    <mergeCell ref="N25:N26"/>
    <mergeCell ref="B27:E27"/>
    <mergeCell ref="F27:F28"/>
    <mergeCell ref="G27:G28"/>
    <mergeCell ref="H27:H28"/>
    <mergeCell ref="I27:I28"/>
    <mergeCell ref="J27:J28"/>
    <mergeCell ref="K27:K28"/>
    <mergeCell ref="L27:L28"/>
    <mergeCell ref="M27:M28"/>
    <mergeCell ref="B25:E25"/>
    <mergeCell ref="F25:F26"/>
    <mergeCell ref="G25:G26"/>
    <mergeCell ref="H25:H26"/>
    <mergeCell ref="I25:I26"/>
    <mergeCell ref="J25:J26"/>
    <mergeCell ref="K25:K26"/>
    <mergeCell ref="L25:L26"/>
    <mergeCell ref="M25:M26"/>
    <mergeCell ref="N21:N22"/>
    <mergeCell ref="B23:E23"/>
    <mergeCell ref="F23:F24"/>
    <mergeCell ref="G23:G24"/>
    <mergeCell ref="H23:H24"/>
    <mergeCell ref="I23:I24"/>
    <mergeCell ref="J23:J24"/>
    <mergeCell ref="K23:K24"/>
    <mergeCell ref="L23:L24"/>
    <mergeCell ref="M23:M24"/>
    <mergeCell ref="N23:N24"/>
    <mergeCell ref="B21:E21"/>
    <mergeCell ref="F21:F22"/>
    <mergeCell ref="G21:G22"/>
    <mergeCell ref="H21:H22"/>
    <mergeCell ref="I21:I22"/>
    <mergeCell ref="J21:J22"/>
    <mergeCell ref="K21:K22"/>
    <mergeCell ref="L21:L22"/>
    <mergeCell ref="M21:M22"/>
    <mergeCell ref="N17:N18"/>
    <mergeCell ref="B19:E19"/>
    <mergeCell ref="F19:F20"/>
    <mergeCell ref="G19:G20"/>
    <mergeCell ref="H19:H20"/>
    <mergeCell ref="I19:I20"/>
    <mergeCell ref="J19:J20"/>
    <mergeCell ref="K19:K20"/>
    <mergeCell ref="L19:L20"/>
    <mergeCell ref="M19:M20"/>
    <mergeCell ref="N19:N20"/>
    <mergeCell ref="B17:E17"/>
    <mergeCell ref="F17:F18"/>
    <mergeCell ref="G17:G18"/>
    <mergeCell ref="H17:H18"/>
    <mergeCell ref="I17:I18"/>
    <mergeCell ref="J17:J18"/>
    <mergeCell ref="K17:K18"/>
    <mergeCell ref="L17:L18"/>
    <mergeCell ref="M17:M18"/>
    <mergeCell ref="N13:N14"/>
    <mergeCell ref="B15:E15"/>
    <mergeCell ref="F15:F16"/>
    <mergeCell ref="G15:G16"/>
    <mergeCell ref="H15:H16"/>
    <mergeCell ref="I15:I16"/>
    <mergeCell ref="J15:J16"/>
    <mergeCell ref="K15:K16"/>
    <mergeCell ref="L15:L16"/>
    <mergeCell ref="M15:M16"/>
    <mergeCell ref="N15:N16"/>
    <mergeCell ref="B13:E13"/>
    <mergeCell ref="F13:F14"/>
    <mergeCell ref="G13:G14"/>
    <mergeCell ref="H13:H14"/>
    <mergeCell ref="I13:I14"/>
    <mergeCell ref="J13:J14"/>
    <mergeCell ref="K13:K14"/>
    <mergeCell ref="L13:L14"/>
    <mergeCell ref="M13:M14"/>
    <mergeCell ref="N9:N10"/>
    <mergeCell ref="B11:E11"/>
    <mergeCell ref="F11:F12"/>
    <mergeCell ref="G11:G12"/>
    <mergeCell ref="H11:H12"/>
    <mergeCell ref="I11:I12"/>
    <mergeCell ref="J11:J12"/>
    <mergeCell ref="K11:K12"/>
    <mergeCell ref="L11:L12"/>
    <mergeCell ref="M11:M12"/>
    <mergeCell ref="N11:N12"/>
    <mergeCell ref="B9:E9"/>
    <mergeCell ref="F9:F10"/>
    <mergeCell ref="G9:G10"/>
    <mergeCell ref="H9:H10"/>
    <mergeCell ref="I9:I10"/>
    <mergeCell ref="J9:J10"/>
    <mergeCell ref="K9:K10"/>
    <mergeCell ref="L9:L10"/>
    <mergeCell ref="M9:M10"/>
    <mergeCell ref="N5:N6"/>
    <mergeCell ref="B7:E7"/>
    <mergeCell ref="F7:F8"/>
    <mergeCell ref="G7:G8"/>
    <mergeCell ref="H7:H8"/>
    <mergeCell ref="I7:I8"/>
    <mergeCell ref="J7:J8"/>
    <mergeCell ref="K7:K8"/>
    <mergeCell ref="L7:L8"/>
    <mergeCell ref="M7:M8"/>
    <mergeCell ref="N7:N8"/>
    <mergeCell ref="B5:E5"/>
    <mergeCell ref="F5:F6"/>
    <mergeCell ref="G5:G6"/>
    <mergeCell ref="H5:H6"/>
    <mergeCell ref="I5:I6"/>
    <mergeCell ref="J5:J6"/>
    <mergeCell ref="K5:K6"/>
    <mergeCell ref="L5:L6"/>
    <mergeCell ref="M5:M6"/>
    <mergeCell ref="B1:AF1"/>
    <mergeCell ref="B3:E3"/>
    <mergeCell ref="F3:F4"/>
    <mergeCell ref="G3:H3"/>
    <mergeCell ref="K3:L3"/>
    <mergeCell ref="O3:Q3"/>
    <mergeCell ref="R3:S3"/>
    <mergeCell ref="U3:V3"/>
    <mergeCell ref="X3:Y3"/>
    <mergeCell ref="AA3:AB3"/>
    <mergeCell ref="AD3:AE3"/>
  </mergeCells>
  <phoneticPr fontId="100" type="noConversion"/>
  <pageMargins left="0.31496062992125984" right="0.31496062992125984" top="0.31496062992125984" bottom="0.31496062992125984" header="0" footer="0"/>
  <pageSetup paperSize="9" scale="77"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66FF"/>
  </sheetPr>
  <dimension ref="A1:P37"/>
  <sheetViews>
    <sheetView zoomScaleNormal="100" workbookViewId="0">
      <pane ySplit="1" topLeftCell="A2" activePane="bottomLeft" state="frozen"/>
      <selection activeCell="B1" sqref="B1:O1"/>
      <selection pane="bottomLeft" activeCell="B1" sqref="B1:P1"/>
    </sheetView>
  </sheetViews>
  <sheetFormatPr defaultRowHeight="18" customHeight="1"/>
  <cols>
    <col min="1" max="1" width="1" style="102" customWidth="1"/>
    <col min="2" max="3" width="9" style="102"/>
    <col min="4" max="4" width="11.25" style="102" customWidth="1"/>
    <col min="5" max="9" width="8.625" style="102" customWidth="1"/>
    <col min="10" max="10" width="7.875" style="102" customWidth="1"/>
    <col min="11" max="16" width="8.625" style="102" customWidth="1"/>
    <col min="17" max="16384" width="9" style="102"/>
  </cols>
  <sheetData>
    <row r="1" spans="1:16" s="63" customFormat="1" ht="30" customHeight="1" thickBot="1">
      <c r="A1" s="313"/>
      <c r="B1" s="1083" t="s">
        <v>1703</v>
      </c>
      <c r="C1" s="1083"/>
      <c r="D1" s="1083"/>
      <c r="E1" s="1083"/>
      <c r="F1" s="1083"/>
      <c r="G1" s="1083"/>
      <c r="H1" s="1083"/>
      <c r="I1" s="1083"/>
      <c r="J1" s="1083"/>
      <c r="K1" s="1083"/>
      <c r="L1" s="1083"/>
      <c r="M1" s="1083"/>
      <c r="N1" s="1083"/>
      <c r="O1" s="1083"/>
      <c r="P1" s="1083"/>
    </row>
    <row r="2" spans="1:16" s="65" customFormat="1" ht="18" customHeight="1" thickTop="1">
      <c r="B2" s="64"/>
      <c r="C2" s="64"/>
      <c r="D2" s="64"/>
      <c r="G2" s="66"/>
      <c r="H2" s="66"/>
      <c r="I2" s="66"/>
      <c r="J2" s="66"/>
    </row>
    <row r="3" spans="1:16" s="66" customFormat="1" ht="18" customHeight="1" thickBot="1">
      <c r="B3" s="67" t="s">
        <v>1229</v>
      </c>
      <c r="C3" s="67"/>
      <c r="D3" s="65"/>
      <c r="F3" s="65"/>
      <c r="K3" s="65"/>
    </row>
    <row r="4" spans="1:16" s="66" customFormat="1" ht="18" customHeight="1">
      <c r="B4" s="1288" t="s">
        <v>1071</v>
      </c>
      <c r="C4" s="1289"/>
      <c r="D4" s="1190" t="s">
        <v>1072</v>
      </c>
      <c r="E4" s="1190"/>
      <c r="F4" s="1190"/>
      <c r="G4" s="1190"/>
      <c r="H4" s="1190"/>
      <c r="I4" s="1190"/>
      <c r="J4" s="1190"/>
      <c r="K4" s="1190" t="s">
        <v>1073</v>
      </c>
      <c r="L4" s="1190"/>
      <c r="M4" s="1190"/>
      <c r="N4" s="1190"/>
      <c r="O4" s="1190"/>
      <c r="P4" s="1191"/>
    </row>
    <row r="5" spans="1:16" s="66" customFormat="1" ht="18" customHeight="1">
      <c r="B5" s="1265" t="s">
        <v>1230</v>
      </c>
      <c r="C5" s="1266"/>
      <c r="D5" s="2136" t="s">
        <v>1231</v>
      </c>
      <c r="E5" s="2136"/>
      <c r="F5" s="2136"/>
      <c r="G5" s="2136"/>
      <c r="H5" s="2136"/>
      <c r="I5" s="2136"/>
      <c r="J5" s="2136"/>
      <c r="K5" s="1194" t="s">
        <v>1232</v>
      </c>
      <c r="L5" s="1194"/>
      <c r="M5" s="1194"/>
      <c r="N5" s="1194"/>
      <c r="O5" s="1194"/>
      <c r="P5" s="1195"/>
    </row>
    <row r="6" spans="1:16" s="66" customFormat="1" ht="18" customHeight="1">
      <c r="B6" s="1267"/>
      <c r="C6" s="1268"/>
      <c r="D6" s="2136" t="s">
        <v>1233</v>
      </c>
      <c r="E6" s="2136"/>
      <c r="F6" s="2136"/>
      <c r="G6" s="2136"/>
      <c r="H6" s="2136"/>
      <c r="I6" s="2136"/>
      <c r="J6" s="2136"/>
      <c r="K6" s="1477" t="s">
        <v>1234</v>
      </c>
      <c r="L6" s="1478"/>
      <c r="M6" s="1478"/>
      <c r="N6" s="1478"/>
      <c r="O6" s="1478"/>
      <c r="P6" s="1479"/>
    </row>
    <row r="7" spans="1:16" s="66" customFormat="1" ht="18" customHeight="1" thickBot="1">
      <c r="B7" s="1269"/>
      <c r="C7" s="1270"/>
      <c r="D7" s="2137" t="s">
        <v>1235</v>
      </c>
      <c r="E7" s="2137"/>
      <c r="F7" s="2137"/>
      <c r="G7" s="2137"/>
      <c r="H7" s="2137"/>
      <c r="I7" s="2137"/>
      <c r="J7" s="2137"/>
      <c r="K7" s="1429" t="s">
        <v>1236</v>
      </c>
      <c r="L7" s="1430"/>
      <c r="M7" s="1430"/>
      <c r="N7" s="1430"/>
      <c r="O7" s="1430"/>
      <c r="P7" s="1431"/>
    </row>
    <row r="8" spans="1:16" s="66" customFormat="1" ht="12.75" customHeight="1">
      <c r="D8" s="65"/>
      <c r="F8" s="65"/>
      <c r="K8" s="65"/>
    </row>
    <row r="9" spans="1:16" s="66" customFormat="1" ht="18" customHeight="1" thickBot="1">
      <c r="B9" s="67" t="s">
        <v>1237</v>
      </c>
      <c r="C9" s="67"/>
      <c r="D9" s="65"/>
      <c r="F9" s="65"/>
      <c r="K9" s="65"/>
    </row>
    <row r="10" spans="1:16" s="66" customFormat="1" ht="18" customHeight="1">
      <c r="B10" s="1288" t="s">
        <v>1071</v>
      </c>
      <c r="C10" s="1289"/>
      <c r="D10" s="1190" t="s">
        <v>1072</v>
      </c>
      <c r="E10" s="1190"/>
      <c r="F10" s="1190"/>
      <c r="G10" s="1190"/>
      <c r="H10" s="1190"/>
      <c r="I10" s="1190"/>
      <c r="J10" s="1190"/>
      <c r="K10" s="1190" t="s">
        <v>1073</v>
      </c>
      <c r="L10" s="1190"/>
      <c r="M10" s="1190"/>
      <c r="N10" s="1190"/>
      <c r="O10" s="1190"/>
      <c r="P10" s="1191"/>
    </row>
    <row r="11" spans="1:16" s="66" customFormat="1" ht="18" customHeight="1">
      <c r="B11" s="1512" t="s">
        <v>1238</v>
      </c>
      <c r="C11" s="1734"/>
      <c r="D11" s="1477" t="s">
        <v>1239</v>
      </c>
      <c r="E11" s="1478"/>
      <c r="F11" s="1478"/>
      <c r="G11" s="1478"/>
      <c r="H11" s="1478"/>
      <c r="I11" s="1478"/>
      <c r="J11" s="1276"/>
      <c r="K11" s="1477"/>
      <c r="L11" s="1478"/>
      <c r="M11" s="1478"/>
      <c r="N11" s="1478"/>
      <c r="O11" s="1478"/>
      <c r="P11" s="1479"/>
    </row>
    <row r="12" spans="1:16" s="66" customFormat="1" ht="18" customHeight="1" thickBot="1">
      <c r="B12" s="1269" t="s">
        <v>1240</v>
      </c>
      <c r="C12" s="1270"/>
      <c r="D12" s="1429" t="s">
        <v>1241</v>
      </c>
      <c r="E12" s="1430"/>
      <c r="F12" s="1430"/>
      <c r="G12" s="1430"/>
      <c r="H12" s="1430"/>
      <c r="I12" s="1430"/>
      <c r="J12" s="2138"/>
      <c r="K12" s="2139" t="s">
        <v>1242</v>
      </c>
      <c r="L12" s="2140"/>
      <c r="M12" s="2140"/>
      <c r="N12" s="2140"/>
      <c r="O12" s="2140"/>
      <c r="P12" s="2141"/>
    </row>
    <row r="13" spans="1:16" s="66" customFormat="1" ht="18" customHeight="1">
      <c r="B13" s="502"/>
      <c r="C13" s="502"/>
      <c r="D13" s="980"/>
      <c r="F13" s="65"/>
      <c r="K13" s="980"/>
    </row>
    <row r="14" spans="1:16" s="66" customFormat="1" ht="18" customHeight="1" thickBot="1">
      <c r="B14" s="67" t="s">
        <v>1243</v>
      </c>
      <c r="C14" s="67"/>
      <c r="D14" s="65"/>
      <c r="F14" s="65"/>
      <c r="K14" s="65"/>
    </row>
    <row r="15" spans="1:16" s="66" customFormat="1" ht="18" customHeight="1">
      <c r="B15" s="1288" t="s">
        <v>1071</v>
      </c>
      <c r="C15" s="1289"/>
      <c r="D15" s="1190" t="s">
        <v>1072</v>
      </c>
      <c r="E15" s="1190"/>
      <c r="F15" s="1190"/>
      <c r="G15" s="1190"/>
      <c r="H15" s="1190"/>
      <c r="I15" s="1190"/>
      <c r="J15" s="1190"/>
      <c r="K15" s="1190" t="s">
        <v>1244</v>
      </c>
      <c r="L15" s="1190"/>
      <c r="M15" s="1190"/>
      <c r="N15" s="1190"/>
      <c r="O15" s="1190"/>
      <c r="P15" s="1191"/>
    </row>
    <row r="16" spans="1:16" s="66" customFormat="1" ht="18" customHeight="1">
      <c r="B16" s="1512" t="s">
        <v>1245</v>
      </c>
      <c r="C16" s="1734"/>
      <c r="D16" s="2136" t="s">
        <v>1246</v>
      </c>
      <c r="E16" s="2136"/>
      <c r="F16" s="2136"/>
      <c r="G16" s="2136"/>
      <c r="H16" s="2136"/>
      <c r="I16" s="2136"/>
      <c r="J16" s="2136"/>
      <c r="K16" s="1194" t="s">
        <v>249</v>
      </c>
      <c r="L16" s="1194"/>
      <c r="M16" s="1194"/>
      <c r="N16" s="1194"/>
      <c r="O16" s="1194"/>
      <c r="P16" s="1195"/>
    </row>
    <row r="17" spans="2:16" s="66" customFormat="1" ht="18" customHeight="1">
      <c r="B17" s="2146" t="s">
        <v>1247</v>
      </c>
      <c r="C17" s="2147"/>
      <c r="D17" s="2150" t="s">
        <v>1248</v>
      </c>
      <c r="E17" s="2150"/>
      <c r="F17" s="2150"/>
      <c r="G17" s="2150"/>
      <c r="H17" s="2150"/>
      <c r="I17" s="2150"/>
      <c r="J17" s="2150"/>
      <c r="K17" s="2151" t="s">
        <v>1249</v>
      </c>
      <c r="L17" s="2152"/>
      <c r="M17" s="2152"/>
      <c r="N17" s="2152"/>
      <c r="O17" s="2152"/>
      <c r="P17" s="2153"/>
    </row>
    <row r="18" spans="2:16" s="66" customFormat="1" ht="12" customHeight="1">
      <c r="B18" s="2148"/>
      <c r="C18" s="2149"/>
      <c r="D18" s="2157" t="s">
        <v>1250</v>
      </c>
      <c r="E18" s="2158"/>
      <c r="F18" s="2158"/>
      <c r="G18" s="2158"/>
      <c r="H18" s="2158"/>
      <c r="I18" s="2158"/>
      <c r="J18" s="2158"/>
      <c r="K18" s="2154"/>
      <c r="L18" s="2155"/>
      <c r="M18" s="2155"/>
      <c r="N18" s="2155"/>
      <c r="O18" s="2155"/>
      <c r="P18" s="2156"/>
    </row>
    <row r="19" spans="2:16" s="66" customFormat="1" ht="18" customHeight="1">
      <c r="B19" s="2146" t="s">
        <v>1251</v>
      </c>
      <c r="C19" s="2147"/>
      <c r="D19" s="278" t="s">
        <v>1252</v>
      </c>
      <c r="E19" s="503"/>
      <c r="F19" s="503"/>
      <c r="G19" s="503"/>
      <c r="H19" s="503"/>
      <c r="I19" s="503"/>
      <c r="J19" s="503"/>
      <c r="K19" s="277"/>
      <c r="L19" s="277"/>
      <c r="M19" s="277"/>
      <c r="N19" s="277"/>
      <c r="O19" s="277"/>
      <c r="P19" s="276"/>
    </row>
    <row r="20" spans="2:16" s="66" customFormat="1" ht="18" customHeight="1">
      <c r="B20" s="2159"/>
      <c r="C20" s="2160"/>
      <c r="D20" s="275" t="s">
        <v>1253</v>
      </c>
      <c r="E20" s="274"/>
      <c r="F20" s="274"/>
      <c r="G20" s="274"/>
      <c r="H20" s="274"/>
      <c r="I20" s="274"/>
      <c r="J20" s="274"/>
      <c r="K20" s="273"/>
      <c r="L20" s="273"/>
      <c r="M20" s="273"/>
      <c r="N20" s="273"/>
      <c r="O20" s="273"/>
      <c r="P20" s="272"/>
    </row>
    <row r="21" spans="2:16" s="66" customFormat="1" ht="18" customHeight="1">
      <c r="B21" s="2159"/>
      <c r="C21" s="2160"/>
      <c r="D21" s="275" t="s">
        <v>1254</v>
      </c>
      <c r="E21" s="274"/>
      <c r="F21" s="274"/>
      <c r="G21" s="274"/>
      <c r="H21" s="274"/>
      <c r="I21" s="274"/>
      <c r="J21" s="274"/>
      <c r="K21" s="273"/>
      <c r="L21" s="273"/>
      <c r="M21" s="273"/>
      <c r="N21" s="273"/>
      <c r="O21" s="273"/>
      <c r="P21" s="272"/>
    </row>
    <row r="22" spans="2:16" s="66" customFormat="1" ht="18" customHeight="1">
      <c r="B22" s="2159"/>
      <c r="C22" s="2160"/>
      <c r="D22" s="275" t="s">
        <v>1255</v>
      </c>
      <c r="E22" s="274"/>
      <c r="F22" s="274"/>
      <c r="G22" s="274"/>
      <c r="H22" s="274"/>
      <c r="I22" s="274"/>
      <c r="J22" s="274"/>
      <c r="K22" s="273"/>
      <c r="L22" s="273"/>
      <c r="M22" s="273"/>
      <c r="N22" s="273"/>
      <c r="O22" s="273"/>
      <c r="P22" s="272"/>
    </row>
    <row r="23" spans="2:16" s="66" customFormat="1" ht="18" customHeight="1">
      <c r="B23" s="2159"/>
      <c r="C23" s="2160"/>
      <c r="D23" s="344" t="s">
        <v>1256</v>
      </c>
      <c r="E23" s="504"/>
      <c r="F23" s="504"/>
      <c r="G23" s="504"/>
      <c r="H23" s="504"/>
      <c r="I23" s="504"/>
      <c r="J23" s="504"/>
      <c r="K23" s="345"/>
      <c r="L23" s="345"/>
      <c r="M23" s="345"/>
      <c r="N23" s="345"/>
      <c r="O23" s="345"/>
      <c r="P23" s="346"/>
    </row>
    <row r="24" spans="2:16" s="66" customFormat="1" ht="18" customHeight="1">
      <c r="B24" s="2167" t="s">
        <v>1257</v>
      </c>
      <c r="C24" s="2168"/>
      <c r="D24" s="2161" t="s">
        <v>1258</v>
      </c>
      <c r="E24" s="2162"/>
      <c r="F24" s="2162"/>
      <c r="G24" s="2162"/>
      <c r="H24" s="2162"/>
      <c r="I24" s="2162"/>
      <c r="J24" s="2162"/>
      <c r="K24" s="2162"/>
      <c r="L24" s="2162"/>
      <c r="M24" s="2162"/>
      <c r="N24" s="2162"/>
      <c r="O24" s="2162"/>
      <c r="P24" s="2163"/>
    </row>
    <row r="25" spans="2:16" s="66" customFormat="1" ht="35.25" customHeight="1" thickBot="1">
      <c r="B25" s="1741"/>
      <c r="C25" s="1742"/>
      <c r="D25" s="2164"/>
      <c r="E25" s="2165"/>
      <c r="F25" s="2165"/>
      <c r="G25" s="2165"/>
      <c r="H25" s="2165"/>
      <c r="I25" s="2165"/>
      <c r="J25" s="2165"/>
      <c r="K25" s="2165"/>
      <c r="L25" s="2165"/>
      <c r="M25" s="2165"/>
      <c r="N25" s="2165"/>
      <c r="O25" s="2165"/>
      <c r="P25" s="2166"/>
    </row>
    <row r="26" spans="2:16" s="66" customFormat="1" ht="12.75" customHeight="1">
      <c r="B26" s="502"/>
      <c r="C26" s="502"/>
      <c r="D26" s="980"/>
      <c r="F26" s="65"/>
      <c r="K26" s="980"/>
    </row>
    <row r="27" spans="2:16" s="65" customFormat="1" ht="18" customHeight="1" thickBot="1">
      <c r="B27" s="67" t="s">
        <v>247</v>
      </c>
      <c r="C27" s="67"/>
      <c r="G27" s="66"/>
      <c r="H27" s="66"/>
      <c r="I27" s="66"/>
      <c r="J27" s="66"/>
    </row>
    <row r="28" spans="2:16" s="65" customFormat="1" ht="18" customHeight="1">
      <c r="B28" s="1288" t="s">
        <v>1259</v>
      </c>
      <c r="C28" s="1289"/>
      <c r="D28" s="1190" t="s">
        <v>248</v>
      </c>
      <c r="E28" s="1190"/>
      <c r="F28" s="1190"/>
      <c r="G28" s="1190"/>
      <c r="H28" s="1190"/>
      <c r="I28" s="1190"/>
      <c r="J28" s="1190"/>
      <c r="K28" s="1190" t="s">
        <v>1260</v>
      </c>
      <c r="L28" s="1190"/>
      <c r="M28" s="1190"/>
      <c r="N28" s="1190"/>
      <c r="O28" s="1190"/>
      <c r="P28" s="1191"/>
    </row>
    <row r="29" spans="2:16" s="65" customFormat="1" ht="18" customHeight="1">
      <c r="B29" s="1512" t="s">
        <v>250</v>
      </c>
      <c r="C29" s="1734"/>
      <c r="D29" s="1281" t="s">
        <v>1261</v>
      </c>
      <c r="E29" s="1464"/>
      <c r="F29" s="1464"/>
      <c r="G29" s="1464"/>
      <c r="H29" s="1464"/>
      <c r="I29" s="1464"/>
      <c r="J29" s="2142"/>
      <c r="K29" s="2143" t="s">
        <v>251</v>
      </c>
      <c r="L29" s="2144"/>
      <c r="M29" s="2144"/>
      <c r="N29" s="2144"/>
      <c r="O29" s="2144"/>
      <c r="P29" s="2145"/>
    </row>
    <row r="30" spans="2:16" s="65" customFormat="1" ht="18" customHeight="1">
      <c r="B30" s="1267" t="s">
        <v>1262</v>
      </c>
      <c r="C30" s="1268"/>
      <c r="D30" s="2172" t="s">
        <v>43</v>
      </c>
      <c r="E30" s="2172"/>
      <c r="F30" s="2172"/>
      <c r="G30" s="2172"/>
      <c r="H30" s="2172"/>
      <c r="I30" s="2172"/>
      <c r="J30" s="2172"/>
      <c r="K30" s="2172" t="s">
        <v>44</v>
      </c>
      <c r="L30" s="2172"/>
      <c r="M30" s="2172"/>
      <c r="N30" s="2172"/>
      <c r="O30" s="2172"/>
      <c r="P30" s="2173"/>
    </row>
    <row r="31" spans="2:16" s="65" customFormat="1" ht="18" customHeight="1" thickBot="1">
      <c r="B31" s="1267"/>
      <c r="C31" s="1268"/>
      <c r="D31" s="2158" t="s">
        <v>45</v>
      </c>
      <c r="E31" s="2158"/>
      <c r="F31" s="2158"/>
      <c r="G31" s="2158"/>
      <c r="H31" s="2172"/>
      <c r="I31" s="2172"/>
      <c r="J31" s="2158"/>
      <c r="K31" s="2172" t="s">
        <v>252</v>
      </c>
      <c r="L31" s="2172"/>
      <c r="M31" s="2172"/>
      <c r="N31" s="2172"/>
      <c r="O31" s="2172"/>
      <c r="P31" s="2173"/>
    </row>
    <row r="32" spans="2:16" s="65" customFormat="1" ht="18" customHeight="1">
      <c r="B32" s="1267"/>
      <c r="C32" s="1268"/>
      <c r="D32" s="960" t="s">
        <v>1263</v>
      </c>
      <c r="E32" s="960" t="s">
        <v>1264</v>
      </c>
      <c r="F32" s="960" t="s">
        <v>1265</v>
      </c>
      <c r="G32" s="981" t="s">
        <v>1266</v>
      </c>
      <c r="H32" s="416" t="s">
        <v>1267</v>
      </c>
      <c r="I32" s="194" t="s">
        <v>1268</v>
      </c>
      <c r="J32" s="194" t="s">
        <v>1269</v>
      </c>
      <c r="K32" s="2172" t="s">
        <v>1270</v>
      </c>
      <c r="L32" s="2172"/>
      <c r="M32" s="2172"/>
      <c r="N32" s="2172"/>
      <c r="O32" s="2172"/>
      <c r="P32" s="2173"/>
    </row>
    <row r="33" spans="2:16" s="65" customFormat="1" ht="18" customHeight="1" thickBot="1">
      <c r="B33" s="1454"/>
      <c r="C33" s="1455"/>
      <c r="D33" s="960" t="s">
        <v>1271</v>
      </c>
      <c r="E33" s="69">
        <v>1.1000000000000001</v>
      </c>
      <c r="F33" s="69">
        <v>1.06</v>
      </c>
      <c r="G33" s="264">
        <v>1.03</v>
      </c>
      <c r="H33" s="271">
        <v>1</v>
      </c>
      <c r="I33" s="265">
        <v>0.8</v>
      </c>
      <c r="J33" s="265">
        <v>0.6</v>
      </c>
      <c r="K33" s="2154" t="s">
        <v>1272</v>
      </c>
      <c r="L33" s="2174"/>
      <c r="M33" s="2174"/>
      <c r="N33" s="2174"/>
      <c r="O33" s="2174"/>
      <c r="P33" s="2175"/>
    </row>
    <row r="34" spans="2:16" s="65" customFormat="1" ht="18" customHeight="1">
      <c r="B34" s="1265" t="s">
        <v>1273</v>
      </c>
      <c r="C34" s="1266"/>
      <c r="D34" s="2150" t="s">
        <v>1274</v>
      </c>
      <c r="E34" s="2150"/>
      <c r="F34" s="2150"/>
      <c r="G34" s="2150"/>
      <c r="H34" s="2172"/>
      <c r="I34" s="2172"/>
      <c r="J34" s="2150"/>
      <c r="K34" s="2172"/>
      <c r="L34" s="2172"/>
      <c r="M34" s="2172"/>
      <c r="N34" s="2172"/>
      <c r="O34" s="2172"/>
      <c r="P34" s="2173"/>
    </row>
    <row r="35" spans="2:16" s="65" customFormat="1" ht="18" customHeight="1" thickBot="1">
      <c r="B35" s="1267"/>
      <c r="C35" s="1268"/>
      <c r="D35" s="2172" t="s">
        <v>1275</v>
      </c>
      <c r="E35" s="2172"/>
      <c r="F35" s="2172"/>
      <c r="G35" s="2172"/>
      <c r="H35" s="2172"/>
      <c r="I35" s="2172"/>
      <c r="J35" s="2172"/>
      <c r="K35" s="2176"/>
      <c r="L35" s="2176"/>
      <c r="M35" s="2176"/>
      <c r="N35" s="2176"/>
      <c r="O35" s="2176"/>
      <c r="P35" s="2177"/>
    </row>
    <row r="36" spans="2:16" s="65" customFormat="1" ht="18" customHeight="1">
      <c r="B36" s="1267"/>
      <c r="C36" s="1268"/>
      <c r="D36" s="960" t="s">
        <v>1276</v>
      </c>
      <c r="E36" s="960" t="s">
        <v>1277</v>
      </c>
      <c r="F36" s="960" t="s">
        <v>1278</v>
      </c>
      <c r="G36" s="416" t="s">
        <v>1279</v>
      </c>
      <c r="H36" s="1053" t="s">
        <v>1280</v>
      </c>
      <c r="I36" s="194" t="s">
        <v>1281</v>
      </c>
      <c r="J36" s="194" t="s">
        <v>1282</v>
      </c>
      <c r="K36" s="1724"/>
      <c r="L36" s="1725"/>
      <c r="M36" s="1725"/>
      <c r="N36" s="1725"/>
      <c r="O36" s="1725"/>
      <c r="P36" s="1733"/>
    </row>
    <row r="37" spans="2:16" s="65" customFormat="1" ht="18" customHeight="1" thickBot="1">
      <c r="B37" s="1269"/>
      <c r="C37" s="1270"/>
      <c r="D37" s="959" t="s">
        <v>1283</v>
      </c>
      <c r="E37" s="109">
        <v>0.18</v>
      </c>
      <c r="F37" s="109">
        <v>0.2</v>
      </c>
      <c r="G37" s="1054">
        <v>0.21</v>
      </c>
      <c r="H37" s="1055">
        <v>0.22</v>
      </c>
      <c r="I37" s="1056">
        <v>0.23</v>
      </c>
      <c r="J37" s="1056">
        <v>0.24</v>
      </c>
      <c r="K37" s="2169"/>
      <c r="L37" s="2170"/>
      <c r="M37" s="2170"/>
      <c r="N37" s="2170"/>
      <c r="O37" s="2170"/>
      <c r="P37" s="2171"/>
    </row>
  </sheetData>
  <mergeCells count="53">
    <mergeCell ref="B34:C37"/>
    <mergeCell ref="K37:P37"/>
    <mergeCell ref="B30:C33"/>
    <mergeCell ref="D30:J30"/>
    <mergeCell ref="K30:P30"/>
    <mergeCell ref="D31:J31"/>
    <mergeCell ref="K31:P31"/>
    <mergeCell ref="K32:P32"/>
    <mergeCell ref="K33:P33"/>
    <mergeCell ref="D34:J34"/>
    <mergeCell ref="K34:P34"/>
    <mergeCell ref="D35:J35"/>
    <mergeCell ref="K35:P35"/>
    <mergeCell ref="K36:P36"/>
    <mergeCell ref="B16:C16"/>
    <mergeCell ref="D16:J16"/>
    <mergeCell ref="K16:P16"/>
    <mergeCell ref="B28:C28"/>
    <mergeCell ref="D28:J28"/>
    <mergeCell ref="K28:P28"/>
    <mergeCell ref="B24:C25"/>
    <mergeCell ref="B29:C29"/>
    <mergeCell ref="D29:J29"/>
    <mergeCell ref="K29:P29"/>
    <mergeCell ref="B17:C18"/>
    <mergeCell ref="D17:J17"/>
    <mergeCell ref="K17:P18"/>
    <mergeCell ref="D18:J18"/>
    <mergeCell ref="B19:C23"/>
    <mergeCell ref="D24:P25"/>
    <mergeCell ref="B12:C12"/>
    <mergeCell ref="D12:J12"/>
    <mergeCell ref="K12:P12"/>
    <mergeCell ref="B15:C15"/>
    <mergeCell ref="B10:C10"/>
    <mergeCell ref="D10:J10"/>
    <mergeCell ref="K10:P10"/>
    <mergeCell ref="B11:C11"/>
    <mergeCell ref="D11:J11"/>
    <mergeCell ref="K11:P11"/>
    <mergeCell ref="D15:J15"/>
    <mergeCell ref="K15:P15"/>
    <mergeCell ref="B1:P1"/>
    <mergeCell ref="B4:C4"/>
    <mergeCell ref="D4:J4"/>
    <mergeCell ref="K4:P4"/>
    <mergeCell ref="B5:C7"/>
    <mergeCell ref="D5:J5"/>
    <mergeCell ref="K5:P5"/>
    <mergeCell ref="D6:J6"/>
    <mergeCell ref="K6:P6"/>
    <mergeCell ref="D7:J7"/>
    <mergeCell ref="K7:P7"/>
  </mergeCells>
  <phoneticPr fontId="100" type="noConversion"/>
  <printOptions horizontalCentered="1" verticalCentered="1"/>
  <pageMargins left="0.31496062992125984" right="0.31496062992125984" top="0.31496062992125984" bottom="0.31496062992125984" header="0" footer="0"/>
  <pageSetup paperSize="9" scale="80"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K29"/>
  <sheetViews>
    <sheetView topLeftCell="B1" zoomScaleNormal="100" workbookViewId="0">
      <selection activeCell="B1" sqref="B1:AG1"/>
    </sheetView>
  </sheetViews>
  <sheetFormatPr defaultRowHeight="18" customHeight="1"/>
  <cols>
    <col min="1" max="1" width="0.875" style="102" customWidth="1"/>
    <col min="2" max="2" width="21.875" style="102" customWidth="1"/>
    <col min="3" max="5" width="6.125" style="102" customWidth="1"/>
    <col min="6" max="6" width="7.625" style="102" customWidth="1"/>
    <col min="7" max="9" width="6.5" style="102" customWidth="1"/>
    <col min="10" max="10" width="8.75" style="102" customWidth="1"/>
    <col min="11" max="14" width="7.125" style="102" customWidth="1"/>
    <col min="15" max="15" width="7.75" style="102" customWidth="1"/>
    <col min="16" max="33" width="7.625" style="102" customWidth="1"/>
    <col min="34" max="16384" width="9" style="102"/>
  </cols>
  <sheetData>
    <row r="1" spans="1:37" s="32" customFormat="1" ht="30" customHeight="1" thickBot="1">
      <c r="B1" s="1201" t="s">
        <v>1702</v>
      </c>
      <c r="C1" s="1201"/>
      <c r="D1" s="1201"/>
      <c r="E1" s="1201"/>
      <c r="F1" s="1201"/>
      <c r="G1" s="1201"/>
      <c r="H1" s="1201"/>
      <c r="I1" s="1201"/>
      <c r="J1" s="1201"/>
      <c r="K1" s="1201"/>
      <c r="L1" s="1201"/>
      <c r="M1" s="1201"/>
      <c r="N1" s="1201"/>
      <c r="O1" s="1201"/>
      <c r="P1" s="1201"/>
      <c r="Q1" s="1201"/>
      <c r="R1" s="1201"/>
      <c r="S1" s="1201"/>
      <c r="T1" s="1201"/>
      <c r="U1" s="1201"/>
      <c r="V1" s="1201"/>
      <c r="W1" s="1201"/>
      <c r="X1" s="1201"/>
      <c r="Y1" s="1201"/>
      <c r="Z1" s="1201"/>
      <c r="AA1" s="1201"/>
      <c r="AB1" s="1201"/>
      <c r="AC1" s="1201"/>
      <c r="AD1" s="1201"/>
      <c r="AE1" s="1201"/>
      <c r="AF1" s="1201"/>
      <c r="AG1" s="1201"/>
    </row>
    <row r="2" spans="1:37" s="235" customFormat="1" ht="6" customHeight="1" thickTop="1">
      <c r="A2" s="65"/>
      <c r="B2" s="64"/>
      <c r="C2" s="64"/>
      <c r="D2" s="64"/>
      <c r="E2" s="64"/>
      <c r="F2" s="64"/>
      <c r="G2" s="64"/>
      <c r="H2" s="65"/>
      <c r="I2" s="65"/>
      <c r="J2" s="66"/>
      <c r="K2" s="66"/>
      <c r="L2" s="65"/>
      <c r="M2" s="65"/>
      <c r="N2" s="65"/>
      <c r="O2" s="65"/>
      <c r="P2" s="65"/>
      <c r="Q2" s="65"/>
      <c r="R2" s="65"/>
      <c r="S2" s="65"/>
      <c r="T2" s="65"/>
      <c r="U2" s="65"/>
      <c r="V2" s="65"/>
      <c r="W2" s="65"/>
      <c r="X2" s="65"/>
      <c r="Y2" s="65"/>
      <c r="Z2" s="65"/>
      <c r="AA2" s="65"/>
      <c r="AB2" s="65"/>
      <c r="AC2" s="65"/>
      <c r="AD2" s="65"/>
      <c r="AE2" s="65"/>
      <c r="AF2" s="65"/>
      <c r="AG2" s="65"/>
      <c r="AH2" s="65"/>
      <c r="AI2" s="65"/>
      <c r="AJ2" s="65"/>
      <c r="AK2" s="65"/>
    </row>
    <row r="3" spans="1:37" s="262" customFormat="1" ht="18" customHeight="1">
      <c r="B3" s="350" t="s">
        <v>1172</v>
      </c>
      <c r="C3" s="261"/>
      <c r="D3" s="261"/>
      <c r="E3" s="261"/>
      <c r="F3" s="261"/>
      <c r="G3" s="261"/>
      <c r="M3" s="263"/>
      <c r="N3" s="263"/>
      <c r="O3" s="263"/>
    </row>
    <row r="4" spans="1:37" s="235" customFormat="1" ht="6" customHeight="1" thickBot="1">
      <c r="A4" s="65"/>
      <c r="B4" s="64"/>
      <c r="C4" s="64"/>
      <c r="D4" s="64"/>
      <c r="E4" s="64"/>
      <c r="F4" s="64"/>
      <c r="G4" s="64"/>
      <c r="H4" s="65"/>
      <c r="I4" s="65"/>
      <c r="J4" s="66"/>
      <c r="K4" s="66"/>
      <c r="L4" s="65"/>
      <c r="M4" s="65"/>
      <c r="N4" s="65"/>
      <c r="O4" s="65"/>
      <c r="P4" s="65"/>
      <c r="Q4" s="65"/>
      <c r="R4" s="65"/>
      <c r="S4" s="65"/>
      <c r="T4" s="65"/>
      <c r="U4" s="65"/>
      <c r="V4" s="65"/>
      <c r="W4" s="65"/>
      <c r="X4" s="65"/>
      <c r="Y4" s="65"/>
      <c r="Z4" s="65"/>
      <c r="AA4" s="65"/>
      <c r="AB4" s="65"/>
      <c r="AC4" s="65"/>
      <c r="AD4" s="65"/>
      <c r="AE4" s="65"/>
      <c r="AF4" s="65"/>
      <c r="AG4" s="65"/>
      <c r="AH4" s="65"/>
      <c r="AI4" s="65"/>
      <c r="AJ4" s="65"/>
      <c r="AK4" s="65"/>
    </row>
    <row r="5" spans="1:37" s="15" customFormat="1" ht="18" customHeight="1">
      <c r="B5" s="1202" t="s">
        <v>1173</v>
      </c>
      <c r="C5" s="1203"/>
      <c r="D5" s="1203"/>
      <c r="E5" s="1204"/>
      <c r="F5" s="1544" t="s">
        <v>1174</v>
      </c>
      <c r="G5" s="1311" t="s">
        <v>1175</v>
      </c>
      <c r="H5" s="1312"/>
      <c r="I5" s="1313"/>
      <c r="J5" s="1546" t="s">
        <v>1284</v>
      </c>
      <c r="K5" s="1547"/>
      <c r="L5" s="1547"/>
      <c r="M5" s="1451"/>
      <c r="N5" s="2184" t="s">
        <v>1285</v>
      </c>
      <c r="O5" s="2184" t="s">
        <v>1286</v>
      </c>
      <c r="P5" s="1448" t="s">
        <v>1178</v>
      </c>
      <c r="Q5" s="1312"/>
      <c r="R5" s="1449"/>
      <c r="S5" s="1450" t="s">
        <v>1179</v>
      </c>
      <c r="T5" s="1451"/>
      <c r="U5" s="233">
        <v>0.93</v>
      </c>
      <c r="V5" s="1450" t="s">
        <v>1180</v>
      </c>
      <c r="W5" s="1451"/>
      <c r="X5" s="233">
        <v>0.86</v>
      </c>
      <c r="Y5" s="1450" t="s">
        <v>1181</v>
      </c>
      <c r="Z5" s="1451"/>
      <c r="AA5" s="233">
        <v>0.83</v>
      </c>
      <c r="AB5" s="1450" t="s">
        <v>1182</v>
      </c>
      <c r="AC5" s="1451"/>
      <c r="AD5" s="233">
        <v>0.75</v>
      </c>
      <c r="AE5" s="1324" t="s">
        <v>1287</v>
      </c>
      <c r="AF5" s="1218"/>
      <c r="AG5" s="233">
        <v>0.7</v>
      </c>
    </row>
    <row r="6" spans="1:37" s="15" customFormat="1" ht="24.95" customHeight="1" thickBot="1">
      <c r="B6" s="232" t="s">
        <v>1288</v>
      </c>
      <c r="C6" s="178" t="s">
        <v>1289</v>
      </c>
      <c r="D6" s="103" t="s">
        <v>1290</v>
      </c>
      <c r="E6" s="428" t="s">
        <v>1291</v>
      </c>
      <c r="F6" s="1545"/>
      <c r="G6" s="435" t="s">
        <v>1188</v>
      </c>
      <c r="H6" s="435" t="s">
        <v>1189</v>
      </c>
      <c r="I6" s="435" t="s">
        <v>1190</v>
      </c>
      <c r="J6" s="979" t="s">
        <v>1292</v>
      </c>
      <c r="K6" s="435" t="s">
        <v>1293</v>
      </c>
      <c r="L6" s="435" t="s">
        <v>1294</v>
      </c>
      <c r="M6" s="435" t="s">
        <v>1295</v>
      </c>
      <c r="N6" s="2185"/>
      <c r="O6" s="2185"/>
      <c r="P6" s="829" t="s">
        <v>1202</v>
      </c>
      <c r="Q6" s="830" t="s">
        <v>1203</v>
      </c>
      <c r="R6" s="831" t="s">
        <v>1204</v>
      </c>
      <c r="S6" s="829" t="s">
        <v>1202</v>
      </c>
      <c r="T6" s="830" t="s">
        <v>1203</v>
      </c>
      <c r="U6" s="831" t="s">
        <v>1204</v>
      </c>
      <c r="V6" s="829" t="s">
        <v>1202</v>
      </c>
      <c r="W6" s="830" t="s">
        <v>1203</v>
      </c>
      <c r="X6" s="831" t="s">
        <v>1204</v>
      </c>
      <c r="Y6" s="829" t="s">
        <v>1202</v>
      </c>
      <c r="Z6" s="830" t="s">
        <v>1203</v>
      </c>
      <c r="AA6" s="831" t="s">
        <v>1204</v>
      </c>
      <c r="AB6" s="829" t="s">
        <v>1202</v>
      </c>
      <c r="AC6" s="830" t="s">
        <v>1203</v>
      </c>
      <c r="AD6" s="831" t="s">
        <v>1204</v>
      </c>
      <c r="AE6" s="829" t="s">
        <v>1202</v>
      </c>
      <c r="AF6" s="830" t="s">
        <v>1203</v>
      </c>
      <c r="AG6" s="831" t="s">
        <v>1204</v>
      </c>
    </row>
    <row r="7" spans="1:37" s="15" customFormat="1" ht="18" customHeight="1">
      <c r="B7" s="2186" t="s">
        <v>1296</v>
      </c>
      <c r="C7" s="1222"/>
      <c r="D7" s="1222"/>
      <c r="E7" s="1223"/>
      <c r="F7" s="1533">
        <v>1000</v>
      </c>
      <c r="G7" s="1246">
        <f>F7*C8</f>
        <v>6240</v>
      </c>
      <c r="H7" s="1246">
        <f>F7*D8</f>
        <v>1680</v>
      </c>
      <c r="I7" s="1246">
        <f>F7*E8</f>
        <v>840</v>
      </c>
      <c r="J7" s="1542">
        <f>G7/12*6</f>
        <v>3120</v>
      </c>
      <c r="K7" s="1542">
        <f>G7</f>
        <v>6240</v>
      </c>
      <c r="L7" s="1542">
        <f>H7</f>
        <v>1680</v>
      </c>
      <c r="M7" s="1538">
        <f>I7</f>
        <v>840</v>
      </c>
      <c r="N7" s="1228">
        <f>G7*100%*100%</f>
        <v>6240</v>
      </c>
      <c r="O7" s="1542">
        <f>G7*21%</f>
        <v>1310.3999999999999</v>
      </c>
      <c r="P7" s="20">
        <f>J7+N7+O7</f>
        <v>10670.4</v>
      </c>
      <c r="Q7" s="21">
        <f>K7+N7+O7</f>
        <v>13790.4</v>
      </c>
      <c r="R7" s="22">
        <f>K7+L7+M7+N7+O7</f>
        <v>16310.4</v>
      </c>
      <c r="S7" s="20">
        <f>P7*$U$5</f>
        <v>9923.4719999999998</v>
      </c>
      <c r="T7" s="21">
        <f>Q7*$U$5</f>
        <v>12825.072</v>
      </c>
      <c r="U7" s="22">
        <f>R7*$U$5</f>
        <v>15168.672</v>
      </c>
      <c r="V7" s="20">
        <f>P7*$X$5</f>
        <v>9176.5439999999999</v>
      </c>
      <c r="W7" s="21">
        <f>Q7*$X$5</f>
        <v>11859.743999999999</v>
      </c>
      <c r="X7" s="22">
        <f>R7*$X$5</f>
        <v>14026.944</v>
      </c>
      <c r="Y7" s="20">
        <f>P7*$AA$5</f>
        <v>8856.4319999999989</v>
      </c>
      <c r="Z7" s="21">
        <f>Q7*$AA$5</f>
        <v>11446.031999999999</v>
      </c>
      <c r="AA7" s="22">
        <f>R7*$AA$5</f>
        <v>13537.632</v>
      </c>
      <c r="AB7" s="20">
        <f>P7*$AD$5</f>
        <v>8002.7999999999993</v>
      </c>
      <c r="AC7" s="104">
        <f>Q7*$AD$5</f>
        <v>10342.799999999999</v>
      </c>
      <c r="AD7" s="22">
        <f>R7*$AD$5</f>
        <v>12232.8</v>
      </c>
      <c r="AE7" s="20">
        <f>P7*$AG$5</f>
        <v>7469.2799999999988</v>
      </c>
      <c r="AF7" s="104">
        <f>Q7*$AG$5</f>
        <v>9653.2799999999988</v>
      </c>
      <c r="AG7" s="22">
        <f>R7*$AG$5</f>
        <v>11417.279999999999</v>
      </c>
    </row>
    <row r="8" spans="1:37" s="15" customFormat="1" ht="18" customHeight="1">
      <c r="B8" s="107" t="s">
        <v>1297</v>
      </c>
      <c r="C8" s="982">
        <v>6.24</v>
      </c>
      <c r="D8" s="982">
        <v>1.68</v>
      </c>
      <c r="E8" s="179">
        <v>0.84</v>
      </c>
      <c r="F8" s="1534"/>
      <c r="G8" s="1229"/>
      <c r="H8" s="1229"/>
      <c r="I8" s="1229"/>
      <c r="J8" s="1538"/>
      <c r="K8" s="1538"/>
      <c r="L8" s="1538"/>
      <c r="M8" s="1543"/>
      <c r="N8" s="1246"/>
      <c r="O8" s="1538"/>
      <c r="P8" s="180">
        <f t="shared" ref="P8:AG8" si="0">P7/$F$7</f>
        <v>10.670399999999999</v>
      </c>
      <c r="Q8" s="183">
        <f t="shared" si="0"/>
        <v>13.7904</v>
      </c>
      <c r="R8" s="182">
        <f t="shared" si="0"/>
        <v>16.310400000000001</v>
      </c>
      <c r="S8" s="180">
        <f t="shared" si="0"/>
        <v>9.9234720000000003</v>
      </c>
      <c r="T8" s="183">
        <f t="shared" si="0"/>
        <v>12.825072</v>
      </c>
      <c r="U8" s="182">
        <f t="shared" si="0"/>
        <v>15.168672000000001</v>
      </c>
      <c r="V8" s="180">
        <f t="shared" si="0"/>
        <v>9.1765439999999998</v>
      </c>
      <c r="W8" s="183">
        <f t="shared" si="0"/>
        <v>11.859743999999999</v>
      </c>
      <c r="X8" s="182">
        <f t="shared" si="0"/>
        <v>14.026944</v>
      </c>
      <c r="Y8" s="180">
        <f t="shared" si="0"/>
        <v>8.8564319999999981</v>
      </c>
      <c r="Z8" s="183">
        <f t="shared" si="0"/>
        <v>11.446031999999999</v>
      </c>
      <c r="AA8" s="182">
        <f t="shared" si="0"/>
        <v>13.537632</v>
      </c>
      <c r="AB8" s="180">
        <f t="shared" si="0"/>
        <v>8.0027999999999988</v>
      </c>
      <c r="AC8" s="183">
        <f t="shared" si="0"/>
        <v>10.342799999999999</v>
      </c>
      <c r="AD8" s="182">
        <f t="shared" si="0"/>
        <v>12.232799999999999</v>
      </c>
      <c r="AE8" s="180">
        <f t="shared" si="0"/>
        <v>7.4692799999999986</v>
      </c>
      <c r="AF8" s="184">
        <f t="shared" si="0"/>
        <v>9.6532799999999988</v>
      </c>
      <c r="AG8" s="182">
        <f t="shared" si="0"/>
        <v>11.417279999999998</v>
      </c>
    </row>
    <row r="9" spans="1:37" s="15" customFormat="1" ht="18" customHeight="1">
      <c r="B9" s="2183" t="s">
        <v>1298</v>
      </c>
      <c r="C9" s="2028"/>
      <c r="D9" s="2028"/>
      <c r="E9" s="1442"/>
      <c r="F9" s="1534">
        <v>1000</v>
      </c>
      <c r="G9" s="1234">
        <f>F9*C10</f>
        <v>5520</v>
      </c>
      <c r="H9" s="1234">
        <f>F9*D10</f>
        <v>1680</v>
      </c>
      <c r="I9" s="1234">
        <f>F9*E10</f>
        <v>1200</v>
      </c>
      <c r="J9" s="1537">
        <f>G9/12*6</f>
        <v>2760</v>
      </c>
      <c r="K9" s="1537">
        <f>G9</f>
        <v>5520</v>
      </c>
      <c r="L9" s="1537">
        <f>H9</f>
        <v>1680</v>
      </c>
      <c r="M9" s="1543">
        <f>I9</f>
        <v>1200</v>
      </c>
      <c r="N9" s="1227">
        <f>G9*100%*100%</f>
        <v>5520</v>
      </c>
      <c r="O9" s="1542">
        <f t="shared" ref="O9" si="1">G9*21%</f>
        <v>1159.2</v>
      </c>
      <c r="P9" s="20">
        <f>J9+N9+O9</f>
        <v>9439.2000000000007</v>
      </c>
      <c r="Q9" s="21">
        <f>K9+N9+O9</f>
        <v>12199.2</v>
      </c>
      <c r="R9" s="22">
        <f>K9+L9+M9+N9+O9</f>
        <v>15079.2</v>
      </c>
      <c r="S9" s="23">
        <f>P9*$U$5</f>
        <v>8778.4560000000019</v>
      </c>
      <c r="T9" s="24">
        <f>Q9*$U$5</f>
        <v>11345.256000000001</v>
      </c>
      <c r="U9" s="25">
        <f>R9*$U$5</f>
        <v>14023.656000000001</v>
      </c>
      <c r="V9" s="23">
        <f t="shared" ref="V9:X9" si="2">P9*$X$5</f>
        <v>8117.7120000000004</v>
      </c>
      <c r="W9" s="24">
        <f t="shared" si="2"/>
        <v>10491.312</v>
      </c>
      <c r="X9" s="25">
        <f t="shared" si="2"/>
        <v>12968.112000000001</v>
      </c>
      <c r="Y9" s="23">
        <f>P9*$AA$5</f>
        <v>7834.5360000000001</v>
      </c>
      <c r="Z9" s="24">
        <f>Q9*$AA$5</f>
        <v>10125.335999999999</v>
      </c>
      <c r="AA9" s="25">
        <f>R9*$AA$5</f>
        <v>12515.736000000001</v>
      </c>
      <c r="AB9" s="23">
        <f>P9*$AD$5</f>
        <v>7079.4000000000005</v>
      </c>
      <c r="AC9" s="106">
        <f>Q9*$AD$5</f>
        <v>9149.4000000000015</v>
      </c>
      <c r="AD9" s="25">
        <f>R9*$AD$5</f>
        <v>11309.400000000001</v>
      </c>
      <c r="AE9" s="23">
        <f>P9*$AG$5</f>
        <v>6607.4400000000005</v>
      </c>
      <c r="AF9" s="106">
        <f>Q9*$AG$5</f>
        <v>8539.44</v>
      </c>
      <c r="AG9" s="25">
        <f>R9*$AG$5</f>
        <v>10555.44</v>
      </c>
    </row>
    <row r="10" spans="1:37" s="15" customFormat="1" ht="18" customHeight="1">
      <c r="B10" s="107" t="s">
        <v>1299</v>
      </c>
      <c r="C10" s="982">
        <v>5.52</v>
      </c>
      <c r="D10" s="982">
        <v>1.68</v>
      </c>
      <c r="E10" s="179">
        <v>1.2</v>
      </c>
      <c r="F10" s="1534"/>
      <c r="G10" s="1229"/>
      <c r="H10" s="1229"/>
      <c r="I10" s="1229"/>
      <c r="J10" s="1538"/>
      <c r="K10" s="1538"/>
      <c r="L10" s="1538"/>
      <c r="M10" s="1543"/>
      <c r="N10" s="1227"/>
      <c r="O10" s="1538"/>
      <c r="P10" s="180">
        <f t="shared" ref="P10:AG10" si="3">P9/$F$9</f>
        <v>9.4392000000000014</v>
      </c>
      <c r="Q10" s="183">
        <f t="shared" si="3"/>
        <v>12.199200000000001</v>
      </c>
      <c r="R10" s="182">
        <f t="shared" si="3"/>
        <v>15.0792</v>
      </c>
      <c r="S10" s="180">
        <f t="shared" si="3"/>
        <v>8.778456000000002</v>
      </c>
      <c r="T10" s="183">
        <f t="shared" si="3"/>
        <v>11.345256000000001</v>
      </c>
      <c r="U10" s="182">
        <f t="shared" si="3"/>
        <v>14.023656000000001</v>
      </c>
      <c r="V10" s="180">
        <f t="shared" ref="V10:X10" si="4">V9/$F$7</f>
        <v>8.1177120000000009</v>
      </c>
      <c r="W10" s="183">
        <f t="shared" si="4"/>
        <v>10.491312000000001</v>
      </c>
      <c r="X10" s="182">
        <f t="shared" si="4"/>
        <v>12.968112000000001</v>
      </c>
      <c r="Y10" s="180">
        <f t="shared" si="3"/>
        <v>7.8345359999999999</v>
      </c>
      <c r="Z10" s="183">
        <f t="shared" si="3"/>
        <v>10.125335999999999</v>
      </c>
      <c r="AA10" s="182">
        <f t="shared" si="3"/>
        <v>12.515736</v>
      </c>
      <c r="AB10" s="180">
        <f t="shared" si="3"/>
        <v>7.0794000000000006</v>
      </c>
      <c r="AC10" s="183">
        <f t="shared" si="3"/>
        <v>9.1494000000000018</v>
      </c>
      <c r="AD10" s="182">
        <f t="shared" si="3"/>
        <v>11.309400000000002</v>
      </c>
      <c r="AE10" s="180">
        <f t="shared" si="3"/>
        <v>6.6074400000000004</v>
      </c>
      <c r="AF10" s="184">
        <f t="shared" si="3"/>
        <v>8.5394400000000008</v>
      </c>
      <c r="AG10" s="182">
        <f t="shared" si="3"/>
        <v>10.555440000000001</v>
      </c>
    </row>
    <row r="11" spans="1:37" s="15" customFormat="1" ht="18" customHeight="1">
      <c r="B11" s="2179" t="s">
        <v>1300</v>
      </c>
      <c r="C11" s="2180"/>
      <c r="D11" s="2180"/>
      <c r="E11" s="2181"/>
      <c r="F11" s="1534">
        <v>1000</v>
      </c>
      <c r="G11" s="1234">
        <f>F11*C12</f>
        <v>3000</v>
      </c>
      <c r="H11" s="1234">
        <f>F11*D12</f>
        <v>720</v>
      </c>
      <c r="I11" s="1234">
        <f>F11*E12</f>
        <v>600</v>
      </c>
      <c r="J11" s="1537">
        <f>G11/12*6</f>
        <v>1500</v>
      </c>
      <c r="K11" s="1537">
        <f>G11</f>
        <v>3000</v>
      </c>
      <c r="L11" s="1537">
        <f>H11</f>
        <v>720</v>
      </c>
      <c r="M11" s="1227">
        <f>I11</f>
        <v>600</v>
      </c>
      <c r="N11" s="1227">
        <f>G11*100%*100%</f>
        <v>3000</v>
      </c>
      <c r="O11" s="1542">
        <f t="shared" ref="O11" si="5">G11*21%</f>
        <v>630</v>
      </c>
      <c r="P11" s="20">
        <f>J11+N11+O11</f>
        <v>5130</v>
      </c>
      <c r="Q11" s="21">
        <f>K11+N11+O11</f>
        <v>6630</v>
      </c>
      <c r="R11" s="22">
        <f>K11+L11+M11+N11+O11</f>
        <v>7950</v>
      </c>
      <c r="S11" s="23">
        <f>P11*$U$5</f>
        <v>4770.9000000000005</v>
      </c>
      <c r="T11" s="24">
        <f>Q11*$U$5</f>
        <v>6165.9000000000005</v>
      </c>
      <c r="U11" s="25">
        <f>R11*$U$5</f>
        <v>7393.5</v>
      </c>
      <c r="V11" s="23">
        <f t="shared" ref="V11:X11" si="6">P11*$X$5</f>
        <v>4411.8</v>
      </c>
      <c r="W11" s="24">
        <f t="shared" si="6"/>
        <v>5701.8</v>
      </c>
      <c r="X11" s="25">
        <f t="shared" si="6"/>
        <v>6837</v>
      </c>
      <c r="Y11" s="23">
        <f>P11*$AA$5</f>
        <v>4257.8999999999996</v>
      </c>
      <c r="Z11" s="24">
        <f>Q11*$AA$5</f>
        <v>5502.9</v>
      </c>
      <c r="AA11" s="25">
        <f>R11*$AA$5</f>
        <v>6598.5</v>
      </c>
      <c r="AB11" s="23">
        <f>P11*$AD$5</f>
        <v>3847.5</v>
      </c>
      <c r="AC11" s="106">
        <f>Q11*$AD$5</f>
        <v>4972.5</v>
      </c>
      <c r="AD11" s="25">
        <f>R11*$AD$5</f>
        <v>5962.5</v>
      </c>
      <c r="AE11" s="23">
        <f>P11*$AG$5</f>
        <v>3590.9999999999995</v>
      </c>
      <c r="AF11" s="106">
        <f>Q11*$AG$5</f>
        <v>4641</v>
      </c>
      <c r="AG11" s="25">
        <f>R11*$AG$5</f>
        <v>5565</v>
      </c>
    </row>
    <row r="12" spans="1:37" s="15" customFormat="1" ht="18" customHeight="1">
      <c r="B12" s="107" t="s">
        <v>1301</v>
      </c>
      <c r="C12" s="982">
        <v>3</v>
      </c>
      <c r="D12" s="982">
        <v>0.72</v>
      </c>
      <c r="E12" s="179">
        <v>0.6</v>
      </c>
      <c r="F12" s="1534"/>
      <c r="G12" s="1229"/>
      <c r="H12" s="1229"/>
      <c r="I12" s="1229"/>
      <c r="J12" s="1538"/>
      <c r="K12" s="1538"/>
      <c r="L12" s="1538"/>
      <c r="M12" s="1227"/>
      <c r="N12" s="1227"/>
      <c r="O12" s="1538"/>
      <c r="P12" s="180">
        <f t="shared" ref="P12:AG12" si="7">P11/$F$11</f>
        <v>5.13</v>
      </c>
      <c r="Q12" s="183">
        <f t="shared" si="7"/>
        <v>6.63</v>
      </c>
      <c r="R12" s="182">
        <f t="shared" si="7"/>
        <v>7.95</v>
      </c>
      <c r="S12" s="180">
        <f t="shared" si="7"/>
        <v>4.7709000000000001</v>
      </c>
      <c r="T12" s="183">
        <f t="shared" si="7"/>
        <v>6.1659000000000006</v>
      </c>
      <c r="U12" s="182">
        <f t="shared" si="7"/>
        <v>7.3935000000000004</v>
      </c>
      <c r="V12" s="180">
        <f t="shared" ref="V12:X12" si="8">V11/$F$7</f>
        <v>4.4118000000000004</v>
      </c>
      <c r="W12" s="183">
        <f t="shared" si="8"/>
        <v>5.7018000000000004</v>
      </c>
      <c r="X12" s="182">
        <f t="shared" si="8"/>
        <v>6.8369999999999997</v>
      </c>
      <c r="Y12" s="180">
        <f t="shared" si="7"/>
        <v>4.2578999999999994</v>
      </c>
      <c r="Z12" s="183">
        <f t="shared" si="7"/>
        <v>5.5028999999999995</v>
      </c>
      <c r="AA12" s="182">
        <f t="shared" si="7"/>
        <v>6.5984999999999996</v>
      </c>
      <c r="AB12" s="180">
        <f t="shared" si="7"/>
        <v>3.8475000000000001</v>
      </c>
      <c r="AC12" s="183">
        <f t="shared" si="7"/>
        <v>4.9725000000000001</v>
      </c>
      <c r="AD12" s="182">
        <f t="shared" si="7"/>
        <v>5.9625000000000004</v>
      </c>
      <c r="AE12" s="180">
        <f t="shared" si="7"/>
        <v>3.5909999999999997</v>
      </c>
      <c r="AF12" s="184">
        <f t="shared" si="7"/>
        <v>4.641</v>
      </c>
      <c r="AG12" s="182">
        <f t="shared" si="7"/>
        <v>5.5650000000000004</v>
      </c>
    </row>
    <row r="13" spans="1:37" s="15" customFormat="1" ht="18" customHeight="1">
      <c r="B13" s="2179" t="s">
        <v>1302</v>
      </c>
      <c r="C13" s="2180"/>
      <c r="D13" s="2180"/>
      <c r="E13" s="2181"/>
      <c r="F13" s="1534">
        <v>1000</v>
      </c>
      <c r="G13" s="1234">
        <f>F13*C14</f>
        <v>2520</v>
      </c>
      <c r="H13" s="1234">
        <f>F13*D14</f>
        <v>480</v>
      </c>
      <c r="I13" s="1234">
        <f>F13*E14</f>
        <v>480</v>
      </c>
      <c r="J13" s="1537">
        <f>G13/12*6</f>
        <v>1260</v>
      </c>
      <c r="K13" s="1537">
        <f>G13</f>
        <v>2520</v>
      </c>
      <c r="L13" s="1537">
        <f>H13</f>
        <v>480</v>
      </c>
      <c r="M13" s="1227">
        <f>I13</f>
        <v>480</v>
      </c>
      <c r="N13" s="1246">
        <f>G13*100%*100%</f>
        <v>2520</v>
      </c>
      <c r="O13" s="1542">
        <f t="shared" ref="O13" si="9">G13*21%</f>
        <v>529.19999999999993</v>
      </c>
      <c r="P13" s="20">
        <f>J13+N13+O13</f>
        <v>4309.2</v>
      </c>
      <c r="Q13" s="21">
        <f>K13+N13+O13</f>
        <v>5569.2</v>
      </c>
      <c r="R13" s="22">
        <f>K13+L13+M13+N13+O13</f>
        <v>6529.2</v>
      </c>
      <c r="S13" s="23">
        <f>P13*$U$5</f>
        <v>4007.556</v>
      </c>
      <c r="T13" s="24">
        <f>Q13*$U$5</f>
        <v>5179.3559999999998</v>
      </c>
      <c r="U13" s="25">
        <f>R13*$U$5</f>
        <v>6072.1559999999999</v>
      </c>
      <c r="V13" s="23">
        <f t="shared" ref="V13:X13" si="10">P13*$X$5</f>
        <v>3705.9119999999998</v>
      </c>
      <c r="W13" s="24">
        <f t="shared" si="10"/>
        <v>4789.5119999999997</v>
      </c>
      <c r="X13" s="25">
        <f t="shared" si="10"/>
        <v>5615.1120000000001</v>
      </c>
      <c r="Y13" s="23">
        <f>P13*$AA$5</f>
        <v>3576.6359999999995</v>
      </c>
      <c r="Z13" s="24">
        <f>Q13*$AA$5</f>
        <v>4622.4359999999997</v>
      </c>
      <c r="AA13" s="25">
        <f>R13*$AA$5</f>
        <v>5419.2359999999999</v>
      </c>
      <c r="AB13" s="23">
        <f>P13*$AD$5</f>
        <v>3231.8999999999996</v>
      </c>
      <c r="AC13" s="106">
        <f>Q13*$AD$5</f>
        <v>4176.8999999999996</v>
      </c>
      <c r="AD13" s="25">
        <f>R13*$AD$5</f>
        <v>4896.8999999999996</v>
      </c>
      <c r="AE13" s="23">
        <f>P13*$AG$5</f>
        <v>3016.4399999999996</v>
      </c>
      <c r="AF13" s="106">
        <f>Q13*$AG$5</f>
        <v>3898.4399999999996</v>
      </c>
      <c r="AG13" s="25">
        <f>R13*$AG$5</f>
        <v>4570.4399999999996</v>
      </c>
    </row>
    <row r="14" spans="1:37" s="15" customFormat="1" ht="18" customHeight="1">
      <c r="B14" s="107" t="s">
        <v>1303</v>
      </c>
      <c r="C14" s="982">
        <v>2.52</v>
      </c>
      <c r="D14" s="982">
        <v>0.48</v>
      </c>
      <c r="E14" s="179">
        <v>0.48</v>
      </c>
      <c r="F14" s="1534"/>
      <c r="G14" s="1229"/>
      <c r="H14" s="1229"/>
      <c r="I14" s="1229"/>
      <c r="J14" s="1538"/>
      <c r="K14" s="1538"/>
      <c r="L14" s="1538"/>
      <c r="M14" s="1227"/>
      <c r="N14" s="1229"/>
      <c r="O14" s="1538"/>
      <c r="P14" s="180">
        <f t="shared" ref="P14:AG14" si="11">P13/$F$13</f>
        <v>4.3091999999999997</v>
      </c>
      <c r="Q14" s="183">
        <f t="shared" si="11"/>
        <v>5.5691999999999995</v>
      </c>
      <c r="R14" s="182">
        <f t="shared" si="11"/>
        <v>6.5291999999999994</v>
      </c>
      <c r="S14" s="180">
        <f t="shared" si="11"/>
        <v>4.0075560000000001</v>
      </c>
      <c r="T14" s="183">
        <f t="shared" si="11"/>
        <v>5.1793559999999994</v>
      </c>
      <c r="U14" s="182">
        <f t="shared" si="11"/>
        <v>6.0721559999999997</v>
      </c>
      <c r="V14" s="180">
        <f t="shared" ref="V14:X14" si="12">V13/$F$7</f>
        <v>3.7059119999999997</v>
      </c>
      <c r="W14" s="183">
        <f t="shared" si="12"/>
        <v>4.7895119999999993</v>
      </c>
      <c r="X14" s="182">
        <f t="shared" si="12"/>
        <v>5.6151119999999999</v>
      </c>
      <c r="Y14" s="180">
        <f t="shared" si="11"/>
        <v>3.5766359999999997</v>
      </c>
      <c r="Z14" s="183">
        <f t="shared" si="11"/>
        <v>4.6224359999999995</v>
      </c>
      <c r="AA14" s="182">
        <f t="shared" si="11"/>
        <v>5.4192359999999997</v>
      </c>
      <c r="AB14" s="180">
        <f t="shared" si="11"/>
        <v>3.2318999999999996</v>
      </c>
      <c r="AC14" s="183">
        <f t="shared" si="11"/>
        <v>4.1768999999999998</v>
      </c>
      <c r="AD14" s="182">
        <f t="shared" si="11"/>
        <v>4.8968999999999996</v>
      </c>
      <c r="AE14" s="180">
        <f t="shared" si="11"/>
        <v>3.0164399999999998</v>
      </c>
      <c r="AF14" s="184">
        <f t="shared" si="11"/>
        <v>3.8984399999999995</v>
      </c>
      <c r="AG14" s="182">
        <f t="shared" si="11"/>
        <v>4.5704399999999996</v>
      </c>
    </row>
    <row r="15" spans="1:37" s="15" customFormat="1" ht="18" customHeight="1">
      <c r="B15" s="2179" t="s">
        <v>1302</v>
      </c>
      <c r="C15" s="2180"/>
      <c r="D15" s="2180"/>
      <c r="E15" s="2181"/>
      <c r="F15" s="1534">
        <v>100000</v>
      </c>
      <c r="G15" s="1227" t="s">
        <v>1304</v>
      </c>
      <c r="H15" s="1227" t="s">
        <v>1304</v>
      </c>
      <c r="I15" s="1227" t="s">
        <v>1304</v>
      </c>
      <c r="J15" s="1543" t="s">
        <v>1304</v>
      </c>
      <c r="K15" s="1543">
        <f>C16*F15</f>
        <v>4000</v>
      </c>
      <c r="L15" s="1543" t="s">
        <v>1304</v>
      </c>
      <c r="M15" s="1543" t="s">
        <v>1304</v>
      </c>
      <c r="N15" s="1227" t="s">
        <v>1304</v>
      </c>
      <c r="O15" s="1543" t="s">
        <v>1305</v>
      </c>
      <c r="P15" s="23">
        <f>K15</f>
        <v>4000</v>
      </c>
      <c r="Q15" s="24">
        <f>K15</f>
        <v>4000</v>
      </c>
      <c r="R15" s="25">
        <f>K15</f>
        <v>4000</v>
      </c>
      <c r="S15" s="23">
        <f>P15*$U$5</f>
        <v>3720</v>
      </c>
      <c r="T15" s="24">
        <f>Q15*$U$5</f>
        <v>3720</v>
      </c>
      <c r="U15" s="25">
        <f>R15*$U$5</f>
        <v>3720</v>
      </c>
      <c r="V15" s="23">
        <f t="shared" ref="V15:X15" si="13">P15*$X$5</f>
        <v>3440</v>
      </c>
      <c r="W15" s="24">
        <f t="shared" si="13"/>
        <v>3440</v>
      </c>
      <c r="X15" s="25">
        <f t="shared" si="13"/>
        <v>3440</v>
      </c>
      <c r="Y15" s="23">
        <f>P15*$AA$5</f>
        <v>3320</v>
      </c>
      <c r="Z15" s="24">
        <f>Q15*$AA$5</f>
        <v>3320</v>
      </c>
      <c r="AA15" s="25">
        <f>R15*$AA$5</f>
        <v>3320</v>
      </c>
      <c r="AB15" s="23">
        <f>P15*$AD$5</f>
        <v>3000</v>
      </c>
      <c r="AC15" s="106">
        <f>Q15*$AD$5</f>
        <v>3000</v>
      </c>
      <c r="AD15" s="25">
        <f>R15*$AD$5</f>
        <v>3000</v>
      </c>
      <c r="AE15" s="23">
        <f>P15*$AG$5</f>
        <v>2800</v>
      </c>
      <c r="AF15" s="106">
        <f>Q15*$AG$5</f>
        <v>2800</v>
      </c>
      <c r="AG15" s="25">
        <f>R15*$AG$5</f>
        <v>2800</v>
      </c>
    </row>
    <row r="16" spans="1:37" s="15" customFormat="1" ht="18" customHeight="1" thickBot="1">
      <c r="B16" s="420" t="s">
        <v>1306</v>
      </c>
      <c r="C16" s="425">
        <v>0.04</v>
      </c>
      <c r="D16" s="425" t="s">
        <v>1307</v>
      </c>
      <c r="E16" s="195" t="s">
        <v>1304</v>
      </c>
      <c r="F16" s="2182"/>
      <c r="G16" s="1263"/>
      <c r="H16" s="1263"/>
      <c r="I16" s="1263"/>
      <c r="J16" s="2178"/>
      <c r="K16" s="2178"/>
      <c r="L16" s="2178"/>
      <c r="M16" s="2178"/>
      <c r="N16" s="1263"/>
      <c r="O16" s="2178"/>
      <c r="P16" s="170">
        <f t="shared" ref="P16:AG16" si="14">P15/$F$15</f>
        <v>0.04</v>
      </c>
      <c r="Q16" s="171">
        <f t="shared" si="14"/>
        <v>0.04</v>
      </c>
      <c r="R16" s="172">
        <f t="shared" si="14"/>
        <v>0.04</v>
      </c>
      <c r="S16" s="170">
        <f t="shared" si="14"/>
        <v>3.7199999999999997E-2</v>
      </c>
      <c r="T16" s="171">
        <f t="shared" si="14"/>
        <v>3.7199999999999997E-2</v>
      </c>
      <c r="U16" s="172">
        <f t="shared" si="14"/>
        <v>3.7199999999999997E-2</v>
      </c>
      <c r="V16" s="170">
        <f t="shared" ref="V16:X16" si="15">V15/$F$7</f>
        <v>3.44</v>
      </c>
      <c r="W16" s="171">
        <f t="shared" si="15"/>
        <v>3.44</v>
      </c>
      <c r="X16" s="172">
        <f t="shared" si="15"/>
        <v>3.44</v>
      </c>
      <c r="Y16" s="170">
        <f t="shared" si="14"/>
        <v>3.32E-2</v>
      </c>
      <c r="Z16" s="171">
        <f t="shared" si="14"/>
        <v>3.32E-2</v>
      </c>
      <c r="AA16" s="172">
        <f t="shared" si="14"/>
        <v>3.32E-2</v>
      </c>
      <c r="AB16" s="170">
        <f t="shared" si="14"/>
        <v>0.03</v>
      </c>
      <c r="AC16" s="171">
        <f t="shared" si="14"/>
        <v>0.03</v>
      </c>
      <c r="AD16" s="172">
        <f t="shared" si="14"/>
        <v>0.03</v>
      </c>
      <c r="AE16" s="170">
        <f t="shared" si="14"/>
        <v>2.8000000000000001E-2</v>
      </c>
      <c r="AF16" s="187">
        <f t="shared" si="14"/>
        <v>2.8000000000000001E-2</v>
      </c>
      <c r="AG16" s="172">
        <f t="shared" si="14"/>
        <v>2.8000000000000001E-2</v>
      </c>
    </row>
    <row r="17" spans="2:27" s="15" customFormat="1" ht="18" customHeight="1">
      <c r="B17" s="26"/>
      <c r="C17" s="26"/>
      <c r="D17" s="26"/>
      <c r="E17" s="26"/>
      <c r="F17" s="26"/>
      <c r="G17" s="26"/>
      <c r="H17" s="27"/>
      <c r="I17" s="27"/>
      <c r="J17" s="27"/>
      <c r="K17" s="27"/>
      <c r="L17" s="27"/>
      <c r="M17" s="27"/>
      <c r="N17" s="27"/>
      <c r="O17" s="27"/>
      <c r="P17" s="27"/>
      <c r="Q17" s="27"/>
      <c r="R17" s="27"/>
      <c r="S17" s="27"/>
      <c r="T17" s="27"/>
      <c r="U17" s="27"/>
      <c r="V17" s="27"/>
      <c r="W17" s="27"/>
      <c r="X17" s="27"/>
      <c r="Y17" s="27"/>
      <c r="Z17" s="27"/>
      <c r="AA17" s="27"/>
    </row>
    <row r="18" spans="2:27" s="76" customFormat="1" ht="18" customHeight="1">
      <c r="B18" s="74" t="s">
        <v>1308</v>
      </c>
      <c r="C18" s="75"/>
      <c r="D18" s="75"/>
      <c r="E18" s="75"/>
      <c r="F18" s="75"/>
    </row>
    <row r="19" spans="2:27" s="76" customFormat="1" ht="18" customHeight="1">
      <c r="B19" s="76" t="s">
        <v>1223</v>
      </c>
      <c r="C19" s="74"/>
      <c r="D19" s="74"/>
      <c r="E19" s="75"/>
      <c r="F19" s="75"/>
      <c r="G19" s="75"/>
      <c r="H19" s="75"/>
    </row>
    <row r="20" spans="2:27" s="76" customFormat="1" ht="18" customHeight="1">
      <c r="B20" s="77" t="s">
        <v>1309</v>
      </c>
      <c r="C20" s="74"/>
      <c r="D20" s="74"/>
      <c r="E20" s="75"/>
      <c r="F20" s="75"/>
      <c r="G20" s="75"/>
      <c r="H20" s="75"/>
      <c r="O20" s="108"/>
    </row>
    <row r="21" spans="2:27" s="47" customFormat="1" ht="18" customHeight="1">
      <c r="B21" s="47" t="s">
        <v>1310</v>
      </c>
      <c r="C21" s="45"/>
      <c r="D21" s="45"/>
      <c r="E21" s="45"/>
      <c r="F21" s="45"/>
    </row>
    <row r="22" spans="2:27" s="47" customFormat="1" ht="18" customHeight="1">
      <c r="B22" s="47" t="s">
        <v>743</v>
      </c>
      <c r="C22" s="45"/>
      <c r="D22" s="45"/>
      <c r="E22" s="45"/>
      <c r="F22" s="45"/>
    </row>
    <row r="23" spans="2:27" s="76" customFormat="1" ht="18" customHeight="1">
      <c r="B23" s="76" t="s">
        <v>1311</v>
      </c>
      <c r="C23" s="75"/>
      <c r="D23" s="75"/>
      <c r="E23" s="75"/>
      <c r="F23" s="75"/>
      <c r="G23" s="75"/>
      <c r="H23" s="75"/>
    </row>
    <row r="24" spans="2:27" s="76" customFormat="1" ht="18" customHeight="1">
      <c r="B24" s="76" t="s">
        <v>1312</v>
      </c>
      <c r="C24" s="75"/>
      <c r="D24" s="75"/>
      <c r="E24" s="75"/>
      <c r="F24" s="75"/>
      <c r="G24" s="75"/>
      <c r="H24" s="75"/>
    </row>
    <row r="25" spans="2:27" s="76" customFormat="1" ht="18" customHeight="1">
      <c r="B25" s="76" t="s">
        <v>1313</v>
      </c>
      <c r="C25" s="75"/>
      <c r="D25" s="75"/>
      <c r="E25" s="75"/>
      <c r="F25" s="75"/>
    </row>
    <row r="26" spans="2:27" s="76" customFormat="1" ht="18" customHeight="1">
      <c r="B26" s="76" t="s">
        <v>1314</v>
      </c>
      <c r="C26" s="75"/>
      <c r="D26" s="75"/>
      <c r="E26" s="75"/>
      <c r="F26" s="75"/>
    </row>
    <row r="27" spans="2:27" s="76" customFormat="1" ht="18" customHeight="1">
      <c r="B27" s="76" t="s">
        <v>1315</v>
      </c>
      <c r="C27" s="75"/>
      <c r="D27" s="75"/>
      <c r="E27" s="75"/>
      <c r="F27" s="75"/>
      <c r="G27" s="75"/>
      <c r="H27" s="75"/>
    </row>
    <row r="28" spans="2:27" s="76" customFormat="1" ht="18" customHeight="1">
      <c r="B28" s="77" t="s">
        <v>1316</v>
      </c>
      <c r="C28" s="75"/>
      <c r="D28" s="75"/>
      <c r="E28" s="75"/>
      <c r="F28" s="75"/>
      <c r="G28" s="75"/>
      <c r="H28" s="75"/>
    </row>
    <row r="29" spans="2:27" s="16" customFormat="1" ht="18" customHeight="1"/>
  </sheetData>
  <mergeCells count="68">
    <mergeCell ref="Y5:Z5"/>
    <mergeCell ref="AB5:AC5"/>
    <mergeCell ref="AE5:AF5"/>
    <mergeCell ref="G5:I5"/>
    <mergeCell ref="J5:M5"/>
    <mergeCell ref="N5:N6"/>
    <mergeCell ref="S5:T5"/>
    <mergeCell ref="V5:W5"/>
    <mergeCell ref="B1:AG1"/>
    <mergeCell ref="O5:O6"/>
    <mergeCell ref="P5:R5"/>
    <mergeCell ref="J7:J8"/>
    <mergeCell ref="K7:K8"/>
    <mergeCell ref="B7:E7"/>
    <mergeCell ref="F7:F8"/>
    <mergeCell ref="G7:G8"/>
    <mergeCell ref="H7:H8"/>
    <mergeCell ref="I7:I8"/>
    <mergeCell ref="L7:L8"/>
    <mergeCell ref="M7:M8"/>
    <mergeCell ref="N7:N8"/>
    <mergeCell ref="O7:O8"/>
    <mergeCell ref="B5:E5"/>
    <mergeCell ref="F5:F6"/>
    <mergeCell ref="B9:E9"/>
    <mergeCell ref="F9:F10"/>
    <mergeCell ref="G9:G10"/>
    <mergeCell ref="H9:H10"/>
    <mergeCell ref="I9:I10"/>
    <mergeCell ref="B11:E11"/>
    <mergeCell ref="F11:F12"/>
    <mergeCell ref="G11:G12"/>
    <mergeCell ref="H11:H12"/>
    <mergeCell ref="I11:I12"/>
    <mergeCell ref="K11:K12"/>
    <mergeCell ref="L11:L12"/>
    <mergeCell ref="M11:M12"/>
    <mergeCell ref="J9:J10"/>
    <mergeCell ref="K9:K10"/>
    <mergeCell ref="L9:L10"/>
    <mergeCell ref="M9:M10"/>
    <mergeCell ref="N9:N10"/>
    <mergeCell ref="O9:O10"/>
    <mergeCell ref="N11:N12"/>
    <mergeCell ref="O11:O12"/>
    <mergeCell ref="B13:E13"/>
    <mergeCell ref="F13:F14"/>
    <mergeCell ref="G13:G14"/>
    <mergeCell ref="H13:H14"/>
    <mergeCell ref="I13:I14"/>
    <mergeCell ref="J13:J14"/>
    <mergeCell ref="K13:K14"/>
    <mergeCell ref="L13:L14"/>
    <mergeCell ref="M13:M14"/>
    <mergeCell ref="N13:N14"/>
    <mergeCell ref="O13:O14"/>
    <mergeCell ref="J11:J12"/>
    <mergeCell ref="B15:E15"/>
    <mergeCell ref="F15:F16"/>
    <mergeCell ref="G15:G16"/>
    <mergeCell ref="H15:H16"/>
    <mergeCell ref="I15:I16"/>
    <mergeCell ref="O15:O16"/>
    <mergeCell ref="J15:J16"/>
    <mergeCell ref="K15:K16"/>
    <mergeCell ref="L15:L16"/>
    <mergeCell ref="M15:M16"/>
    <mergeCell ref="N15:N16"/>
  </mergeCells>
  <phoneticPr fontId="100" type="noConversion"/>
  <pageMargins left="0.31496062992125984" right="0.31496062992125984" top="0.31496062992125984" bottom="0.31496062992125984" header="0" footer="0"/>
  <pageSetup paperSize="9" scale="51"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66FF"/>
    <pageSetUpPr fitToPage="1"/>
  </sheetPr>
  <dimension ref="B1:T35"/>
  <sheetViews>
    <sheetView zoomScaleNormal="100" workbookViewId="0">
      <pane ySplit="1" topLeftCell="A2" activePane="bottomLeft" state="frozen"/>
      <selection activeCell="B1" sqref="B1:O1"/>
      <selection pane="bottomLeft" activeCell="B1" sqref="B1:P1"/>
    </sheetView>
  </sheetViews>
  <sheetFormatPr defaultColWidth="11" defaultRowHeight="18" customHeight="1"/>
  <cols>
    <col min="1" max="1" width="0.75" style="70" customWidth="1"/>
    <col min="2" max="3" width="11" style="70"/>
    <col min="4" max="7" width="9.75" style="70" customWidth="1"/>
    <col min="8" max="9" width="12.875" style="70" customWidth="1"/>
    <col min="10" max="12" width="11" style="70"/>
    <col min="13" max="13" width="11.625" style="70" customWidth="1"/>
    <col min="14" max="15" width="11" style="70"/>
    <col min="16" max="16" width="12.625" style="70" customWidth="1"/>
    <col min="17" max="16384" width="11" style="70"/>
  </cols>
  <sheetData>
    <row r="1" spans="2:20" s="63" customFormat="1" ht="30" customHeight="1" thickBot="1">
      <c r="B1" s="1083" t="s">
        <v>1720</v>
      </c>
      <c r="C1" s="1083"/>
      <c r="D1" s="1083"/>
      <c r="E1" s="1083"/>
      <c r="F1" s="1083"/>
      <c r="G1" s="1083"/>
      <c r="H1" s="1083"/>
      <c r="I1" s="1083"/>
      <c r="J1" s="1083"/>
      <c r="K1" s="1083"/>
      <c r="L1" s="1083"/>
      <c r="M1" s="1083"/>
      <c r="N1" s="1083"/>
      <c r="O1" s="1083"/>
      <c r="P1" s="1083"/>
    </row>
    <row r="2" spans="2:20" s="65" customFormat="1" ht="20.100000000000001" customHeight="1" thickTop="1">
      <c r="B2" s="64"/>
      <c r="C2" s="64"/>
      <c r="D2" s="64"/>
      <c r="G2" s="66"/>
      <c r="H2" s="66"/>
      <c r="I2" s="66"/>
      <c r="J2" s="66"/>
    </row>
    <row r="3" spans="2:20" s="66" customFormat="1" ht="20.100000000000001" customHeight="1" thickBot="1">
      <c r="B3" s="49" t="s">
        <v>316</v>
      </c>
      <c r="C3" s="67"/>
      <c r="D3" s="65"/>
      <c r="F3" s="65"/>
      <c r="K3" s="65"/>
    </row>
    <row r="4" spans="2:20" s="66" customFormat="1" ht="20.100000000000001" customHeight="1">
      <c r="B4" s="1142" t="s">
        <v>317</v>
      </c>
      <c r="C4" s="1407"/>
      <c r="D4" s="1410" t="s">
        <v>318</v>
      </c>
      <c r="E4" s="1143"/>
      <c r="F4" s="1143"/>
      <c r="G4" s="1143"/>
      <c r="H4" s="1143"/>
      <c r="I4" s="1143"/>
      <c r="J4" s="1143"/>
      <c r="K4" s="1143"/>
      <c r="L4" s="1143"/>
      <c r="M4" s="1143"/>
      <c r="N4" s="1143" t="s">
        <v>319</v>
      </c>
      <c r="O4" s="1143"/>
      <c r="P4" s="1407"/>
    </row>
    <row r="5" spans="2:20" s="66" customFormat="1" ht="20.100000000000001" customHeight="1">
      <c r="B5" s="1144" t="s">
        <v>320</v>
      </c>
      <c r="C5" s="2187"/>
      <c r="D5" s="2188" t="s">
        <v>321</v>
      </c>
      <c r="E5" s="2189"/>
      <c r="F5" s="2189"/>
      <c r="G5" s="2189"/>
      <c r="H5" s="2189"/>
      <c r="I5" s="2189"/>
      <c r="J5" s="2189"/>
      <c r="K5" s="2189"/>
      <c r="L5" s="2189"/>
      <c r="M5" s="2189"/>
      <c r="N5" s="1194"/>
      <c r="O5" s="1194"/>
      <c r="P5" s="1195"/>
    </row>
    <row r="6" spans="2:20" s="66" customFormat="1" ht="20.100000000000001" customHeight="1">
      <c r="B6" s="1144" t="s">
        <v>322</v>
      </c>
      <c r="C6" s="2187"/>
      <c r="D6" s="2188" t="s">
        <v>323</v>
      </c>
      <c r="E6" s="2189"/>
      <c r="F6" s="2189"/>
      <c r="G6" s="2189"/>
      <c r="H6" s="2189"/>
      <c r="I6" s="2189"/>
      <c r="J6" s="2189"/>
      <c r="K6" s="2189"/>
      <c r="L6" s="2189"/>
      <c r="M6" s="2189"/>
      <c r="N6" s="1194"/>
      <c r="O6" s="1194"/>
      <c r="P6" s="1195"/>
    </row>
    <row r="7" spans="2:20" s="66" customFormat="1" ht="20.100000000000001" customHeight="1">
      <c r="B7" s="1144" t="s">
        <v>324</v>
      </c>
      <c r="C7" s="2187"/>
      <c r="D7" s="2188" t="s">
        <v>325</v>
      </c>
      <c r="E7" s="2189"/>
      <c r="F7" s="2189"/>
      <c r="G7" s="2189"/>
      <c r="H7" s="2189"/>
      <c r="I7" s="2189"/>
      <c r="J7" s="2189"/>
      <c r="K7" s="2189"/>
      <c r="L7" s="2189"/>
      <c r="M7" s="2189"/>
      <c r="N7" s="1194"/>
      <c r="O7" s="1194"/>
      <c r="P7" s="1195"/>
    </row>
    <row r="8" spans="2:20" s="66" customFormat="1" ht="20.100000000000001" customHeight="1" thickBot="1">
      <c r="B8" s="1424" t="s">
        <v>326</v>
      </c>
      <c r="C8" s="1425"/>
      <c r="D8" s="1428" t="s">
        <v>327</v>
      </c>
      <c r="E8" s="2190"/>
      <c r="F8" s="2190"/>
      <c r="G8" s="2190"/>
      <c r="H8" s="2190"/>
      <c r="I8" s="2190"/>
      <c r="J8" s="2190"/>
      <c r="K8" s="2190"/>
      <c r="L8" s="2190"/>
      <c r="M8" s="2190"/>
      <c r="N8" s="1286"/>
      <c r="O8" s="1286"/>
      <c r="P8" s="1287"/>
    </row>
    <row r="9" spans="2:20" s="66" customFormat="1" ht="20.100000000000001" customHeight="1">
      <c r="D9" s="65"/>
      <c r="F9" s="65"/>
      <c r="K9" s="65"/>
    </row>
    <row r="10" spans="2:20" s="66" customFormat="1" ht="20.100000000000001" customHeight="1" thickBot="1">
      <c r="B10" s="49" t="s">
        <v>328</v>
      </c>
      <c r="C10" s="67"/>
      <c r="D10" s="65"/>
      <c r="F10" s="65"/>
      <c r="K10" s="65"/>
    </row>
    <row r="11" spans="2:20" s="66" customFormat="1" ht="20.100000000000001" customHeight="1">
      <c r="B11" s="1142" t="s">
        <v>317</v>
      </c>
      <c r="C11" s="1407"/>
      <c r="D11" s="1410" t="s">
        <v>318</v>
      </c>
      <c r="E11" s="1143"/>
      <c r="F11" s="1143"/>
      <c r="G11" s="1143"/>
      <c r="H11" s="1143"/>
      <c r="I11" s="1143"/>
      <c r="J11" s="1143"/>
      <c r="K11" s="1143"/>
      <c r="L11" s="1143"/>
      <c r="M11" s="1143"/>
      <c r="N11" s="1143" t="s">
        <v>319</v>
      </c>
      <c r="O11" s="1143"/>
      <c r="P11" s="1407"/>
    </row>
    <row r="12" spans="2:20" s="66" customFormat="1" ht="20.100000000000001" customHeight="1">
      <c r="B12" s="2191" t="s">
        <v>329</v>
      </c>
      <c r="C12" s="2192"/>
      <c r="D12" s="2195" t="s">
        <v>330</v>
      </c>
      <c r="E12" s="2196"/>
      <c r="F12" s="2196"/>
      <c r="G12" s="2196"/>
      <c r="H12" s="2196"/>
      <c r="I12" s="2196"/>
      <c r="J12" s="2196"/>
      <c r="K12" s="2196"/>
      <c r="L12" s="2196"/>
      <c r="M12" s="2197"/>
      <c r="N12" s="2198" t="s">
        <v>429</v>
      </c>
      <c r="O12" s="2199"/>
      <c r="P12" s="2200"/>
      <c r="S12" s="47"/>
    </row>
    <row r="13" spans="2:20" s="66" customFormat="1" ht="23.25" customHeight="1" thickBot="1">
      <c r="B13" s="2193"/>
      <c r="C13" s="2194"/>
      <c r="D13" s="1420"/>
      <c r="E13" s="1421"/>
      <c r="F13" s="1421"/>
      <c r="G13" s="1421"/>
      <c r="H13" s="1421"/>
      <c r="I13" s="1421"/>
      <c r="J13" s="1421"/>
      <c r="K13" s="1421"/>
      <c r="L13" s="1421"/>
      <c r="M13" s="1422"/>
      <c r="N13" s="2201"/>
      <c r="O13" s="2202"/>
      <c r="P13" s="2203"/>
    </row>
    <row r="14" spans="2:20" s="66" customFormat="1" ht="20.100000000000001" customHeight="1">
      <c r="B14" s="323"/>
      <c r="C14" s="323"/>
      <c r="D14" s="323"/>
      <c r="E14" s="323"/>
      <c r="F14" s="612"/>
      <c r="G14" s="323"/>
      <c r="H14" s="323"/>
      <c r="I14" s="323"/>
      <c r="J14" s="323"/>
      <c r="K14" s="612"/>
      <c r="L14" s="323"/>
      <c r="M14" s="323"/>
      <c r="N14" s="323"/>
      <c r="O14" s="323"/>
      <c r="P14" s="323"/>
      <c r="R14" s="65"/>
      <c r="S14" s="65"/>
      <c r="T14" s="65"/>
    </row>
    <row r="15" spans="2:20" s="65" customFormat="1" ht="20.100000000000001" customHeight="1" thickBot="1">
      <c r="B15" s="67" t="s">
        <v>331</v>
      </c>
      <c r="C15" s="324"/>
      <c r="D15" s="323"/>
      <c r="G15" s="66"/>
      <c r="H15" s="66"/>
      <c r="I15" s="66"/>
      <c r="J15" s="66"/>
    </row>
    <row r="16" spans="2:20" s="65" customFormat="1" ht="20.100000000000001" customHeight="1">
      <c r="B16" s="1388" t="s">
        <v>317</v>
      </c>
      <c r="C16" s="1389"/>
      <c r="D16" s="1393" t="s">
        <v>332</v>
      </c>
      <c r="E16" s="1589"/>
      <c r="F16" s="1589"/>
      <c r="G16" s="1589"/>
      <c r="H16" s="1589"/>
      <c r="I16" s="1589"/>
      <c r="J16" s="1589" t="s">
        <v>333</v>
      </c>
      <c r="K16" s="1589"/>
      <c r="L16" s="1589"/>
      <c r="M16" s="1589"/>
      <c r="N16" s="1589"/>
      <c r="O16" s="1589"/>
      <c r="P16" s="602" t="s">
        <v>334</v>
      </c>
    </row>
    <row r="17" spans="2:19" s="65" customFormat="1" ht="18" customHeight="1">
      <c r="B17" s="2204" t="s">
        <v>335</v>
      </c>
      <c r="C17" s="2205"/>
      <c r="D17" s="1275" t="s">
        <v>336</v>
      </c>
      <c r="E17" s="1478"/>
      <c r="F17" s="1478"/>
      <c r="G17" s="1478"/>
      <c r="H17" s="1478"/>
      <c r="I17" s="1276"/>
      <c r="J17" s="1194" t="s">
        <v>337</v>
      </c>
      <c r="K17" s="1194"/>
      <c r="L17" s="1194"/>
      <c r="M17" s="1194"/>
      <c r="N17" s="1194"/>
      <c r="O17" s="1194"/>
      <c r="P17" s="605" t="s">
        <v>338</v>
      </c>
      <c r="Q17" s="138"/>
    </row>
    <row r="18" spans="2:19" s="65" customFormat="1" ht="18" customHeight="1" thickBot="1">
      <c r="B18" s="2206" t="s">
        <v>339</v>
      </c>
      <c r="C18" s="2207"/>
      <c r="D18" s="2209" t="s">
        <v>340</v>
      </c>
      <c r="E18" s="1430"/>
      <c r="F18" s="1430"/>
      <c r="G18" s="1430"/>
      <c r="H18" s="1430"/>
      <c r="I18" s="2138"/>
      <c r="J18" s="2196" t="s">
        <v>341</v>
      </c>
      <c r="K18" s="2196"/>
      <c r="L18" s="2196"/>
      <c r="M18" s="2196"/>
      <c r="N18" s="2196"/>
      <c r="O18" s="2197"/>
      <c r="P18" s="2212" t="s">
        <v>342</v>
      </c>
      <c r="Q18" s="138"/>
    </row>
    <row r="19" spans="2:19" s="65" customFormat="1" ht="18" customHeight="1">
      <c r="B19" s="1347"/>
      <c r="C19" s="1348"/>
      <c r="D19" s="1171" t="s">
        <v>343</v>
      </c>
      <c r="E19" s="1172"/>
      <c r="F19" s="610" t="s">
        <v>344</v>
      </c>
      <c r="G19" s="610" t="s">
        <v>345</v>
      </c>
      <c r="H19" s="610" t="s">
        <v>346</v>
      </c>
      <c r="I19" s="609" t="s">
        <v>347</v>
      </c>
      <c r="J19" s="1418"/>
      <c r="K19" s="1418"/>
      <c r="L19" s="1418"/>
      <c r="M19" s="1418"/>
      <c r="N19" s="1418"/>
      <c r="O19" s="1419"/>
      <c r="P19" s="2213"/>
      <c r="Q19" s="138"/>
    </row>
    <row r="20" spans="2:19" s="65" customFormat="1" ht="18" customHeight="1">
      <c r="B20" s="1347"/>
      <c r="C20" s="1348"/>
      <c r="D20" s="1173" t="s">
        <v>348</v>
      </c>
      <c r="E20" s="1174"/>
      <c r="F20" s="325">
        <v>0.25</v>
      </c>
      <c r="G20" s="325">
        <v>0.2</v>
      </c>
      <c r="H20" s="325">
        <v>0.18</v>
      </c>
      <c r="I20" s="2212" t="s">
        <v>349</v>
      </c>
      <c r="J20" s="1418"/>
      <c r="K20" s="1418"/>
      <c r="L20" s="1418"/>
      <c r="M20" s="1418"/>
      <c r="N20" s="1418"/>
      <c r="O20" s="1419"/>
      <c r="P20" s="2213"/>
      <c r="Q20" s="138"/>
    </row>
    <row r="21" spans="2:19" s="65" customFormat="1" ht="18" customHeight="1">
      <c r="B21" s="1347"/>
      <c r="C21" s="1348"/>
      <c r="D21" s="1173" t="s">
        <v>350</v>
      </c>
      <c r="E21" s="1174"/>
      <c r="F21" s="326">
        <v>5.5E-2</v>
      </c>
      <c r="G21" s="326">
        <v>5.5E-2</v>
      </c>
      <c r="H21" s="326">
        <v>5.5E-2</v>
      </c>
      <c r="I21" s="2213"/>
      <c r="J21" s="1418"/>
      <c r="K21" s="1418"/>
      <c r="L21" s="1418"/>
      <c r="M21" s="1418"/>
      <c r="N21" s="1418"/>
      <c r="O21" s="1419"/>
      <c r="P21" s="2213"/>
      <c r="Q21" s="138"/>
    </row>
    <row r="22" spans="2:19" s="65" customFormat="1" ht="18" customHeight="1" thickBot="1">
      <c r="B22" s="1379"/>
      <c r="C22" s="2208"/>
      <c r="D22" s="1175" t="s">
        <v>351</v>
      </c>
      <c r="E22" s="1141"/>
      <c r="F22" s="524">
        <v>5.5E-2</v>
      </c>
      <c r="G22" s="524">
        <v>5.5E-2</v>
      </c>
      <c r="H22" s="524">
        <v>5.5E-2</v>
      </c>
      <c r="I22" s="2215"/>
      <c r="J22" s="2210"/>
      <c r="K22" s="2210"/>
      <c r="L22" s="2210"/>
      <c r="M22" s="2210"/>
      <c r="N22" s="2210"/>
      <c r="O22" s="2211"/>
      <c r="P22" s="2214"/>
      <c r="Q22" s="138"/>
    </row>
    <row r="23" spans="2:19" s="65" customFormat="1" ht="18" customHeight="1" thickBot="1">
      <c r="B23" s="2206" t="s">
        <v>352</v>
      </c>
      <c r="C23" s="2207"/>
      <c r="D23" s="2216" t="s">
        <v>53</v>
      </c>
      <c r="E23" s="2217"/>
      <c r="F23" s="2217"/>
      <c r="G23" s="2217"/>
      <c r="H23" s="2217"/>
      <c r="I23" s="2218"/>
      <c r="J23" s="2196" t="s">
        <v>353</v>
      </c>
      <c r="K23" s="2219"/>
      <c r="L23" s="2219"/>
      <c r="M23" s="2219"/>
      <c r="N23" s="2219"/>
      <c r="O23" s="2220"/>
      <c r="P23" s="1369" t="s">
        <v>354</v>
      </c>
      <c r="Q23" s="138"/>
    </row>
    <row r="24" spans="2:19" s="65" customFormat="1" ht="18" customHeight="1" thickBot="1">
      <c r="B24" s="1347"/>
      <c r="C24" s="1348"/>
      <c r="D24" s="1171" t="s">
        <v>355</v>
      </c>
      <c r="E24" s="1172" t="s">
        <v>356</v>
      </c>
      <c r="F24" s="1172"/>
      <c r="G24" s="2223"/>
      <c r="H24" s="1172"/>
      <c r="I24" s="2224"/>
      <c r="J24" s="2221"/>
      <c r="K24" s="2221"/>
      <c r="L24" s="2221"/>
      <c r="M24" s="2221"/>
      <c r="N24" s="2221"/>
      <c r="O24" s="2222"/>
      <c r="P24" s="1370"/>
      <c r="Q24" s="138"/>
    </row>
    <row r="25" spans="2:19" s="65" customFormat="1" ht="18" customHeight="1">
      <c r="B25" s="1347"/>
      <c r="C25" s="1348"/>
      <c r="D25" s="1173"/>
      <c r="E25" s="327">
        <v>0.9</v>
      </c>
      <c r="F25" s="539">
        <v>0.88</v>
      </c>
      <c r="G25" s="540">
        <v>0.86</v>
      </c>
      <c r="H25" s="541">
        <v>0.84</v>
      </c>
      <c r="I25" s="328">
        <v>0.82</v>
      </c>
      <c r="J25" s="2221"/>
      <c r="K25" s="2221"/>
      <c r="L25" s="2221"/>
      <c r="M25" s="2221"/>
      <c r="N25" s="2221"/>
      <c r="O25" s="2222"/>
      <c r="P25" s="1370"/>
      <c r="Q25" s="138"/>
    </row>
    <row r="26" spans="2:19" s="65" customFormat="1" ht="18" customHeight="1" thickBot="1">
      <c r="B26" s="1379"/>
      <c r="C26" s="2208"/>
      <c r="D26" s="611" t="s">
        <v>357</v>
      </c>
      <c r="E26" s="68">
        <v>0.6</v>
      </c>
      <c r="F26" s="542">
        <v>0.45</v>
      </c>
      <c r="G26" s="415">
        <v>0.35</v>
      </c>
      <c r="H26" s="259">
        <v>0.25</v>
      </c>
      <c r="I26" s="613">
        <v>0.15</v>
      </c>
      <c r="J26" s="2221"/>
      <c r="K26" s="2221"/>
      <c r="L26" s="2221"/>
      <c r="M26" s="2221"/>
      <c r="N26" s="2221"/>
      <c r="O26" s="2222"/>
      <c r="P26" s="1371"/>
      <c r="Q26" s="138"/>
    </row>
    <row r="27" spans="2:19" s="65" customFormat="1" ht="18" customHeight="1">
      <c r="B27" s="2206" t="s">
        <v>358</v>
      </c>
      <c r="C27" s="2207"/>
      <c r="D27" s="2225" t="s">
        <v>359</v>
      </c>
      <c r="E27" s="2226"/>
      <c r="F27" s="2226"/>
      <c r="G27" s="1358"/>
      <c r="H27" s="2227"/>
      <c r="I27" s="608" t="s">
        <v>360</v>
      </c>
      <c r="J27" s="329" t="s">
        <v>361</v>
      </c>
      <c r="K27" s="543" t="s">
        <v>362</v>
      </c>
      <c r="L27" s="330" t="s">
        <v>363</v>
      </c>
      <c r="M27" s="610" t="s">
        <v>364</v>
      </c>
      <c r="N27" s="610" t="s">
        <v>365</v>
      </c>
      <c r="O27" s="609" t="s">
        <v>366</v>
      </c>
      <c r="P27" s="2230" t="s">
        <v>338</v>
      </c>
      <c r="Q27" s="138"/>
    </row>
    <row r="28" spans="2:19" s="66" customFormat="1" ht="18" customHeight="1" thickBot="1">
      <c r="B28" s="1347"/>
      <c r="C28" s="1348"/>
      <c r="D28" s="1357"/>
      <c r="E28" s="1358"/>
      <c r="F28" s="1358"/>
      <c r="G28" s="1358"/>
      <c r="H28" s="2228"/>
      <c r="I28" s="413" t="s">
        <v>37</v>
      </c>
      <c r="J28" s="331">
        <v>1.4</v>
      </c>
      <c r="K28" s="544">
        <v>1.35</v>
      </c>
      <c r="L28" s="336">
        <v>1.25</v>
      </c>
      <c r="M28" s="414">
        <v>1.22</v>
      </c>
      <c r="N28" s="414">
        <v>1.2</v>
      </c>
      <c r="O28" s="613">
        <v>1.1499999999999999</v>
      </c>
      <c r="P28" s="2231"/>
      <c r="Q28" s="139"/>
    </row>
    <row r="29" spans="2:19" s="66" customFormat="1" ht="18" customHeight="1" thickBot="1">
      <c r="B29" s="1347"/>
      <c r="C29" s="1348"/>
      <c r="D29" s="1357"/>
      <c r="E29" s="1358"/>
      <c r="F29" s="1358"/>
      <c r="G29" s="1358"/>
      <c r="H29" s="2228"/>
      <c r="I29" s="1171" t="s">
        <v>367</v>
      </c>
      <c r="J29" s="2233"/>
      <c r="K29" s="2233"/>
      <c r="L29" s="2223"/>
      <c r="M29" s="2223"/>
      <c r="N29" s="2223"/>
      <c r="O29" s="2224"/>
      <c r="P29" s="2231"/>
      <c r="Q29" s="139"/>
    </row>
    <row r="30" spans="2:19" s="66" customFormat="1" ht="18" customHeight="1">
      <c r="B30" s="1347"/>
      <c r="C30" s="1348"/>
      <c r="D30" s="1357"/>
      <c r="E30" s="1358"/>
      <c r="F30" s="1358"/>
      <c r="G30" s="1358"/>
      <c r="H30" s="2228"/>
      <c r="I30" s="603" t="s">
        <v>368</v>
      </c>
      <c r="J30" s="1174" t="s">
        <v>369</v>
      </c>
      <c r="K30" s="2234"/>
      <c r="L30" s="332" t="s">
        <v>370</v>
      </c>
      <c r="M30" s="333" t="s">
        <v>371</v>
      </c>
      <c r="N30" s="333" t="s">
        <v>372</v>
      </c>
      <c r="O30" s="334" t="s">
        <v>373</v>
      </c>
      <c r="P30" s="2231"/>
    </row>
    <row r="31" spans="2:19" s="66" customFormat="1" ht="18" customHeight="1" thickBot="1">
      <c r="B31" s="1349"/>
      <c r="C31" s="1350"/>
      <c r="D31" s="1360"/>
      <c r="E31" s="1361"/>
      <c r="F31" s="1361"/>
      <c r="G31" s="1361"/>
      <c r="H31" s="2229"/>
      <c r="I31" s="335" t="s">
        <v>374</v>
      </c>
      <c r="J31" s="1286" t="s">
        <v>375</v>
      </c>
      <c r="K31" s="1429"/>
      <c r="L31" s="525">
        <v>0.95</v>
      </c>
      <c r="M31" s="259">
        <v>0.9</v>
      </c>
      <c r="N31" s="259">
        <v>0.8</v>
      </c>
      <c r="O31" s="260">
        <v>0.7</v>
      </c>
      <c r="P31" s="2232"/>
      <c r="R31" s="612"/>
    </row>
    <row r="32" spans="2:19" s="65" customFormat="1" ht="18" customHeight="1">
      <c r="B32" s="70"/>
      <c r="C32" s="70"/>
      <c r="D32" s="70"/>
      <c r="E32" s="70"/>
      <c r="F32" s="70"/>
      <c r="G32" s="70"/>
      <c r="H32" s="70"/>
      <c r="I32" s="70"/>
      <c r="J32" s="70"/>
      <c r="K32" s="70"/>
      <c r="L32" s="70"/>
      <c r="M32" s="337"/>
      <c r="N32" s="337"/>
      <c r="O32" s="337"/>
      <c r="P32" s="70"/>
      <c r="Q32" s="70"/>
      <c r="S32" s="338"/>
    </row>
    <row r="34" spans="7:11" ht="18" customHeight="1">
      <c r="K34" s="458"/>
    </row>
    <row r="35" spans="7:11" ht="18" customHeight="1">
      <c r="G35" s="339"/>
    </row>
  </sheetData>
  <mergeCells count="49">
    <mergeCell ref="B27:C31"/>
    <mergeCell ref="D27:H31"/>
    <mergeCell ref="P27:P31"/>
    <mergeCell ref="I29:O29"/>
    <mergeCell ref="J30:K30"/>
    <mergeCell ref="J31:K31"/>
    <mergeCell ref="B23:C26"/>
    <mergeCell ref="D23:I23"/>
    <mergeCell ref="J23:O26"/>
    <mergeCell ref="P23:P26"/>
    <mergeCell ref="D24:D25"/>
    <mergeCell ref="E24:I24"/>
    <mergeCell ref="P18:P22"/>
    <mergeCell ref="D19:E19"/>
    <mergeCell ref="D20:E20"/>
    <mergeCell ref="I20:I22"/>
    <mergeCell ref="D21:E21"/>
    <mergeCell ref="D22:E22"/>
    <mergeCell ref="B17:C17"/>
    <mergeCell ref="D17:I17"/>
    <mergeCell ref="J17:O17"/>
    <mergeCell ref="B18:C22"/>
    <mergeCell ref="D18:I18"/>
    <mergeCell ref="J18:O22"/>
    <mergeCell ref="B12:C13"/>
    <mergeCell ref="D12:M13"/>
    <mergeCell ref="N12:P13"/>
    <mergeCell ref="B16:C16"/>
    <mergeCell ref="D16:I16"/>
    <mergeCell ref="J16:O16"/>
    <mergeCell ref="B8:C8"/>
    <mergeCell ref="D8:M8"/>
    <mergeCell ref="N8:P8"/>
    <mergeCell ref="B11:C11"/>
    <mergeCell ref="D11:M11"/>
    <mergeCell ref="N11:P11"/>
    <mergeCell ref="B6:C6"/>
    <mergeCell ref="D6:M6"/>
    <mergeCell ref="N6:P6"/>
    <mergeCell ref="B7:C7"/>
    <mergeCell ref="D7:M7"/>
    <mergeCell ref="N7:P7"/>
    <mergeCell ref="B1:P1"/>
    <mergeCell ref="B4:C4"/>
    <mergeCell ref="D4:M4"/>
    <mergeCell ref="N4:P4"/>
    <mergeCell ref="B5:C5"/>
    <mergeCell ref="D5:M5"/>
    <mergeCell ref="N5:P5"/>
  </mergeCells>
  <phoneticPr fontId="100" type="noConversion"/>
  <printOptions horizontalCentered="1"/>
  <pageMargins left="0.31496062992125984" right="0.31496062992125984" top="0.31496062992125984" bottom="0.31496062992125984" header="0" footer="0"/>
  <pageSetup paperSize="9" scale="79" orientation="landscape" r:id="rId1"/>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M52"/>
  <sheetViews>
    <sheetView zoomScaleNormal="100" workbookViewId="0">
      <selection activeCell="B1" sqref="B1:AG1"/>
    </sheetView>
  </sheetViews>
  <sheetFormatPr defaultColWidth="8.125" defaultRowHeight="18" customHeight="1"/>
  <cols>
    <col min="1" max="1" width="1" style="15" customWidth="1"/>
    <col min="2" max="2" width="5.875" style="71" customWidth="1"/>
    <col min="3" max="3" width="11.5" style="71" customWidth="1"/>
    <col min="4" max="5" width="5.625" style="71" customWidth="1"/>
    <col min="6" max="6" width="6.625" style="71" customWidth="1"/>
    <col min="7" max="7" width="8.125" style="71" customWidth="1"/>
    <col min="8" max="8" width="8.125" style="15" customWidth="1"/>
    <col min="9" max="9" width="8.875" style="15" bestFit="1" customWidth="1"/>
    <col min="10" max="10" width="7.625" style="15" bestFit="1" customWidth="1"/>
    <col min="11" max="11" width="9.375" style="15" customWidth="1"/>
    <col min="12" max="12" width="7.625" style="15" bestFit="1" customWidth="1"/>
    <col min="13" max="14" width="9.625" style="15" bestFit="1" customWidth="1"/>
    <col min="15" max="15" width="7.625" style="15" bestFit="1" customWidth="1"/>
    <col min="16" max="16" width="6.625" style="15" bestFit="1" customWidth="1"/>
    <col min="17" max="18" width="7.625" style="15" customWidth="1"/>
    <col min="19" max="19" width="6.625" style="15" bestFit="1" customWidth="1"/>
    <col min="20" max="26" width="7.625" style="15" customWidth="1"/>
    <col min="27" max="28" width="7.625" style="56" customWidth="1"/>
    <col min="29" max="30" width="7.625" style="15" customWidth="1"/>
    <col min="31" max="31" width="8.125" style="15" customWidth="1"/>
    <col min="32" max="16384" width="8.125" style="15"/>
  </cols>
  <sheetData>
    <row r="1" spans="1:39" s="32" customFormat="1" ht="30" customHeight="1" thickBot="1">
      <c r="B1" s="1201" t="s">
        <v>1721</v>
      </c>
      <c r="C1" s="1201"/>
      <c r="D1" s="1201"/>
      <c r="E1" s="1201"/>
      <c r="F1" s="1201"/>
      <c r="G1" s="1201"/>
      <c r="H1" s="1201"/>
      <c r="I1" s="1201"/>
      <c r="J1" s="1201"/>
      <c r="K1" s="1201"/>
      <c r="L1" s="1201"/>
      <c r="M1" s="1201"/>
      <c r="N1" s="1201"/>
      <c r="O1" s="1201"/>
      <c r="P1" s="1201"/>
      <c r="Q1" s="1201"/>
      <c r="R1" s="1201"/>
      <c r="S1" s="1201"/>
      <c r="T1" s="1201"/>
      <c r="U1" s="1201"/>
      <c r="V1" s="1201"/>
      <c r="W1" s="1201"/>
      <c r="X1" s="1201"/>
      <c r="Y1" s="1201"/>
      <c r="Z1" s="1201"/>
      <c r="AA1" s="1201"/>
      <c r="AB1" s="1201"/>
      <c r="AC1" s="1201"/>
      <c r="AD1" s="1201"/>
      <c r="AE1" s="1201"/>
      <c r="AF1" s="1201"/>
      <c r="AG1" s="1201"/>
    </row>
    <row r="2" spans="1:39" s="235" customFormat="1" ht="6" customHeight="1" thickTop="1">
      <c r="A2" s="65"/>
      <c r="B2" s="64"/>
      <c r="C2" s="64"/>
      <c r="D2" s="64"/>
      <c r="E2" s="64"/>
      <c r="F2" s="368"/>
      <c r="G2" s="64"/>
      <c r="H2" s="64"/>
      <c r="I2" s="64"/>
      <c r="J2" s="65"/>
      <c r="K2" s="65"/>
      <c r="L2" s="66"/>
      <c r="M2" s="66"/>
      <c r="N2" s="66"/>
      <c r="O2" s="66"/>
      <c r="P2" s="65"/>
      <c r="Q2" s="65"/>
      <c r="R2" s="65"/>
      <c r="S2" s="65"/>
      <c r="T2" s="65"/>
      <c r="U2" s="65"/>
      <c r="V2" s="65"/>
      <c r="W2" s="65"/>
      <c r="X2" s="65"/>
      <c r="Y2" s="65"/>
      <c r="Z2" s="65"/>
      <c r="AA2" s="65"/>
      <c r="AB2" s="65"/>
      <c r="AC2" s="65"/>
      <c r="AD2" s="65"/>
      <c r="AE2" s="65"/>
      <c r="AF2" s="65"/>
      <c r="AG2" s="65"/>
      <c r="AH2" s="65"/>
      <c r="AI2" s="65"/>
      <c r="AJ2" s="65"/>
      <c r="AK2" s="65"/>
      <c r="AL2" s="65"/>
      <c r="AM2" s="65"/>
    </row>
    <row r="3" spans="1:39" s="262" customFormat="1" ht="18" customHeight="1">
      <c r="B3" s="350" t="s">
        <v>747</v>
      </c>
      <c r="C3" s="261"/>
      <c r="D3" s="261"/>
      <c r="E3" s="261"/>
      <c r="F3" s="261"/>
      <c r="G3" s="261"/>
      <c r="K3" s="263"/>
      <c r="L3" s="263"/>
      <c r="M3" s="263"/>
    </row>
    <row r="4" spans="1:39" s="235" customFormat="1" ht="6" customHeight="1" thickBot="1">
      <c r="A4" s="65"/>
      <c r="B4" s="64"/>
      <c r="C4" s="64"/>
      <c r="D4" s="64"/>
      <c r="E4" s="64"/>
      <c r="F4" s="368"/>
      <c r="G4" s="64"/>
      <c r="H4" s="64"/>
      <c r="I4" s="64"/>
      <c r="J4" s="65"/>
      <c r="K4" s="65"/>
      <c r="L4" s="66"/>
      <c r="M4" s="66"/>
      <c r="N4" s="66"/>
      <c r="O4" s="66"/>
      <c r="P4" s="65"/>
      <c r="Q4" s="65"/>
      <c r="R4" s="65"/>
      <c r="S4" s="65"/>
      <c r="T4" s="65"/>
      <c r="U4" s="65"/>
      <c r="V4" s="65"/>
      <c r="W4" s="65"/>
      <c r="X4" s="65"/>
      <c r="Y4" s="65"/>
      <c r="Z4" s="65"/>
      <c r="AA4" s="65"/>
      <c r="AB4" s="65"/>
      <c r="AC4" s="65"/>
      <c r="AD4" s="65"/>
      <c r="AE4" s="65"/>
      <c r="AF4" s="65"/>
      <c r="AG4" s="65"/>
      <c r="AH4" s="65"/>
      <c r="AI4" s="65"/>
      <c r="AJ4" s="65"/>
      <c r="AK4" s="65"/>
      <c r="AL4" s="65"/>
      <c r="AM4" s="65"/>
    </row>
    <row r="5" spans="1:39" ht="15" customHeight="1">
      <c r="B5" s="1685" t="s">
        <v>302</v>
      </c>
      <c r="C5" s="1686"/>
      <c r="D5" s="1686"/>
      <c r="E5" s="1686"/>
      <c r="F5" s="1687"/>
      <c r="G5" s="1821" t="s">
        <v>303</v>
      </c>
      <c r="H5" s="1214" t="s">
        <v>304</v>
      </c>
      <c r="I5" s="2244" t="s">
        <v>376</v>
      </c>
      <c r="J5" s="2244" t="s">
        <v>377</v>
      </c>
      <c r="K5" s="2246" t="s">
        <v>378</v>
      </c>
      <c r="L5" s="2247"/>
      <c r="M5" s="2247"/>
      <c r="N5" s="2248"/>
      <c r="O5" s="2252" t="s">
        <v>379</v>
      </c>
      <c r="P5" s="2254" t="s">
        <v>308</v>
      </c>
      <c r="Q5" s="2257" t="s">
        <v>309</v>
      </c>
      <c r="R5" s="2263" t="s">
        <v>310</v>
      </c>
      <c r="S5" s="1659" t="s">
        <v>305</v>
      </c>
      <c r="T5" s="1660"/>
      <c r="U5" s="1314">
        <v>0.93</v>
      </c>
      <c r="V5" s="1659" t="s">
        <v>413</v>
      </c>
      <c r="W5" s="1660"/>
      <c r="X5" s="1314">
        <v>0.86</v>
      </c>
      <c r="Y5" s="1659" t="s">
        <v>306</v>
      </c>
      <c r="Z5" s="1660"/>
      <c r="AA5" s="1314">
        <v>0.83</v>
      </c>
      <c r="AB5" s="1659" t="s">
        <v>307</v>
      </c>
      <c r="AC5" s="1660"/>
      <c r="AD5" s="1314">
        <v>0.75</v>
      </c>
      <c r="AE5" s="1659" t="s">
        <v>312</v>
      </c>
      <c r="AF5" s="1660"/>
      <c r="AG5" s="1314">
        <v>0.7</v>
      </c>
    </row>
    <row r="6" spans="1:39" ht="15" customHeight="1">
      <c r="B6" s="1688"/>
      <c r="C6" s="1689"/>
      <c r="D6" s="1689"/>
      <c r="E6" s="1689"/>
      <c r="F6" s="1690"/>
      <c r="G6" s="2241"/>
      <c r="H6" s="1668"/>
      <c r="I6" s="2245"/>
      <c r="J6" s="2245"/>
      <c r="K6" s="2249"/>
      <c r="L6" s="2250"/>
      <c r="M6" s="2250"/>
      <c r="N6" s="2251"/>
      <c r="O6" s="2253"/>
      <c r="P6" s="2255"/>
      <c r="Q6" s="2258"/>
      <c r="R6" s="2264"/>
      <c r="S6" s="1661"/>
      <c r="T6" s="1662"/>
      <c r="U6" s="1646"/>
      <c r="V6" s="1661"/>
      <c r="W6" s="1662"/>
      <c r="X6" s="1646"/>
      <c r="Y6" s="1661"/>
      <c r="Z6" s="1662"/>
      <c r="AA6" s="1646"/>
      <c r="AB6" s="1661"/>
      <c r="AC6" s="1662"/>
      <c r="AD6" s="1646"/>
      <c r="AE6" s="1661"/>
      <c r="AF6" s="1662"/>
      <c r="AG6" s="1646"/>
    </row>
    <row r="7" spans="1:39" ht="24.95" customHeight="1" thickBot="1">
      <c r="B7" s="606" t="s">
        <v>313</v>
      </c>
      <c r="C7" s="2260" t="s">
        <v>314</v>
      </c>
      <c r="D7" s="2261"/>
      <c r="E7" s="2262"/>
      <c r="F7" s="432" t="s">
        <v>315</v>
      </c>
      <c r="G7" s="2242"/>
      <c r="H7" s="2243"/>
      <c r="I7" s="433">
        <f>140%*95%</f>
        <v>1.3299999999999998</v>
      </c>
      <c r="J7" s="319">
        <v>0.2</v>
      </c>
      <c r="K7" s="680" t="s">
        <v>416</v>
      </c>
      <c r="L7" s="340" t="s">
        <v>380</v>
      </c>
      <c r="M7" s="340" t="s">
        <v>381</v>
      </c>
      <c r="N7" s="340" t="s">
        <v>382</v>
      </c>
      <c r="O7" s="341" t="s">
        <v>383</v>
      </c>
      <c r="P7" s="2256"/>
      <c r="Q7" s="2259"/>
      <c r="R7" s="2265"/>
      <c r="S7" s="619" t="s">
        <v>308</v>
      </c>
      <c r="T7" s="620" t="s">
        <v>309</v>
      </c>
      <c r="U7" s="621" t="s">
        <v>310</v>
      </c>
      <c r="V7" s="677" t="s">
        <v>308</v>
      </c>
      <c r="W7" s="678" t="s">
        <v>309</v>
      </c>
      <c r="X7" s="679" t="s">
        <v>310</v>
      </c>
      <c r="Y7" s="619" t="s">
        <v>308</v>
      </c>
      <c r="Z7" s="620" t="s">
        <v>309</v>
      </c>
      <c r="AA7" s="621" t="s">
        <v>310</v>
      </c>
      <c r="AB7" s="619" t="s">
        <v>308</v>
      </c>
      <c r="AC7" s="620" t="s">
        <v>309</v>
      </c>
      <c r="AD7" s="621" t="s">
        <v>310</v>
      </c>
      <c r="AE7" s="619" t="s">
        <v>308</v>
      </c>
      <c r="AF7" s="620" t="s">
        <v>309</v>
      </c>
      <c r="AG7" s="621" t="s">
        <v>310</v>
      </c>
    </row>
    <row r="8" spans="1:39" ht="18" customHeight="1">
      <c r="B8" s="2266" t="s">
        <v>384</v>
      </c>
      <c r="C8" s="2268" t="s">
        <v>385</v>
      </c>
      <c r="D8" s="2269"/>
      <c r="E8" s="2269"/>
      <c r="F8" s="2270"/>
      <c r="G8" s="2271">
        <v>1000</v>
      </c>
      <c r="H8" s="1226">
        <f>G8*F9</f>
        <v>2400</v>
      </c>
      <c r="I8" s="2273">
        <f>H8*$I$7</f>
        <v>3191.9999999999995</v>
      </c>
      <c r="J8" s="1226">
        <f>H8*$J$7</f>
        <v>480</v>
      </c>
      <c r="K8" s="1226">
        <f>H8*20%*8</f>
        <v>3840</v>
      </c>
      <c r="L8" s="1226">
        <f>H8*20%*3</f>
        <v>1440</v>
      </c>
      <c r="M8" s="1226">
        <f>H8*5.5%*12</f>
        <v>1584</v>
      </c>
      <c r="N8" s="1226">
        <f>H8*5.5%*12</f>
        <v>1584</v>
      </c>
      <c r="O8" s="1638">
        <f>(M8*35%)+(N8*35%)</f>
        <v>1108.8</v>
      </c>
      <c r="P8" s="148">
        <f>SUM(I8,J8,K8)</f>
        <v>7512</v>
      </c>
      <c r="Q8" s="151">
        <f>$P8+$L8</f>
        <v>8952</v>
      </c>
      <c r="R8" s="150">
        <f>$Q8+$M8+$N8+$O8</f>
        <v>13228.8</v>
      </c>
      <c r="S8" s="148">
        <f>P8*$U$5</f>
        <v>6986.1600000000008</v>
      </c>
      <c r="T8" s="151">
        <f>$Q8*$U$5</f>
        <v>8325.36</v>
      </c>
      <c r="U8" s="152">
        <f>R8*$U$5</f>
        <v>12302.784</v>
      </c>
      <c r="V8" s="148">
        <f>P8*$X$5</f>
        <v>6460.32</v>
      </c>
      <c r="W8" s="151">
        <f>$Q8*$X$5</f>
        <v>7698.72</v>
      </c>
      <c r="X8" s="150">
        <f>R8*$X$5</f>
        <v>11376.768</v>
      </c>
      <c r="Y8" s="149">
        <f>P8*$AA$5</f>
        <v>6234.96</v>
      </c>
      <c r="Z8" s="151">
        <f>$Q8*$AA$5</f>
        <v>7430.16</v>
      </c>
      <c r="AA8" s="150">
        <f>R8*$AA$5</f>
        <v>10979.903999999999</v>
      </c>
      <c r="AB8" s="148">
        <f>P8*$AD$5</f>
        <v>5634</v>
      </c>
      <c r="AC8" s="151">
        <f>$Q8*$AD$5</f>
        <v>6714</v>
      </c>
      <c r="AD8" s="150">
        <f>R8*$AD$5</f>
        <v>9921.5999999999985</v>
      </c>
      <c r="AE8" s="149">
        <f>P8*$AG$5</f>
        <v>5258.4</v>
      </c>
      <c r="AF8" s="151">
        <f>$Q8*$AG$5</f>
        <v>6266.4</v>
      </c>
      <c r="AG8" s="150">
        <f>R8*$AG$5</f>
        <v>9260.159999999998</v>
      </c>
    </row>
    <row r="9" spans="1:39" ht="18" customHeight="1">
      <c r="B9" s="2267"/>
      <c r="C9" s="2235" t="s">
        <v>386</v>
      </c>
      <c r="D9" s="2236"/>
      <c r="E9" s="2237"/>
      <c r="F9" s="427">
        <v>2.4</v>
      </c>
      <c r="G9" s="2272"/>
      <c r="H9" s="1227"/>
      <c r="I9" s="2274"/>
      <c r="J9" s="1227"/>
      <c r="K9" s="1227"/>
      <c r="L9" s="1227"/>
      <c r="M9" s="1227"/>
      <c r="N9" s="1227"/>
      <c r="O9" s="1539"/>
      <c r="P9" s="180">
        <f t="shared" ref="P9:AG9" si="0">P8/$G$8</f>
        <v>7.5119999999999996</v>
      </c>
      <c r="Q9" s="183">
        <f t="shared" si="0"/>
        <v>8.952</v>
      </c>
      <c r="R9" s="182">
        <f t="shared" si="0"/>
        <v>13.2288</v>
      </c>
      <c r="S9" s="180">
        <f t="shared" si="0"/>
        <v>6.9861600000000008</v>
      </c>
      <c r="T9" s="183">
        <f t="shared" si="0"/>
        <v>8.3253599999999999</v>
      </c>
      <c r="U9" s="184">
        <f t="shared" si="0"/>
        <v>12.302783999999999</v>
      </c>
      <c r="V9" s="180">
        <f t="shared" si="0"/>
        <v>6.4603199999999994</v>
      </c>
      <c r="W9" s="183">
        <f t="shared" si="0"/>
        <v>7.6987200000000007</v>
      </c>
      <c r="X9" s="182">
        <f t="shared" si="0"/>
        <v>11.376768</v>
      </c>
      <c r="Y9" s="181">
        <f t="shared" si="0"/>
        <v>6.2349600000000001</v>
      </c>
      <c r="Z9" s="183">
        <f t="shared" si="0"/>
        <v>7.4301599999999999</v>
      </c>
      <c r="AA9" s="182">
        <f t="shared" si="0"/>
        <v>10.979903999999999</v>
      </c>
      <c r="AB9" s="180">
        <f t="shared" si="0"/>
        <v>5.6340000000000003</v>
      </c>
      <c r="AC9" s="183">
        <f t="shared" si="0"/>
        <v>6.7140000000000004</v>
      </c>
      <c r="AD9" s="182">
        <f t="shared" si="0"/>
        <v>9.921599999999998</v>
      </c>
      <c r="AE9" s="181">
        <f t="shared" si="0"/>
        <v>5.2584</v>
      </c>
      <c r="AF9" s="183">
        <f t="shared" si="0"/>
        <v>6.2664</v>
      </c>
      <c r="AG9" s="182">
        <f t="shared" si="0"/>
        <v>9.2601599999999973</v>
      </c>
    </row>
    <row r="10" spans="1:39" s="56" customFormat="1" ht="18" customHeight="1">
      <c r="B10" s="2267"/>
      <c r="C10" s="2238" t="s">
        <v>387</v>
      </c>
      <c r="D10" s="2239"/>
      <c r="E10" s="2239"/>
      <c r="F10" s="2240"/>
      <c r="G10" s="1541">
        <v>1000</v>
      </c>
      <c r="H10" s="1227">
        <f t="shared" ref="H10" si="1">G10*F11</f>
        <v>2400</v>
      </c>
      <c r="I10" s="2275">
        <f t="shared" ref="I10" si="2">H10*$I$7</f>
        <v>3191.9999999999995</v>
      </c>
      <c r="J10" s="1227">
        <f>H10*$J$7</f>
        <v>480</v>
      </c>
      <c r="K10" s="1234">
        <f t="shared" ref="K10" si="3">H10*20%*8</f>
        <v>3840</v>
      </c>
      <c r="L10" s="1234">
        <f t="shared" ref="L10" si="4">H10*20%*3</f>
        <v>1440</v>
      </c>
      <c r="M10" s="1234">
        <f>H10*5.5%*12</f>
        <v>1584</v>
      </c>
      <c r="N10" s="1234">
        <f>H10*5.5%*12</f>
        <v>1584</v>
      </c>
      <c r="O10" s="1326">
        <f t="shared" ref="O10" si="5">(M10*35%)+(N10*35%)</f>
        <v>1108.8</v>
      </c>
      <c r="P10" s="23">
        <f>SUM(I10,J10,K10)</f>
        <v>7512</v>
      </c>
      <c r="Q10" s="24">
        <f>$P10+$L10</f>
        <v>8952</v>
      </c>
      <c r="R10" s="22">
        <f>$Q10+$M10+$N10+$O10</f>
        <v>13228.8</v>
      </c>
      <c r="S10" s="23">
        <f>P10*$U$5</f>
        <v>6986.1600000000008</v>
      </c>
      <c r="T10" s="24">
        <f>$Q10*$U$5</f>
        <v>8325.36</v>
      </c>
      <c r="U10" s="106">
        <f>R10*$U$5</f>
        <v>12302.784</v>
      </c>
      <c r="V10" s="23">
        <f t="shared" ref="V10" si="6">P10*$X$5</f>
        <v>6460.32</v>
      </c>
      <c r="W10" s="24">
        <f t="shared" ref="W10" si="7">$Q10*$X$5</f>
        <v>7698.72</v>
      </c>
      <c r="X10" s="25">
        <f t="shared" ref="X10" si="8">R10*$X$5</f>
        <v>11376.768</v>
      </c>
      <c r="Y10" s="34">
        <f>P10*$AA$5</f>
        <v>6234.96</v>
      </c>
      <c r="Z10" s="24">
        <f>$Q10*$AA$5</f>
        <v>7430.16</v>
      </c>
      <c r="AA10" s="25">
        <f>R10*$AA$5</f>
        <v>10979.903999999999</v>
      </c>
      <c r="AB10" s="23">
        <f>P10*$AD$5</f>
        <v>5634</v>
      </c>
      <c r="AC10" s="24">
        <f>$Q10*$AD$5</f>
        <v>6714</v>
      </c>
      <c r="AD10" s="25">
        <f>R10*$AD$5</f>
        <v>9921.5999999999985</v>
      </c>
      <c r="AE10" s="34">
        <f>P10*$AG$5</f>
        <v>5258.4</v>
      </c>
      <c r="AF10" s="24">
        <f>$Q10*$AG$5</f>
        <v>6266.4</v>
      </c>
      <c r="AG10" s="25">
        <f>R10*$AG$5</f>
        <v>9260.159999999998</v>
      </c>
      <c r="AH10" s="15"/>
      <c r="AI10" s="15"/>
      <c r="AJ10" s="15"/>
      <c r="AK10" s="15"/>
      <c r="AL10" s="15"/>
      <c r="AM10" s="15"/>
    </row>
    <row r="11" spans="1:39" s="56" customFormat="1" ht="18" customHeight="1">
      <c r="B11" s="2267"/>
      <c r="C11" s="2235" t="s">
        <v>388</v>
      </c>
      <c r="D11" s="2236"/>
      <c r="E11" s="2237"/>
      <c r="F11" s="427">
        <v>2.4</v>
      </c>
      <c r="G11" s="1541"/>
      <c r="H11" s="1227"/>
      <c r="I11" s="2274"/>
      <c r="J11" s="1227"/>
      <c r="K11" s="1229"/>
      <c r="L11" s="1229"/>
      <c r="M11" s="1229"/>
      <c r="N11" s="1229"/>
      <c r="O11" s="1241"/>
      <c r="P11" s="180">
        <f t="shared" ref="P11:AG11" si="9">P10/$G$10</f>
        <v>7.5119999999999996</v>
      </c>
      <c r="Q11" s="183">
        <f t="shared" si="9"/>
        <v>8.952</v>
      </c>
      <c r="R11" s="182">
        <f t="shared" si="9"/>
        <v>13.2288</v>
      </c>
      <c r="S11" s="180">
        <f t="shared" si="9"/>
        <v>6.9861600000000008</v>
      </c>
      <c r="T11" s="183">
        <f t="shared" si="9"/>
        <v>8.3253599999999999</v>
      </c>
      <c r="U11" s="184">
        <f t="shared" si="9"/>
        <v>12.302783999999999</v>
      </c>
      <c r="V11" s="180">
        <f>V10/$G$10</f>
        <v>6.4603199999999994</v>
      </c>
      <c r="W11" s="183">
        <f t="shared" ref="W11:X11" si="10">W10/$G$10</f>
        <v>7.6987200000000007</v>
      </c>
      <c r="X11" s="182">
        <f t="shared" si="10"/>
        <v>11.376768</v>
      </c>
      <c r="Y11" s="181">
        <f t="shared" si="9"/>
        <v>6.2349600000000001</v>
      </c>
      <c r="Z11" s="183">
        <f t="shared" si="9"/>
        <v>7.4301599999999999</v>
      </c>
      <c r="AA11" s="182">
        <f t="shared" si="9"/>
        <v>10.979903999999999</v>
      </c>
      <c r="AB11" s="180">
        <f t="shared" si="9"/>
        <v>5.6340000000000003</v>
      </c>
      <c r="AC11" s="183">
        <f t="shared" si="9"/>
        <v>6.7140000000000004</v>
      </c>
      <c r="AD11" s="182">
        <f t="shared" si="9"/>
        <v>9.921599999999998</v>
      </c>
      <c r="AE11" s="181">
        <f t="shared" si="9"/>
        <v>5.2584</v>
      </c>
      <c r="AF11" s="183">
        <f t="shared" si="9"/>
        <v>6.2664</v>
      </c>
      <c r="AG11" s="182">
        <f t="shared" si="9"/>
        <v>9.2601599999999973</v>
      </c>
      <c r="AH11" s="15"/>
      <c r="AI11" s="15"/>
      <c r="AJ11" s="15"/>
      <c r="AK11" s="15"/>
      <c r="AL11" s="15"/>
      <c r="AM11" s="15"/>
    </row>
    <row r="12" spans="1:39" ht="18" customHeight="1">
      <c r="B12" s="2267"/>
      <c r="C12" s="2238" t="s">
        <v>389</v>
      </c>
      <c r="D12" s="2239"/>
      <c r="E12" s="2239"/>
      <c r="F12" s="2240"/>
      <c r="G12" s="2272">
        <v>1000</v>
      </c>
      <c r="H12" s="1227">
        <f t="shared" ref="H12" si="11">G12*F13</f>
        <v>2000</v>
      </c>
      <c r="I12" s="2275">
        <f t="shared" ref="I12" si="12">H12*$I$7</f>
        <v>2659.9999999999995</v>
      </c>
      <c r="J12" s="1227">
        <f>H12*$J$7</f>
        <v>400</v>
      </c>
      <c r="K12" s="1234">
        <f t="shared" ref="K12" si="13">H12*20%*8</f>
        <v>3200</v>
      </c>
      <c r="L12" s="1234">
        <f t="shared" ref="L12" si="14">H12*20%*3</f>
        <v>1200</v>
      </c>
      <c r="M12" s="1234">
        <f>H12*5.5%*12</f>
        <v>1320</v>
      </c>
      <c r="N12" s="1234">
        <f>H12*5.5%*12</f>
        <v>1320</v>
      </c>
      <c r="O12" s="1326">
        <f t="shared" ref="O12:O22" si="15">(M12*35%)+(N12*35%)</f>
        <v>923.99999999999989</v>
      </c>
      <c r="P12" s="23">
        <f>SUM(I12,J12,K12)</f>
        <v>6260</v>
      </c>
      <c r="Q12" s="24">
        <f>$P12+$L12</f>
        <v>7460</v>
      </c>
      <c r="R12" s="22">
        <f>$Q12+$M12+$N12+$O12</f>
        <v>11024</v>
      </c>
      <c r="S12" s="23">
        <f>P12*$U$5</f>
        <v>5821.8</v>
      </c>
      <c r="T12" s="24">
        <f>$Q12*$U$5</f>
        <v>6937.8</v>
      </c>
      <c r="U12" s="106">
        <f>R12*$U$5</f>
        <v>10252.32</v>
      </c>
      <c r="V12" s="23">
        <f t="shared" ref="V12" si="16">P12*$X$5</f>
        <v>5383.6</v>
      </c>
      <c r="W12" s="24">
        <f t="shared" ref="W12" si="17">$Q12*$X$5</f>
        <v>6415.5999999999995</v>
      </c>
      <c r="X12" s="25">
        <f t="shared" ref="X12" si="18">R12*$X$5</f>
        <v>9480.64</v>
      </c>
      <c r="Y12" s="34">
        <f>P12*$AA$5</f>
        <v>5195.8</v>
      </c>
      <c r="Z12" s="24">
        <f>$Q12*$AA$5</f>
        <v>6191.7999999999993</v>
      </c>
      <c r="AA12" s="25">
        <f>R12*$AA$5</f>
        <v>9149.92</v>
      </c>
      <c r="AB12" s="23">
        <f>P12*$AD$5</f>
        <v>4695</v>
      </c>
      <c r="AC12" s="24">
        <f>$Q12*$AD$5</f>
        <v>5595</v>
      </c>
      <c r="AD12" s="25">
        <f>R12*$AD$5</f>
        <v>8268</v>
      </c>
      <c r="AE12" s="34">
        <f>P12*$AG$5</f>
        <v>4382</v>
      </c>
      <c r="AF12" s="24">
        <f>$Q12*$AG$5</f>
        <v>5222</v>
      </c>
      <c r="AG12" s="25">
        <f>R12*$AG$5</f>
        <v>7716.7999999999993</v>
      </c>
    </row>
    <row r="13" spans="1:39" ht="18" customHeight="1" thickBot="1">
      <c r="B13" s="2267"/>
      <c r="C13" s="2276" t="s">
        <v>390</v>
      </c>
      <c r="D13" s="2277"/>
      <c r="E13" s="2278"/>
      <c r="F13" s="426">
        <v>2</v>
      </c>
      <c r="G13" s="2284"/>
      <c r="H13" s="1234"/>
      <c r="I13" s="2285"/>
      <c r="J13" s="1234"/>
      <c r="K13" s="1247"/>
      <c r="L13" s="1247"/>
      <c r="M13" s="1247"/>
      <c r="N13" s="1247"/>
      <c r="O13" s="1249"/>
      <c r="P13" s="221">
        <f t="shared" ref="P13:AG13" si="19">P12/$G$12</f>
        <v>6.26</v>
      </c>
      <c r="Q13" s="219">
        <f t="shared" si="19"/>
        <v>7.46</v>
      </c>
      <c r="R13" s="222">
        <f t="shared" si="19"/>
        <v>11.023999999999999</v>
      </c>
      <c r="S13" s="170">
        <f t="shared" si="19"/>
        <v>5.8218000000000005</v>
      </c>
      <c r="T13" s="171">
        <f t="shared" si="19"/>
        <v>6.9378000000000002</v>
      </c>
      <c r="U13" s="187">
        <f t="shared" si="19"/>
        <v>10.252319999999999</v>
      </c>
      <c r="V13" s="170">
        <f>V12/$G$12</f>
        <v>5.3836000000000004</v>
      </c>
      <c r="W13" s="171">
        <f t="shared" ref="W13:X13" si="20">W12/$G$12</f>
        <v>6.4155999999999995</v>
      </c>
      <c r="X13" s="172">
        <f t="shared" si="20"/>
        <v>9.4806399999999993</v>
      </c>
      <c r="Y13" s="186">
        <f t="shared" si="19"/>
        <v>5.1958000000000002</v>
      </c>
      <c r="Z13" s="171">
        <f t="shared" si="19"/>
        <v>6.1917999999999989</v>
      </c>
      <c r="AA13" s="172">
        <f t="shared" si="19"/>
        <v>9.1499199999999998</v>
      </c>
      <c r="AB13" s="170">
        <f t="shared" si="19"/>
        <v>4.6950000000000003</v>
      </c>
      <c r="AC13" s="171">
        <f t="shared" si="19"/>
        <v>5.5949999999999998</v>
      </c>
      <c r="AD13" s="172">
        <f t="shared" si="19"/>
        <v>8.2680000000000007</v>
      </c>
      <c r="AE13" s="186">
        <f t="shared" si="19"/>
        <v>4.3819999999999997</v>
      </c>
      <c r="AF13" s="171">
        <f t="shared" si="19"/>
        <v>5.2220000000000004</v>
      </c>
      <c r="AG13" s="172">
        <f t="shared" si="19"/>
        <v>7.7167999999999992</v>
      </c>
    </row>
    <row r="14" spans="1:39" ht="18" customHeight="1">
      <c r="B14" s="2279" t="s">
        <v>391</v>
      </c>
      <c r="C14" s="2268" t="s">
        <v>392</v>
      </c>
      <c r="D14" s="2269"/>
      <c r="E14" s="2269"/>
      <c r="F14" s="2270"/>
      <c r="G14" s="2271">
        <v>1000</v>
      </c>
      <c r="H14" s="1226">
        <f t="shared" ref="H14" si="21">G14*F15</f>
        <v>2700</v>
      </c>
      <c r="I14" s="2273">
        <f t="shared" ref="I14" si="22">H14*$I$7</f>
        <v>3590.9999999999995</v>
      </c>
      <c r="J14" s="1226">
        <f>H14*$J$7</f>
        <v>540</v>
      </c>
      <c r="K14" s="1226">
        <f>H14*25%*8</f>
        <v>5400</v>
      </c>
      <c r="L14" s="1226">
        <f>H14*25%*3</f>
        <v>2025</v>
      </c>
      <c r="M14" s="1226">
        <f>H14*5.5%*12</f>
        <v>1782</v>
      </c>
      <c r="N14" s="1226">
        <f>H14*5.5%*12</f>
        <v>1782</v>
      </c>
      <c r="O14" s="1240">
        <f>(M14*35%)+(N14*35%)</f>
        <v>1247.3999999999999</v>
      </c>
      <c r="P14" s="148">
        <f>SUM(I14,J14,K14)</f>
        <v>9531</v>
      </c>
      <c r="Q14" s="151">
        <f>$P14+$L14</f>
        <v>11556</v>
      </c>
      <c r="R14" s="150">
        <f>$Q14+$M14+$N14+$O14</f>
        <v>16367.4</v>
      </c>
      <c r="S14" s="20">
        <f>P14*$U$5</f>
        <v>8863.83</v>
      </c>
      <c r="T14" s="21">
        <f>$Q14*$U$5</f>
        <v>10747.08</v>
      </c>
      <c r="U14" s="104">
        <f>R14*$U$5</f>
        <v>15221.682000000001</v>
      </c>
      <c r="V14" s="148">
        <f t="shared" ref="V14" si="23">P14*$X$5</f>
        <v>8196.66</v>
      </c>
      <c r="W14" s="151">
        <f t="shared" ref="W14" si="24">$Q14*$X$5</f>
        <v>9938.16</v>
      </c>
      <c r="X14" s="150">
        <f t="shared" ref="X14" si="25">R14*$X$5</f>
        <v>14075.964</v>
      </c>
      <c r="Y14" s="149">
        <f>P14*$AA$5</f>
        <v>7910.73</v>
      </c>
      <c r="Z14" s="151">
        <f>$Q14*$AA$5</f>
        <v>9591.48</v>
      </c>
      <c r="AA14" s="150">
        <f>R14*$AA$5</f>
        <v>13584.941999999999</v>
      </c>
      <c r="AB14" s="148">
        <f>P14*$AD$5</f>
        <v>7148.25</v>
      </c>
      <c r="AC14" s="151">
        <f>$Q14*$AD$5</f>
        <v>8667</v>
      </c>
      <c r="AD14" s="150">
        <f>R14*$AD$5</f>
        <v>12275.55</v>
      </c>
      <c r="AE14" s="149">
        <f>P14*$AG$5</f>
        <v>6671.7</v>
      </c>
      <c r="AF14" s="151">
        <f>$Q14*$AG$5</f>
        <v>8089.2</v>
      </c>
      <c r="AG14" s="150">
        <f>R14*$AG$5</f>
        <v>11457.179999999998</v>
      </c>
    </row>
    <row r="15" spans="1:39" ht="18" customHeight="1" thickBot="1">
      <c r="B15" s="2280"/>
      <c r="C15" s="2276" t="s">
        <v>393</v>
      </c>
      <c r="D15" s="2277"/>
      <c r="E15" s="2278"/>
      <c r="F15" s="426">
        <v>2.7</v>
      </c>
      <c r="G15" s="2282"/>
      <c r="H15" s="1263"/>
      <c r="I15" s="2283"/>
      <c r="J15" s="1263"/>
      <c r="K15" s="1263"/>
      <c r="L15" s="1263"/>
      <c r="M15" s="1263"/>
      <c r="N15" s="1263"/>
      <c r="O15" s="1249"/>
      <c r="P15" s="170">
        <f t="shared" ref="P15:AG15" si="26">P14/$G$14</f>
        <v>9.5310000000000006</v>
      </c>
      <c r="Q15" s="171">
        <f t="shared" si="26"/>
        <v>11.555999999999999</v>
      </c>
      <c r="R15" s="172">
        <f t="shared" si="26"/>
        <v>16.3674</v>
      </c>
      <c r="S15" s="170">
        <f t="shared" si="26"/>
        <v>8.8638300000000001</v>
      </c>
      <c r="T15" s="171">
        <f t="shared" si="26"/>
        <v>10.74708</v>
      </c>
      <c r="U15" s="187">
        <f t="shared" si="26"/>
        <v>15.221682000000001</v>
      </c>
      <c r="V15" s="170">
        <f>V14/$G$14</f>
        <v>8.1966599999999996</v>
      </c>
      <c r="W15" s="171">
        <f t="shared" ref="W15:X15" si="27">W14/$G$14</f>
        <v>9.9381599999999999</v>
      </c>
      <c r="X15" s="172">
        <f t="shared" si="27"/>
        <v>14.075964000000001</v>
      </c>
      <c r="Y15" s="186">
        <f t="shared" si="26"/>
        <v>7.9107299999999992</v>
      </c>
      <c r="Z15" s="171">
        <f t="shared" si="26"/>
        <v>9.5914799999999989</v>
      </c>
      <c r="AA15" s="172">
        <f t="shared" si="26"/>
        <v>13.584942</v>
      </c>
      <c r="AB15" s="170">
        <f t="shared" si="26"/>
        <v>7.14825</v>
      </c>
      <c r="AC15" s="171">
        <f t="shared" si="26"/>
        <v>8.6669999999999998</v>
      </c>
      <c r="AD15" s="172">
        <f t="shared" si="26"/>
        <v>12.275549999999999</v>
      </c>
      <c r="AE15" s="186">
        <f t="shared" si="26"/>
        <v>6.6716999999999995</v>
      </c>
      <c r="AF15" s="171">
        <f t="shared" si="26"/>
        <v>8.0891999999999999</v>
      </c>
      <c r="AG15" s="172">
        <f t="shared" si="26"/>
        <v>11.457179999999999</v>
      </c>
    </row>
    <row r="16" spans="1:39" ht="18" customHeight="1">
      <c r="B16" s="2280"/>
      <c r="C16" s="2268" t="s">
        <v>394</v>
      </c>
      <c r="D16" s="2269"/>
      <c r="E16" s="2269"/>
      <c r="F16" s="2270"/>
      <c r="G16" s="2271">
        <v>1000</v>
      </c>
      <c r="H16" s="1226">
        <f t="shared" ref="H16" si="28">G16*F17</f>
        <v>2600</v>
      </c>
      <c r="I16" s="2273">
        <f t="shared" ref="I16" si="29">H16*$I$7</f>
        <v>3457.9999999999995</v>
      </c>
      <c r="J16" s="1226">
        <f>H16*$J$7</f>
        <v>520</v>
      </c>
      <c r="K16" s="1228">
        <f>H16*25%*8</f>
        <v>5200</v>
      </c>
      <c r="L16" s="1228">
        <f>H16*25%*3</f>
        <v>1950</v>
      </c>
      <c r="M16" s="1228">
        <f>H16*5.5%*12</f>
        <v>1716</v>
      </c>
      <c r="N16" s="1228">
        <f>H16*5.5%*12</f>
        <v>1716</v>
      </c>
      <c r="O16" s="1240">
        <f t="shared" si="15"/>
        <v>1201.1999999999998</v>
      </c>
      <c r="P16" s="148">
        <f>SUM(I16,J16,K16)</f>
        <v>9178</v>
      </c>
      <c r="Q16" s="151">
        <f>$P16+$L16</f>
        <v>11128</v>
      </c>
      <c r="R16" s="150">
        <f>$Q16+$M16+$N16+$O16</f>
        <v>15761.2</v>
      </c>
      <c r="S16" s="20">
        <f>P16*$U$5</f>
        <v>8535.5400000000009</v>
      </c>
      <c r="T16" s="21">
        <f>$Q16*$U$5</f>
        <v>10349.040000000001</v>
      </c>
      <c r="U16" s="104">
        <f>R16*$U$5</f>
        <v>14657.916000000001</v>
      </c>
      <c r="V16" s="148">
        <f t="shared" ref="V16" si="30">P16*$X$5</f>
        <v>7893.08</v>
      </c>
      <c r="W16" s="151">
        <f t="shared" ref="W16" si="31">$Q16*$X$5</f>
        <v>9570.08</v>
      </c>
      <c r="X16" s="150">
        <f t="shared" ref="X16" si="32">R16*$X$5</f>
        <v>13554.632</v>
      </c>
      <c r="Y16" s="149">
        <f>P16*$AA$5</f>
        <v>7617.74</v>
      </c>
      <c r="Z16" s="151">
        <f>$Q16*$AA$5</f>
        <v>9236.24</v>
      </c>
      <c r="AA16" s="150">
        <f>R16*$AA$5</f>
        <v>13081.796</v>
      </c>
      <c r="AB16" s="148">
        <f>P16*$AD$5</f>
        <v>6883.5</v>
      </c>
      <c r="AC16" s="151">
        <f>$Q16*$AD$5</f>
        <v>8346</v>
      </c>
      <c r="AD16" s="150">
        <f>R16*$AD$5</f>
        <v>11820.900000000001</v>
      </c>
      <c r="AE16" s="149">
        <f>P16*$AG$5</f>
        <v>6424.5999999999995</v>
      </c>
      <c r="AF16" s="151">
        <f>$Q16*$AG$5</f>
        <v>7789.5999999999995</v>
      </c>
      <c r="AG16" s="150">
        <f>R16*$AG$5</f>
        <v>11032.84</v>
      </c>
    </row>
    <row r="17" spans="2:36" ht="18" customHeight="1" thickBot="1">
      <c r="B17" s="2281"/>
      <c r="C17" s="2276" t="s">
        <v>393</v>
      </c>
      <c r="D17" s="2277"/>
      <c r="E17" s="2278"/>
      <c r="F17" s="426">
        <v>2.6</v>
      </c>
      <c r="G17" s="2282"/>
      <c r="H17" s="1263"/>
      <c r="I17" s="2283"/>
      <c r="J17" s="1263"/>
      <c r="K17" s="1247"/>
      <c r="L17" s="1247"/>
      <c r="M17" s="1247"/>
      <c r="N17" s="1247"/>
      <c r="O17" s="1249"/>
      <c r="P17" s="170">
        <f t="shared" ref="P17:AG17" si="33">P16/$G$16</f>
        <v>9.1780000000000008</v>
      </c>
      <c r="Q17" s="171">
        <f t="shared" si="33"/>
        <v>11.128</v>
      </c>
      <c r="R17" s="172">
        <f t="shared" si="33"/>
        <v>15.761200000000001</v>
      </c>
      <c r="S17" s="170">
        <f t="shared" si="33"/>
        <v>8.535540000000001</v>
      </c>
      <c r="T17" s="171">
        <f t="shared" si="33"/>
        <v>10.34904</v>
      </c>
      <c r="U17" s="187">
        <f t="shared" si="33"/>
        <v>14.657916000000002</v>
      </c>
      <c r="V17" s="170">
        <f>V16/$G$16</f>
        <v>7.8930800000000003</v>
      </c>
      <c r="W17" s="171">
        <f t="shared" ref="W17:X17" si="34">W16/$G$16</f>
        <v>9.5700800000000008</v>
      </c>
      <c r="X17" s="172">
        <f t="shared" si="34"/>
        <v>13.554632</v>
      </c>
      <c r="Y17" s="186">
        <f t="shared" si="33"/>
        <v>7.6177399999999995</v>
      </c>
      <c r="Z17" s="171">
        <f t="shared" si="33"/>
        <v>9.2362400000000004</v>
      </c>
      <c r="AA17" s="172">
        <f t="shared" si="33"/>
        <v>13.081796000000001</v>
      </c>
      <c r="AB17" s="170">
        <f t="shared" si="33"/>
        <v>6.8834999999999997</v>
      </c>
      <c r="AC17" s="171">
        <f t="shared" si="33"/>
        <v>8.3460000000000001</v>
      </c>
      <c r="AD17" s="172">
        <f t="shared" si="33"/>
        <v>11.820900000000002</v>
      </c>
      <c r="AE17" s="186">
        <f t="shared" si="33"/>
        <v>6.4245999999999999</v>
      </c>
      <c r="AF17" s="171">
        <f t="shared" si="33"/>
        <v>7.7895999999999992</v>
      </c>
      <c r="AG17" s="172">
        <f t="shared" si="33"/>
        <v>11.03284</v>
      </c>
    </row>
    <row r="18" spans="2:36" ht="18" customHeight="1">
      <c r="B18" s="2286" t="s">
        <v>395</v>
      </c>
      <c r="C18" s="2268" t="s">
        <v>396</v>
      </c>
      <c r="D18" s="2269"/>
      <c r="E18" s="2269"/>
      <c r="F18" s="2270"/>
      <c r="G18" s="2271">
        <v>1000</v>
      </c>
      <c r="H18" s="1226">
        <f t="shared" ref="H18" si="35">G18*F19</f>
        <v>1200</v>
      </c>
      <c r="I18" s="2273">
        <f t="shared" ref="I18" si="36">H18*$I$7</f>
        <v>1595.9999999999998</v>
      </c>
      <c r="J18" s="1226">
        <f>H18*$J$7</f>
        <v>240</v>
      </c>
      <c r="K18" s="1226">
        <f>H18*18%*8</f>
        <v>1728</v>
      </c>
      <c r="L18" s="1226">
        <f>H18*18%*3</f>
        <v>648</v>
      </c>
      <c r="M18" s="1226">
        <f>H18*5.5%*12</f>
        <v>792</v>
      </c>
      <c r="N18" s="1226">
        <f>H18*5.5%*12</f>
        <v>792</v>
      </c>
      <c r="O18" s="1240">
        <f t="shared" si="15"/>
        <v>554.4</v>
      </c>
      <c r="P18" s="148">
        <f>SUM(I18,J18,K18)</f>
        <v>3564</v>
      </c>
      <c r="Q18" s="151">
        <f>$P18+$L18</f>
        <v>4212</v>
      </c>
      <c r="R18" s="150">
        <f>$Q18+$M18+$N18+$O18</f>
        <v>6350.4</v>
      </c>
      <c r="S18" s="148">
        <f>P18*$U$5</f>
        <v>3314.52</v>
      </c>
      <c r="T18" s="151">
        <f>$Q18*$U$5</f>
        <v>3917.1600000000003</v>
      </c>
      <c r="U18" s="152">
        <f>R18*$U$5</f>
        <v>5905.8720000000003</v>
      </c>
      <c r="V18" s="148">
        <f t="shared" ref="V18" si="37">P18*$X$5</f>
        <v>3065.04</v>
      </c>
      <c r="W18" s="151">
        <f t="shared" ref="W18" si="38">$Q18*$X$5</f>
        <v>3622.32</v>
      </c>
      <c r="X18" s="150">
        <f t="shared" ref="X18" si="39">R18*$X$5</f>
        <v>5461.3440000000001</v>
      </c>
      <c r="Y18" s="149">
        <f>P18*$AA$5</f>
        <v>2958.12</v>
      </c>
      <c r="Z18" s="151">
        <f>$Q18*$AA$5</f>
        <v>3495.96</v>
      </c>
      <c r="AA18" s="150">
        <f>R18*$AA$5</f>
        <v>5270.8319999999994</v>
      </c>
      <c r="AB18" s="148">
        <f>P18*$AD$5</f>
        <v>2673</v>
      </c>
      <c r="AC18" s="151">
        <f>$Q18*$AD$5</f>
        <v>3159</v>
      </c>
      <c r="AD18" s="150">
        <f>R18*$AD$5</f>
        <v>4762.7999999999993</v>
      </c>
      <c r="AE18" s="149">
        <f>P18*$AG$5</f>
        <v>2494.7999999999997</v>
      </c>
      <c r="AF18" s="151">
        <f>$Q18*$AG$5</f>
        <v>2948.3999999999996</v>
      </c>
      <c r="AG18" s="150">
        <f>R18*$AG$5</f>
        <v>4445.28</v>
      </c>
    </row>
    <row r="19" spans="2:36" ht="18" customHeight="1" thickBot="1">
      <c r="B19" s="2287"/>
      <c r="C19" s="2276" t="s">
        <v>397</v>
      </c>
      <c r="D19" s="2277"/>
      <c r="E19" s="2278"/>
      <c r="F19" s="426">
        <v>1.2</v>
      </c>
      <c r="G19" s="2282"/>
      <c r="H19" s="1263"/>
      <c r="I19" s="2283"/>
      <c r="J19" s="1263"/>
      <c r="K19" s="1263"/>
      <c r="L19" s="1263"/>
      <c r="M19" s="1263"/>
      <c r="N19" s="1263"/>
      <c r="O19" s="1249"/>
      <c r="P19" s="170">
        <f t="shared" ref="P19:AG19" si="40">P18/$G$18</f>
        <v>3.5640000000000001</v>
      </c>
      <c r="Q19" s="171">
        <f t="shared" si="40"/>
        <v>4.2119999999999997</v>
      </c>
      <c r="R19" s="172">
        <f t="shared" si="40"/>
        <v>6.3503999999999996</v>
      </c>
      <c r="S19" s="170">
        <f t="shared" si="40"/>
        <v>3.3145199999999999</v>
      </c>
      <c r="T19" s="171">
        <f t="shared" si="40"/>
        <v>3.9171600000000004</v>
      </c>
      <c r="U19" s="187">
        <f t="shared" si="40"/>
        <v>5.9058720000000005</v>
      </c>
      <c r="V19" s="170">
        <f>V18/$G$18</f>
        <v>3.0650399999999998</v>
      </c>
      <c r="W19" s="171">
        <f t="shared" ref="W19:X19" si="41">W18/$G$18</f>
        <v>3.6223200000000002</v>
      </c>
      <c r="X19" s="172">
        <f t="shared" si="41"/>
        <v>5.4613440000000004</v>
      </c>
      <c r="Y19" s="186">
        <f t="shared" si="40"/>
        <v>2.9581200000000001</v>
      </c>
      <c r="Z19" s="171">
        <f t="shared" si="40"/>
        <v>3.4959600000000002</v>
      </c>
      <c r="AA19" s="172">
        <f t="shared" si="40"/>
        <v>5.2708319999999995</v>
      </c>
      <c r="AB19" s="170">
        <f t="shared" si="40"/>
        <v>2.673</v>
      </c>
      <c r="AC19" s="171">
        <f t="shared" si="40"/>
        <v>3.1589999999999998</v>
      </c>
      <c r="AD19" s="172">
        <f t="shared" si="40"/>
        <v>4.7627999999999995</v>
      </c>
      <c r="AE19" s="186">
        <f t="shared" si="40"/>
        <v>2.4947999999999997</v>
      </c>
      <c r="AF19" s="171">
        <f t="shared" si="40"/>
        <v>2.9483999999999995</v>
      </c>
      <c r="AG19" s="172">
        <f t="shared" si="40"/>
        <v>4.4452799999999995</v>
      </c>
    </row>
    <row r="20" spans="2:36" ht="18" customHeight="1">
      <c r="B20" s="2288" t="s">
        <v>398</v>
      </c>
      <c r="C20" s="2268" t="s">
        <v>399</v>
      </c>
      <c r="D20" s="2269"/>
      <c r="E20" s="2269"/>
      <c r="F20" s="2270"/>
      <c r="G20" s="2271">
        <v>1000</v>
      </c>
      <c r="H20" s="1226">
        <f t="shared" ref="H20" si="42">G20*F21</f>
        <v>1100</v>
      </c>
      <c r="I20" s="2273">
        <f>H20*$I$7</f>
        <v>1462.9999999999998</v>
      </c>
      <c r="J20" s="1226">
        <f>H20*$J$7</f>
        <v>220</v>
      </c>
      <c r="K20" s="1228">
        <f t="shared" ref="K20" si="43">H20*18%*8</f>
        <v>1584</v>
      </c>
      <c r="L20" s="1228">
        <f t="shared" ref="L20" si="44">H20*18%*3</f>
        <v>594</v>
      </c>
      <c r="M20" s="1228">
        <f>H20*5.5%*12</f>
        <v>726</v>
      </c>
      <c r="N20" s="1228">
        <f>H20*5.5%*12</f>
        <v>726</v>
      </c>
      <c r="O20" s="1240">
        <f t="shared" si="15"/>
        <v>508.2</v>
      </c>
      <c r="P20" s="148">
        <f>SUM(I20,J20,K20)</f>
        <v>3267</v>
      </c>
      <c r="Q20" s="151">
        <f>$P20+$L20</f>
        <v>3861</v>
      </c>
      <c r="R20" s="150">
        <f>$Q20+$M20+$N20+$O20</f>
        <v>5821.2</v>
      </c>
      <c r="S20" s="148">
        <f>P20*$U$5</f>
        <v>3038.31</v>
      </c>
      <c r="T20" s="151">
        <f>$Q20*$U$5</f>
        <v>3590.73</v>
      </c>
      <c r="U20" s="152">
        <f>R20*$U$5</f>
        <v>5413.7160000000003</v>
      </c>
      <c r="V20" s="20">
        <f t="shared" ref="V20" si="45">P20*$X$5</f>
        <v>2809.62</v>
      </c>
      <c r="W20" s="21">
        <f t="shared" ref="W20" si="46">$Q20*$X$5</f>
        <v>3320.46</v>
      </c>
      <c r="X20" s="22">
        <f t="shared" ref="X20" si="47">R20*$X$5</f>
        <v>5006.232</v>
      </c>
      <c r="Y20" s="149">
        <f>P20*$AA$5</f>
        <v>2711.6099999999997</v>
      </c>
      <c r="Z20" s="151">
        <f>$Q20*$AA$5</f>
        <v>3204.6299999999997</v>
      </c>
      <c r="AA20" s="150">
        <f>R20*$AA$5</f>
        <v>4831.5959999999995</v>
      </c>
      <c r="AB20" s="148">
        <f>P20*$AD$5</f>
        <v>2450.25</v>
      </c>
      <c r="AC20" s="151">
        <f>$Q20*$AD$5</f>
        <v>2895.75</v>
      </c>
      <c r="AD20" s="150">
        <f>R20*$AD$5</f>
        <v>4365.8999999999996</v>
      </c>
      <c r="AE20" s="149">
        <f>P20*$AG$5</f>
        <v>2286.8999999999996</v>
      </c>
      <c r="AF20" s="151">
        <f>$Q20*$AG$5</f>
        <v>2702.7</v>
      </c>
      <c r="AG20" s="150">
        <f>R20*$AG$5</f>
        <v>4074.8399999999997</v>
      </c>
    </row>
    <row r="21" spans="2:36" ht="18" customHeight="1">
      <c r="B21" s="2288"/>
      <c r="C21" s="2235" t="s">
        <v>400</v>
      </c>
      <c r="D21" s="2236"/>
      <c r="E21" s="2237"/>
      <c r="F21" s="427">
        <v>1.1000000000000001</v>
      </c>
      <c r="G21" s="2272"/>
      <c r="H21" s="1227"/>
      <c r="I21" s="2274"/>
      <c r="J21" s="1227"/>
      <c r="K21" s="1229"/>
      <c r="L21" s="1229"/>
      <c r="M21" s="1229"/>
      <c r="N21" s="1229"/>
      <c r="O21" s="1241"/>
      <c r="P21" s="180">
        <f t="shared" ref="P21:AG21" si="48">P20/$G$20</f>
        <v>3.2669999999999999</v>
      </c>
      <c r="Q21" s="183">
        <f t="shared" si="48"/>
        <v>3.8610000000000002</v>
      </c>
      <c r="R21" s="182">
        <f t="shared" si="48"/>
        <v>5.8212000000000002</v>
      </c>
      <c r="S21" s="180">
        <f t="shared" si="48"/>
        <v>3.0383100000000001</v>
      </c>
      <c r="T21" s="183">
        <f t="shared" si="48"/>
        <v>3.5907300000000002</v>
      </c>
      <c r="U21" s="184">
        <f t="shared" si="48"/>
        <v>5.413716</v>
      </c>
      <c r="V21" s="180">
        <f>V20/$G$20</f>
        <v>2.8096199999999998</v>
      </c>
      <c r="W21" s="183">
        <f t="shared" ref="W21:X21" si="49">W20/$G$20</f>
        <v>3.3204600000000002</v>
      </c>
      <c r="X21" s="182">
        <f t="shared" si="49"/>
        <v>5.0062319999999998</v>
      </c>
      <c r="Y21" s="181">
        <f t="shared" si="48"/>
        <v>2.7116099999999999</v>
      </c>
      <c r="Z21" s="183">
        <f t="shared" si="48"/>
        <v>3.2046299999999999</v>
      </c>
      <c r="AA21" s="182">
        <f t="shared" si="48"/>
        <v>4.8315959999999993</v>
      </c>
      <c r="AB21" s="180">
        <f t="shared" si="48"/>
        <v>2.45025</v>
      </c>
      <c r="AC21" s="183">
        <f t="shared" si="48"/>
        <v>2.89575</v>
      </c>
      <c r="AD21" s="182">
        <f t="shared" si="48"/>
        <v>4.3658999999999999</v>
      </c>
      <c r="AE21" s="181">
        <f t="shared" si="48"/>
        <v>2.2868999999999997</v>
      </c>
      <c r="AF21" s="183">
        <f t="shared" si="48"/>
        <v>2.7026999999999997</v>
      </c>
      <c r="AG21" s="182">
        <f t="shared" si="48"/>
        <v>4.07484</v>
      </c>
    </row>
    <row r="22" spans="2:36" ht="18" customHeight="1">
      <c r="B22" s="2288"/>
      <c r="C22" s="2238" t="s">
        <v>401</v>
      </c>
      <c r="D22" s="2239"/>
      <c r="E22" s="2239"/>
      <c r="F22" s="2240"/>
      <c r="G22" s="2289">
        <v>1000</v>
      </c>
      <c r="H22" s="1229">
        <f t="shared" ref="H22" si="50">G22*F23</f>
        <v>1070</v>
      </c>
      <c r="I22" s="2285">
        <f t="shared" ref="I22" si="51">H22*$I$7</f>
        <v>1423.1</v>
      </c>
      <c r="J22" s="1229">
        <f t="shared" ref="J22" si="52">H22*$J$7</f>
        <v>214</v>
      </c>
      <c r="K22" s="1234">
        <f t="shared" ref="K22" si="53">H22*18%*8</f>
        <v>1540.8</v>
      </c>
      <c r="L22" s="1234">
        <f t="shared" ref="L22" si="54">H22*18%*3</f>
        <v>577.79999999999995</v>
      </c>
      <c r="M22" s="1234">
        <f>H22*5.5%*12</f>
        <v>706.2</v>
      </c>
      <c r="N22" s="1234">
        <f>H22*5.5%*12</f>
        <v>706.2</v>
      </c>
      <c r="O22" s="1326">
        <f t="shared" si="15"/>
        <v>494.34</v>
      </c>
      <c r="P22" s="20">
        <f>SUM(I22,J22,K22)</f>
        <v>3177.8999999999996</v>
      </c>
      <c r="Q22" s="21">
        <f>$P22+$L22</f>
        <v>3755.7</v>
      </c>
      <c r="R22" s="22">
        <f>$Q22+$M22+$N22+$O22</f>
        <v>5662.44</v>
      </c>
      <c r="S22" s="20">
        <f>P22*$U$5</f>
        <v>2955.4469999999997</v>
      </c>
      <c r="T22" s="21">
        <f>$Q22*$U$5</f>
        <v>3492.8009999999999</v>
      </c>
      <c r="U22" s="104">
        <f>R22*$U$5</f>
        <v>5266.0691999999999</v>
      </c>
      <c r="V22" s="23">
        <f t="shared" ref="V22" si="55">P22*$X$5</f>
        <v>2732.9939999999997</v>
      </c>
      <c r="W22" s="24">
        <f t="shared" ref="W22" si="56">$Q22*$X$5</f>
        <v>3229.9019999999996</v>
      </c>
      <c r="X22" s="25">
        <f t="shared" ref="X22" si="57">R22*$X$5</f>
        <v>4869.6983999999993</v>
      </c>
      <c r="Y22" s="33">
        <f>P22*$AA$5</f>
        <v>2637.6569999999997</v>
      </c>
      <c r="Z22" s="21">
        <f>$Q22*$AA$5</f>
        <v>3117.2309999999998</v>
      </c>
      <c r="AA22" s="22">
        <f>R22*$AA$5</f>
        <v>4699.8251999999993</v>
      </c>
      <c r="AB22" s="20">
        <f>P22*$AD$5</f>
        <v>2383.4249999999997</v>
      </c>
      <c r="AC22" s="21">
        <f>$Q22*$AD$5</f>
        <v>2816.7749999999996</v>
      </c>
      <c r="AD22" s="22">
        <f>R22*$AD$5</f>
        <v>4246.83</v>
      </c>
      <c r="AE22" s="33">
        <f>P22*$AG$5</f>
        <v>2224.5299999999997</v>
      </c>
      <c r="AF22" s="21">
        <f>$Q22*$AG$5</f>
        <v>2628.99</v>
      </c>
      <c r="AG22" s="22">
        <f>R22*$AG$5</f>
        <v>3963.7079999999996</v>
      </c>
    </row>
    <row r="23" spans="2:36" ht="18" customHeight="1" thickBot="1">
      <c r="B23" s="2287"/>
      <c r="C23" s="2291" t="s">
        <v>402</v>
      </c>
      <c r="D23" s="2292"/>
      <c r="E23" s="2293"/>
      <c r="F23" s="424">
        <v>1.07</v>
      </c>
      <c r="G23" s="2282"/>
      <c r="H23" s="1263"/>
      <c r="I23" s="2283"/>
      <c r="J23" s="1263"/>
      <c r="K23" s="1247"/>
      <c r="L23" s="1247"/>
      <c r="M23" s="1247"/>
      <c r="N23" s="1247"/>
      <c r="O23" s="1249"/>
      <c r="P23" s="170">
        <f>P22/$G$22</f>
        <v>3.1778999999999997</v>
      </c>
      <c r="Q23" s="171">
        <f>Q22/$G$14</f>
        <v>3.7557</v>
      </c>
      <c r="R23" s="172">
        <f>R22/$G$22</f>
        <v>5.6624399999999993</v>
      </c>
      <c r="S23" s="170">
        <f>S22/$G$22</f>
        <v>2.9554469999999995</v>
      </c>
      <c r="T23" s="171">
        <f>T22/$G$14</f>
        <v>3.492801</v>
      </c>
      <c r="U23" s="187">
        <f>U22/$G$22</f>
        <v>5.2660691999999996</v>
      </c>
      <c r="V23" s="221">
        <f>V22/$G$22</f>
        <v>2.7329939999999997</v>
      </c>
      <c r="W23" s="219">
        <f t="shared" ref="W23:X23" si="58">W22/$G$22</f>
        <v>3.2299019999999996</v>
      </c>
      <c r="X23" s="222">
        <f t="shared" si="58"/>
        <v>4.869698399999999</v>
      </c>
      <c r="Y23" s="186">
        <f>Y22/$G$22</f>
        <v>2.6376569999999999</v>
      </c>
      <c r="Z23" s="171">
        <f>Z22/$G$14</f>
        <v>3.1172309999999999</v>
      </c>
      <c r="AA23" s="172">
        <f>AA22/$G$22</f>
        <v>4.6998251999999994</v>
      </c>
      <c r="AB23" s="170">
        <f>AB22/$G$22</f>
        <v>2.3834249999999999</v>
      </c>
      <c r="AC23" s="171">
        <f>AC22/$G$14</f>
        <v>2.8167749999999998</v>
      </c>
      <c r="AD23" s="172">
        <f>AD22/$G$22</f>
        <v>4.2468300000000001</v>
      </c>
      <c r="AE23" s="186">
        <f>AE22/$G$22</f>
        <v>2.2245299999999997</v>
      </c>
      <c r="AF23" s="171">
        <f>AF22/$G$14</f>
        <v>2.6289899999999999</v>
      </c>
      <c r="AG23" s="172">
        <f>AG22/$G$22</f>
        <v>3.9637079999999996</v>
      </c>
    </row>
    <row r="24" spans="2:36" ht="18" customHeight="1">
      <c r="B24" s="2294" t="s">
        <v>403</v>
      </c>
      <c r="C24" s="1435" t="s">
        <v>404</v>
      </c>
      <c r="D24" s="2296"/>
      <c r="E24" s="2297"/>
      <c r="F24" s="604" t="s">
        <v>405</v>
      </c>
      <c r="G24" s="2271">
        <v>100000</v>
      </c>
      <c r="H24" s="1226"/>
      <c r="I24" s="1226"/>
      <c r="J24" s="1226">
        <f>G24*F25</f>
        <v>4200</v>
      </c>
      <c r="K24" s="1226"/>
      <c r="L24" s="1226"/>
      <c r="M24" s="2290"/>
      <c r="N24" s="1226"/>
      <c r="O24" s="1226"/>
      <c r="P24" s="148">
        <f>SUM(I24,J24,K24)</f>
        <v>4200</v>
      </c>
      <c r="Q24" s="151">
        <f>$P24+$L24</f>
        <v>4200</v>
      </c>
      <c r="R24" s="150">
        <f>$Q24+$M24+$N24+$O24</f>
        <v>4200</v>
      </c>
      <c r="S24" s="148">
        <f>P24*$U$5</f>
        <v>3906</v>
      </c>
      <c r="T24" s="151">
        <f>$Q24*$U$5</f>
        <v>3906</v>
      </c>
      <c r="U24" s="152">
        <f>R24*$U$5</f>
        <v>3906</v>
      </c>
      <c r="V24" s="148">
        <f t="shared" ref="V24" si="59">P24*$X$5</f>
        <v>3612</v>
      </c>
      <c r="W24" s="151">
        <f t="shared" ref="W24" si="60">$Q24*$X$5</f>
        <v>3612</v>
      </c>
      <c r="X24" s="150">
        <f t="shared" ref="X24" si="61">R24*$X$5</f>
        <v>3612</v>
      </c>
      <c r="Y24" s="149">
        <f>P24*$AA$5</f>
        <v>3486</v>
      </c>
      <c r="Z24" s="151">
        <f>$Q24*$AA$5</f>
        <v>3486</v>
      </c>
      <c r="AA24" s="150">
        <f>R24*$AA$5</f>
        <v>3486</v>
      </c>
      <c r="AB24" s="148">
        <f>P24*$AD$5</f>
        <v>3150</v>
      </c>
      <c r="AC24" s="151">
        <f>$Q24*$AD$5</f>
        <v>3150</v>
      </c>
      <c r="AD24" s="150">
        <f>R24*$AD$5</f>
        <v>3150</v>
      </c>
      <c r="AE24" s="149">
        <f>P24*$AG$5</f>
        <v>2940</v>
      </c>
      <c r="AF24" s="151">
        <f>$Q24*$AG$5</f>
        <v>2940</v>
      </c>
      <c r="AG24" s="150">
        <f>R24*$AG$5</f>
        <v>2940</v>
      </c>
    </row>
    <row r="25" spans="2:36" ht="18" customHeight="1" thickBot="1">
      <c r="B25" s="2295"/>
      <c r="C25" s="2298" t="s">
        <v>406</v>
      </c>
      <c r="D25" s="2299"/>
      <c r="E25" s="2300"/>
      <c r="F25" s="459">
        <v>4.2000000000000003E-2</v>
      </c>
      <c r="G25" s="2282"/>
      <c r="H25" s="1263"/>
      <c r="I25" s="1263"/>
      <c r="J25" s="1263"/>
      <c r="K25" s="1263"/>
      <c r="L25" s="1263"/>
      <c r="M25" s="2178"/>
      <c r="N25" s="1263"/>
      <c r="O25" s="1263"/>
      <c r="P25" s="170">
        <f>P24/G24</f>
        <v>4.2000000000000003E-2</v>
      </c>
      <c r="Q25" s="171">
        <f>Q24/G24</f>
        <v>4.2000000000000003E-2</v>
      </c>
      <c r="R25" s="342">
        <f>R24/G24</f>
        <v>4.2000000000000003E-2</v>
      </c>
      <c r="S25" s="170">
        <f>S24/G24</f>
        <v>3.9059999999999997E-2</v>
      </c>
      <c r="T25" s="343">
        <f>T24/G24</f>
        <v>3.9059999999999997E-2</v>
      </c>
      <c r="U25" s="187">
        <f>U24/G24</f>
        <v>3.9059999999999997E-2</v>
      </c>
      <c r="V25" s="170">
        <f>V24/$G$24</f>
        <v>3.6119999999999999E-2</v>
      </c>
      <c r="W25" s="171">
        <f t="shared" ref="W25:X25" si="62">W24/$G$24</f>
        <v>3.6119999999999999E-2</v>
      </c>
      <c r="X25" s="172">
        <f t="shared" si="62"/>
        <v>3.6119999999999999E-2</v>
      </c>
      <c r="Y25" s="186">
        <f>Y24/G24</f>
        <v>3.4860000000000002E-2</v>
      </c>
      <c r="Z25" s="171">
        <f>Z24/G24</f>
        <v>3.4860000000000002E-2</v>
      </c>
      <c r="AA25" s="172">
        <f>AA24/G24</f>
        <v>3.4860000000000002E-2</v>
      </c>
      <c r="AB25" s="170">
        <f>AB24/G24</f>
        <v>3.15E-2</v>
      </c>
      <c r="AC25" s="171">
        <f>AC24/G24</f>
        <v>3.15E-2</v>
      </c>
      <c r="AD25" s="172">
        <f>AD24/G24</f>
        <v>3.15E-2</v>
      </c>
      <c r="AE25" s="186">
        <f>AE24/G24</f>
        <v>2.9399999999999999E-2</v>
      </c>
      <c r="AF25" s="171">
        <f>AF24/G24</f>
        <v>2.9399999999999999E-2</v>
      </c>
      <c r="AG25" s="172">
        <f>AG24/G24</f>
        <v>2.9399999999999999E-2</v>
      </c>
    </row>
    <row r="26" spans="2:36" ht="18" customHeight="1">
      <c r="B26" s="26"/>
      <c r="C26" s="26"/>
      <c r="D26" s="26"/>
      <c r="E26" s="26"/>
      <c r="F26" s="434"/>
      <c r="G26" s="26"/>
      <c r="H26" s="27"/>
      <c r="I26" s="27"/>
      <c r="J26" s="27"/>
      <c r="K26" s="27"/>
      <c r="L26" s="27"/>
      <c r="M26" s="27"/>
      <c r="N26" s="27"/>
      <c r="O26" s="27"/>
      <c r="P26" s="27"/>
      <c r="Q26" s="27"/>
      <c r="R26" s="27"/>
      <c r="S26" s="27"/>
      <c r="T26" s="27"/>
      <c r="U26" s="27"/>
      <c r="V26" s="27"/>
      <c r="W26" s="27"/>
      <c r="X26" s="27"/>
      <c r="Y26" s="27"/>
      <c r="Z26" s="27"/>
      <c r="AA26" s="27"/>
      <c r="AB26" s="27"/>
      <c r="AC26" s="27"/>
    </row>
    <row r="27" spans="2:36" s="76" customFormat="1" ht="18" customHeight="1">
      <c r="B27" s="74" t="s">
        <v>407</v>
      </c>
      <c r="C27" s="75"/>
      <c r="D27" s="75"/>
      <c r="E27" s="75"/>
      <c r="F27" s="75"/>
      <c r="G27" s="75"/>
      <c r="M27" s="464"/>
      <c r="N27" s="464"/>
      <c r="P27" s="545"/>
      <c r="Q27" s="550"/>
      <c r="S27" s="464"/>
      <c r="T27" s="464"/>
      <c r="W27" s="545"/>
      <c r="X27" s="551"/>
      <c r="AE27" s="15"/>
      <c r="AF27" s="15"/>
      <c r="AG27" s="15"/>
      <c r="AH27" s="15"/>
      <c r="AI27" s="15"/>
      <c r="AJ27" s="15"/>
    </row>
    <row r="28" spans="2:36" s="76" customFormat="1" ht="18" customHeight="1">
      <c r="B28" s="76" t="s">
        <v>408</v>
      </c>
      <c r="C28" s="74"/>
      <c r="D28" s="74"/>
      <c r="E28" s="74"/>
      <c r="F28" s="75"/>
      <c r="G28" s="75"/>
      <c r="M28" s="464"/>
      <c r="N28" s="464"/>
      <c r="P28" s="545"/>
      <c r="Q28" s="550"/>
      <c r="S28" s="464"/>
      <c r="T28" s="464"/>
      <c r="AE28" s="15"/>
      <c r="AF28" s="15"/>
      <c r="AG28" s="15"/>
      <c r="AH28" s="15"/>
      <c r="AI28" s="15"/>
      <c r="AJ28" s="15"/>
    </row>
    <row r="29" spans="2:36" s="76" customFormat="1" ht="18" customHeight="1">
      <c r="B29" s="61" t="s">
        <v>417</v>
      </c>
      <c r="C29" s="74"/>
      <c r="D29" s="74"/>
      <c r="E29" s="74"/>
      <c r="F29" s="75"/>
      <c r="G29" s="75"/>
      <c r="J29" s="75"/>
      <c r="AE29" s="15"/>
      <c r="AF29" s="15"/>
      <c r="AG29" s="15"/>
      <c r="AH29" s="15"/>
      <c r="AI29" s="15"/>
      <c r="AJ29" s="15"/>
    </row>
    <row r="30" spans="2:36" s="47" customFormat="1" ht="18" customHeight="1">
      <c r="B30" s="47" t="s">
        <v>409</v>
      </c>
      <c r="C30" s="45"/>
      <c r="D30" s="45"/>
      <c r="E30" s="45"/>
      <c r="F30" s="45"/>
      <c r="G30" s="45"/>
      <c r="R30" s="76"/>
      <c r="S30" s="76"/>
      <c r="T30" s="76"/>
      <c r="U30" s="76"/>
      <c r="V30" s="76"/>
    </row>
    <row r="31" spans="2:36" s="47" customFormat="1" ht="18" customHeight="1">
      <c r="B31" s="47" t="s">
        <v>744</v>
      </c>
      <c r="C31" s="45"/>
      <c r="D31" s="45"/>
      <c r="E31" s="45"/>
      <c r="F31" s="45"/>
      <c r="G31" s="45"/>
      <c r="R31" s="76"/>
      <c r="S31" s="76"/>
      <c r="T31" s="76"/>
      <c r="U31" s="76"/>
      <c r="V31" s="76"/>
    </row>
    <row r="32" spans="2:36" s="76" customFormat="1" ht="18" customHeight="1">
      <c r="B32" s="404" t="s">
        <v>410</v>
      </c>
      <c r="C32" s="75"/>
      <c r="D32" s="75"/>
      <c r="E32" s="75"/>
      <c r="F32" s="75"/>
      <c r="G32" s="75"/>
    </row>
    <row r="33" spans="2:28" s="76" customFormat="1" ht="18" customHeight="1">
      <c r="B33" s="76" t="s">
        <v>411</v>
      </c>
      <c r="C33" s="75"/>
      <c r="D33" s="75"/>
      <c r="E33" s="75"/>
      <c r="F33" s="75"/>
      <c r="G33" s="75"/>
    </row>
    <row r="34" spans="2:28" s="76" customFormat="1" ht="18" customHeight="1">
      <c r="B34" s="77" t="s">
        <v>412</v>
      </c>
      <c r="C34" s="75"/>
      <c r="D34" s="75"/>
      <c r="E34" s="75"/>
      <c r="F34" s="75"/>
      <c r="G34" s="75"/>
      <c r="J34" s="75"/>
    </row>
    <row r="35" spans="2:28" s="16" customFormat="1" ht="18" customHeight="1">
      <c r="F35" s="71"/>
    </row>
    <row r="36" spans="2:28" s="16" customFormat="1" ht="18" customHeight="1">
      <c r="B36" s="310"/>
      <c r="F36" s="71"/>
    </row>
    <row r="37" spans="2:28" s="16" customFormat="1" ht="18" customHeight="1">
      <c r="Q37" s="71"/>
    </row>
    <row r="38" spans="2:28" s="16" customFormat="1" ht="18" customHeight="1"/>
    <row r="39" spans="2:28" s="16" customFormat="1" ht="18" customHeight="1">
      <c r="F39" s="71"/>
    </row>
    <row r="40" spans="2:28" s="16" customFormat="1" ht="18" customHeight="1">
      <c r="F40" s="71"/>
    </row>
    <row r="41" spans="2:28" s="16" customFormat="1" ht="18" customHeight="1">
      <c r="F41" s="71"/>
    </row>
    <row r="42" spans="2:28" s="16" customFormat="1" ht="18" customHeight="1">
      <c r="F42" s="71"/>
    </row>
    <row r="43" spans="2:28" s="16" customFormat="1" ht="18" customHeight="1">
      <c r="F43" s="71"/>
    </row>
    <row r="44" spans="2:28" s="16" customFormat="1" ht="18" customHeight="1">
      <c r="F44" s="71"/>
    </row>
    <row r="45" spans="2:28" s="16" customFormat="1" ht="18" customHeight="1">
      <c r="F45" s="71"/>
    </row>
    <row r="46" spans="2:28" s="16" customFormat="1" ht="18" customHeight="1">
      <c r="F46" s="71"/>
    </row>
    <row r="47" spans="2:28" ht="18" customHeight="1">
      <c r="AA47" s="15"/>
      <c r="AB47" s="15"/>
    </row>
    <row r="48" spans="2:28" ht="18" customHeight="1">
      <c r="B48" s="15"/>
      <c r="C48" s="15"/>
      <c r="D48" s="15"/>
      <c r="E48" s="15"/>
      <c r="G48" s="15"/>
      <c r="AA48" s="15"/>
      <c r="AB48" s="15"/>
    </row>
    <row r="49" spans="2:28" ht="18" customHeight="1">
      <c r="B49" s="15"/>
      <c r="C49" s="15"/>
      <c r="D49" s="15"/>
      <c r="E49" s="15"/>
      <c r="G49" s="15"/>
      <c r="AA49" s="15"/>
      <c r="AB49" s="15"/>
    </row>
    <row r="50" spans="2:28" ht="18" customHeight="1">
      <c r="B50" s="15"/>
      <c r="C50" s="15"/>
      <c r="D50" s="15"/>
      <c r="E50" s="15"/>
      <c r="G50" s="15"/>
      <c r="AA50" s="15"/>
      <c r="AB50" s="15"/>
    </row>
    <row r="51" spans="2:28" ht="18" customHeight="1">
      <c r="B51" s="15"/>
      <c r="C51" s="15"/>
      <c r="D51" s="15"/>
      <c r="E51" s="15"/>
      <c r="G51" s="15"/>
      <c r="AA51" s="15"/>
      <c r="AB51" s="15"/>
    </row>
    <row r="52" spans="2:28" ht="18" customHeight="1">
      <c r="B52" s="15"/>
      <c r="C52" s="15"/>
      <c r="D52" s="15"/>
      <c r="E52" s="15"/>
      <c r="G52" s="15"/>
      <c r="AA52" s="15"/>
      <c r="AB52" s="15"/>
    </row>
  </sheetData>
  <mergeCells count="126">
    <mergeCell ref="J24:J25"/>
    <mergeCell ref="K24:K25"/>
    <mergeCell ref="L24:L25"/>
    <mergeCell ref="M24:M25"/>
    <mergeCell ref="N24:N25"/>
    <mergeCell ref="O24:O25"/>
    <mergeCell ref="C23:E23"/>
    <mergeCell ref="B24:B25"/>
    <mergeCell ref="C24:E24"/>
    <mergeCell ref="G24:G25"/>
    <mergeCell ref="H24:H25"/>
    <mergeCell ref="I24:I25"/>
    <mergeCell ref="C25:E25"/>
    <mergeCell ref="J22:J23"/>
    <mergeCell ref="K22:K23"/>
    <mergeCell ref="L22:L23"/>
    <mergeCell ref="M22:M23"/>
    <mergeCell ref="N22:N23"/>
    <mergeCell ref="O22:O23"/>
    <mergeCell ref="K20:K21"/>
    <mergeCell ref="L20:L21"/>
    <mergeCell ref="M20:M21"/>
    <mergeCell ref="N20:N21"/>
    <mergeCell ref="O20:O21"/>
    <mergeCell ref="C21:E21"/>
    <mergeCell ref="B20:B23"/>
    <mergeCell ref="C20:F20"/>
    <mergeCell ref="G20:G21"/>
    <mergeCell ref="H20:H21"/>
    <mergeCell ref="I20:I21"/>
    <mergeCell ref="J20:J21"/>
    <mergeCell ref="C22:F22"/>
    <mergeCell ref="G22:G23"/>
    <mergeCell ref="H22:H23"/>
    <mergeCell ref="I22:I23"/>
    <mergeCell ref="J18:J19"/>
    <mergeCell ref="K18:K19"/>
    <mergeCell ref="L18:L19"/>
    <mergeCell ref="M18:M19"/>
    <mergeCell ref="N18:N19"/>
    <mergeCell ref="O18:O19"/>
    <mergeCell ref="C17:E17"/>
    <mergeCell ref="B18:B19"/>
    <mergeCell ref="C18:F18"/>
    <mergeCell ref="G18:G19"/>
    <mergeCell ref="H18:H19"/>
    <mergeCell ref="I18:I19"/>
    <mergeCell ref="C19:E19"/>
    <mergeCell ref="J16:J17"/>
    <mergeCell ref="K16:K17"/>
    <mergeCell ref="L16:L17"/>
    <mergeCell ref="M16:M17"/>
    <mergeCell ref="N16:N17"/>
    <mergeCell ref="O16:O17"/>
    <mergeCell ref="O10:O11"/>
    <mergeCell ref="K14:K15"/>
    <mergeCell ref="L14:L15"/>
    <mergeCell ref="M14:M15"/>
    <mergeCell ref="N14:N15"/>
    <mergeCell ref="O14:O15"/>
    <mergeCell ref="C15:E15"/>
    <mergeCell ref="B14:B17"/>
    <mergeCell ref="C14:F14"/>
    <mergeCell ref="G14:G15"/>
    <mergeCell ref="H14:H15"/>
    <mergeCell ref="I14:I15"/>
    <mergeCell ref="J14:J15"/>
    <mergeCell ref="C16:F16"/>
    <mergeCell ref="G16:G17"/>
    <mergeCell ref="H16:H17"/>
    <mergeCell ref="I16:I17"/>
    <mergeCell ref="G12:G13"/>
    <mergeCell ref="H12:H13"/>
    <mergeCell ref="I12:I13"/>
    <mergeCell ref="J12:J13"/>
    <mergeCell ref="J10:J11"/>
    <mergeCell ref="K10:K11"/>
    <mergeCell ref="L10:L11"/>
    <mergeCell ref="M10:M11"/>
    <mergeCell ref="N10:N11"/>
    <mergeCell ref="K8:K9"/>
    <mergeCell ref="L8:L9"/>
    <mergeCell ref="M8:M9"/>
    <mergeCell ref="N8:N9"/>
    <mergeCell ref="O8:O9"/>
    <mergeCell ref="C9:E9"/>
    <mergeCell ref="B8:B13"/>
    <mergeCell ref="C8:F8"/>
    <mergeCell ref="G8:G9"/>
    <mergeCell ref="H8:H9"/>
    <mergeCell ref="I8:I9"/>
    <mergeCell ref="J8:J9"/>
    <mergeCell ref="C10:F10"/>
    <mergeCell ref="G10:G11"/>
    <mergeCell ref="H10:H11"/>
    <mergeCell ref="I10:I11"/>
    <mergeCell ref="K12:K13"/>
    <mergeCell ref="L12:L13"/>
    <mergeCell ref="M12:M13"/>
    <mergeCell ref="N12:N13"/>
    <mergeCell ref="O12:O13"/>
    <mergeCell ref="C13:E13"/>
    <mergeCell ref="C11:E11"/>
    <mergeCell ref="C12:F12"/>
    <mergeCell ref="B1:AG1"/>
    <mergeCell ref="B5:F6"/>
    <mergeCell ref="G5:G7"/>
    <mergeCell ref="H5:H7"/>
    <mergeCell ref="I5:I6"/>
    <mergeCell ref="J5:J6"/>
    <mergeCell ref="K5:N6"/>
    <mergeCell ref="O5:O6"/>
    <mergeCell ref="P5:P7"/>
    <mergeCell ref="Q5:Q7"/>
    <mergeCell ref="AA5:AA6"/>
    <mergeCell ref="AB5:AC6"/>
    <mergeCell ref="AD5:AD6"/>
    <mergeCell ref="AE5:AF6"/>
    <mergeCell ref="AG5:AG6"/>
    <mergeCell ref="C7:E7"/>
    <mergeCell ref="R5:R7"/>
    <mergeCell ref="S5:T6"/>
    <mergeCell ref="U5:U6"/>
    <mergeCell ref="V5:W6"/>
    <mergeCell ref="X5:X6"/>
    <mergeCell ref="Y5:Z6"/>
  </mergeCells>
  <phoneticPr fontId="100" type="noConversion"/>
  <printOptions horizontalCentered="1"/>
  <pageMargins left="0.31496062992125984" right="0.31496062992125984" top="0.31496062992125984" bottom="0.31496062992125984" header="0" footer="0"/>
  <pageSetup paperSize="9" scale="52" orientation="landscape" r:id="rId1"/>
  <legacy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66FF"/>
    <pageSetUpPr fitToPage="1"/>
  </sheetPr>
  <dimension ref="A1:IV42"/>
  <sheetViews>
    <sheetView zoomScaleNormal="100" workbookViewId="0">
      <pane ySplit="1" topLeftCell="A2" activePane="bottomLeft" state="frozen"/>
      <selection activeCell="B1" sqref="B1:O1"/>
      <selection pane="bottomLeft" activeCell="B1" sqref="B1:P1"/>
    </sheetView>
  </sheetViews>
  <sheetFormatPr defaultColWidth="7.25" defaultRowHeight="18" customHeight="1"/>
  <cols>
    <col min="1" max="1" width="1" style="142" customWidth="1"/>
    <col min="2" max="3" width="10.5" style="142" customWidth="1"/>
    <col min="4" max="4" width="9.375" style="142" customWidth="1"/>
    <col min="5" max="5" width="9.375" style="143" customWidth="1"/>
    <col min="6" max="10" width="9.375" style="142" customWidth="1"/>
    <col min="11" max="15" width="10.25" style="142" customWidth="1"/>
    <col min="16" max="16" width="9.75" style="142" customWidth="1"/>
    <col min="17" max="17" width="1.125" style="142" customWidth="1"/>
    <col min="18" max="20" width="7.25" style="142"/>
    <col min="21" max="23" width="8.125" style="142" bestFit="1" customWidth="1"/>
    <col min="24" max="24" width="8.625" style="142" bestFit="1" customWidth="1"/>
    <col min="25" max="25" width="9.5" style="142" bestFit="1" customWidth="1"/>
    <col min="26" max="26" width="8.625" style="142" bestFit="1" customWidth="1"/>
    <col min="27" max="27" width="7.25" style="142"/>
    <col min="28" max="28" width="9.5" style="142" bestFit="1" customWidth="1"/>
    <col min="29" max="33" width="8.625" style="142" bestFit="1" customWidth="1"/>
    <col min="34" max="34" width="7.5" style="142" bestFit="1" customWidth="1"/>
    <col min="35" max="35" width="8.625" style="142" bestFit="1" customWidth="1"/>
    <col min="36" max="36" width="7.5" style="142" bestFit="1" customWidth="1"/>
    <col min="37" max="37" width="8.625" style="142" bestFit="1" customWidth="1"/>
    <col min="38" max="16384" width="7.25" style="142"/>
  </cols>
  <sheetData>
    <row r="1" spans="1:256" s="111" customFormat="1" ht="30" customHeight="1" thickBot="1">
      <c r="A1" s="311"/>
      <c r="B1" s="1083" t="s">
        <v>1701</v>
      </c>
      <c r="C1" s="1083"/>
      <c r="D1" s="1083"/>
      <c r="E1" s="1083"/>
      <c r="F1" s="1083"/>
      <c r="G1" s="1083"/>
      <c r="H1" s="1083"/>
      <c r="I1" s="1083"/>
      <c r="J1" s="1083"/>
      <c r="K1" s="1083"/>
      <c r="L1" s="1083"/>
      <c r="M1" s="1083"/>
      <c r="N1" s="1083"/>
      <c r="O1" s="1083"/>
      <c r="P1" s="1083"/>
      <c r="Q1" s="136"/>
      <c r="R1" s="136"/>
      <c r="S1" s="136"/>
      <c r="T1" s="136"/>
      <c r="U1" s="136"/>
      <c r="V1" s="136"/>
      <c r="W1" s="136"/>
      <c r="X1" s="136"/>
      <c r="Y1" s="136"/>
      <c r="Z1" s="1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c r="CN1" s="136"/>
      <c r="CO1" s="136"/>
      <c r="CP1" s="136"/>
      <c r="CQ1" s="136"/>
      <c r="CR1" s="136"/>
      <c r="CS1" s="136"/>
      <c r="CT1" s="136"/>
      <c r="CU1" s="136"/>
      <c r="CV1" s="136"/>
      <c r="CW1" s="136"/>
      <c r="CX1" s="136"/>
      <c r="CY1" s="136"/>
      <c r="CZ1" s="136"/>
      <c r="DA1" s="136"/>
      <c r="DB1" s="136"/>
      <c r="DC1" s="136"/>
      <c r="DD1" s="136"/>
      <c r="DE1" s="136"/>
      <c r="DF1" s="136"/>
      <c r="DG1" s="136"/>
      <c r="DH1" s="136"/>
      <c r="DI1" s="136"/>
      <c r="DJ1" s="136"/>
      <c r="DK1" s="136"/>
      <c r="DL1" s="136"/>
      <c r="DM1" s="136"/>
      <c r="DN1" s="136"/>
      <c r="DO1" s="136"/>
      <c r="DP1" s="136"/>
      <c r="DQ1" s="136"/>
      <c r="DR1" s="136"/>
      <c r="DS1" s="136"/>
      <c r="DT1" s="136"/>
      <c r="DU1" s="136"/>
      <c r="DV1" s="136"/>
      <c r="DW1" s="136"/>
      <c r="DX1" s="136"/>
      <c r="DY1" s="136"/>
      <c r="DZ1" s="136"/>
      <c r="EA1" s="136"/>
      <c r="EB1" s="136"/>
      <c r="EC1" s="136"/>
      <c r="ED1" s="136"/>
      <c r="EE1" s="136"/>
      <c r="EF1" s="136"/>
      <c r="EG1" s="136"/>
      <c r="EH1" s="136"/>
      <c r="EI1" s="136"/>
      <c r="EJ1" s="136"/>
      <c r="EK1" s="136"/>
      <c r="EL1" s="136"/>
      <c r="EM1" s="136"/>
      <c r="EN1" s="136"/>
      <c r="EO1" s="136"/>
      <c r="EP1" s="136"/>
      <c r="EQ1" s="136"/>
      <c r="ER1" s="136"/>
      <c r="ES1" s="136"/>
      <c r="ET1" s="136"/>
      <c r="EU1" s="136"/>
      <c r="EV1" s="136"/>
      <c r="EW1" s="136"/>
      <c r="EX1" s="136"/>
      <c r="EY1" s="136"/>
      <c r="EZ1" s="136"/>
      <c r="FA1" s="136"/>
      <c r="FB1" s="136"/>
      <c r="FC1" s="136"/>
      <c r="FD1" s="136"/>
      <c r="FE1" s="136"/>
      <c r="FF1" s="136"/>
      <c r="FG1" s="136"/>
      <c r="FH1" s="136"/>
      <c r="FI1" s="136"/>
      <c r="FJ1" s="136"/>
      <c r="FK1" s="136"/>
      <c r="FL1" s="136"/>
      <c r="FM1" s="136"/>
      <c r="FN1" s="136"/>
      <c r="FO1" s="136"/>
      <c r="FP1" s="136"/>
      <c r="FQ1" s="136"/>
      <c r="FR1" s="136"/>
      <c r="FS1" s="136"/>
      <c r="FT1" s="136"/>
      <c r="FU1" s="136"/>
      <c r="FV1" s="136"/>
      <c r="FW1" s="136"/>
      <c r="FX1" s="136"/>
      <c r="FY1" s="136"/>
      <c r="FZ1" s="136"/>
      <c r="GA1" s="136"/>
      <c r="GB1" s="136"/>
      <c r="GC1" s="136"/>
      <c r="GD1" s="136"/>
      <c r="GE1" s="136"/>
      <c r="GF1" s="136"/>
      <c r="GG1" s="136"/>
      <c r="GH1" s="136"/>
      <c r="GI1" s="136"/>
      <c r="GJ1" s="136"/>
      <c r="GK1" s="136"/>
      <c r="GL1" s="136"/>
      <c r="GM1" s="136"/>
      <c r="GN1" s="136"/>
      <c r="GO1" s="136"/>
      <c r="GP1" s="136"/>
      <c r="GQ1" s="136"/>
      <c r="GR1" s="136"/>
      <c r="GS1" s="136"/>
      <c r="GT1" s="136"/>
      <c r="GU1" s="136"/>
      <c r="GV1" s="136"/>
      <c r="GW1" s="136"/>
      <c r="GX1" s="136"/>
      <c r="GY1" s="136"/>
      <c r="GZ1" s="136"/>
      <c r="HA1" s="136"/>
      <c r="HB1" s="136"/>
      <c r="HC1" s="136"/>
      <c r="HD1" s="136"/>
      <c r="HE1" s="136"/>
      <c r="HF1" s="136"/>
      <c r="HG1" s="136"/>
      <c r="HH1" s="136"/>
      <c r="HI1" s="136"/>
      <c r="HJ1" s="136"/>
      <c r="HK1" s="136"/>
      <c r="HL1" s="136"/>
      <c r="HM1" s="136"/>
      <c r="HN1" s="136"/>
      <c r="HO1" s="136"/>
      <c r="HP1" s="136"/>
      <c r="HQ1" s="136"/>
      <c r="HR1" s="136"/>
      <c r="HS1" s="136"/>
      <c r="HT1" s="136"/>
      <c r="HU1" s="136"/>
      <c r="HV1" s="136"/>
      <c r="HW1" s="136"/>
      <c r="HX1" s="136"/>
      <c r="HY1" s="136"/>
      <c r="HZ1" s="136"/>
      <c r="IA1" s="136"/>
      <c r="IB1" s="136"/>
      <c r="IC1" s="136"/>
      <c r="ID1" s="136"/>
      <c r="IE1" s="136"/>
      <c r="IF1" s="136"/>
      <c r="IG1" s="136"/>
      <c r="IH1" s="136"/>
      <c r="II1" s="136"/>
      <c r="IJ1" s="136"/>
      <c r="IK1" s="136"/>
      <c r="IL1" s="136"/>
      <c r="IM1" s="136"/>
      <c r="IN1" s="136"/>
      <c r="IO1" s="136"/>
      <c r="IP1" s="136"/>
      <c r="IQ1" s="136"/>
      <c r="IR1" s="136"/>
      <c r="IS1" s="136"/>
      <c r="IT1" s="136"/>
      <c r="IU1" s="136"/>
      <c r="IV1" s="136"/>
    </row>
    <row r="2" spans="1:256" s="110" customFormat="1" ht="9.75" customHeight="1" thickTop="1">
      <c r="A2" s="65"/>
      <c r="B2" s="64"/>
      <c r="C2" s="64"/>
      <c r="D2" s="137"/>
      <c r="E2" s="138"/>
      <c r="F2" s="138"/>
      <c r="G2" s="139"/>
      <c r="H2" s="139"/>
      <c r="I2" s="139"/>
      <c r="J2" s="139"/>
      <c r="K2" s="138"/>
      <c r="L2" s="138"/>
      <c r="M2" s="138"/>
      <c r="N2" s="138"/>
      <c r="O2" s="138"/>
      <c r="P2" s="138"/>
      <c r="Q2" s="138"/>
      <c r="R2" s="65"/>
      <c r="S2" s="65"/>
      <c r="T2" s="65"/>
      <c r="U2" s="65"/>
      <c r="V2" s="65"/>
      <c r="W2" s="65"/>
      <c r="X2" s="65"/>
      <c r="Y2" s="65"/>
      <c r="Z2" s="65"/>
      <c r="AA2" s="65"/>
      <c r="AB2" s="65"/>
      <c r="AC2" s="65"/>
      <c r="AD2" s="65"/>
      <c r="AE2" s="65"/>
      <c r="AF2" s="65"/>
      <c r="AG2" s="65"/>
      <c r="AH2" s="65"/>
      <c r="AI2" s="65"/>
      <c r="AJ2" s="65"/>
      <c r="AK2" s="65"/>
      <c r="AL2" s="65"/>
      <c r="AM2" s="65"/>
      <c r="AN2" s="65"/>
      <c r="AO2" s="65"/>
      <c r="AP2" s="65"/>
      <c r="AQ2" s="65"/>
      <c r="AR2" s="65"/>
      <c r="AS2" s="65"/>
      <c r="AT2" s="65"/>
      <c r="AU2" s="65"/>
      <c r="AV2" s="65"/>
      <c r="AW2" s="65"/>
      <c r="AX2" s="65"/>
      <c r="AY2" s="65"/>
      <c r="AZ2" s="65"/>
      <c r="BA2" s="65"/>
      <c r="BB2" s="65"/>
      <c r="BC2" s="65"/>
      <c r="BD2" s="65"/>
      <c r="BE2" s="65"/>
      <c r="BF2" s="65"/>
      <c r="BG2" s="65"/>
      <c r="BH2" s="65"/>
      <c r="BI2" s="65"/>
      <c r="BJ2" s="65"/>
      <c r="BK2" s="65"/>
      <c r="BL2" s="65"/>
      <c r="BM2" s="65"/>
      <c r="BN2" s="65"/>
      <c r="BO2" s="65"/>
      <c r="BP2" s="65"/>
      <c r="BQ2" s="65"/>
      <c r="BR2" s="65"/>
      <c r="BS2" s="65"/>
      <c r="BT2" s="65"/>
      <c r="BU2" s="65"/>
      <c r="BV2" s="65"/>
      <c r="BW2" s="65"/>
      <c r="BX2" s="65"/>
      <c r="BY2" s="65"/>
      <c r="BZ2" s="65"/>
      <c r="CA2" s="65"/>
      <c r="CB2" s="65"/>
      <c r="CC2" s="65"/>
      <c r="CD2" s="65"/>
      <c r="CE2" s="65"/>
      <c r="CF2" s="65"/>
      <c r="CG2" s="65"/>
      <c r="CH2" s="65"/>
      <c r="CI2" s="65"/>
      <c r="CJ2" s="65"/>
      <c r="CK2" s="65"/>
      <c r="CL2" s="65"/>
      <c r="CM2" s="65"/>
      <c r="CN2" s="65"/>
      <c r="CO2" s="65"/>
      <c r="CP2" s="65"/>
      <c r="CQ2" s="65"/>
      <c r="CR2" s="65"/>
      <c r="CS2" s="65"/>
      <c r="CT2" s="65"/>
      <c r="CU2" s="65"/>
      <c r="CV2" s="65"/>
      <c r="CW2" s="65"/>
      <c r="CX2" s="65"/>
      <c r="CY2" s="65"/>
      <c r="CZ2" s="65"/>
      <c r="DA2" s="65"/>
      <c r="DB2" s="65"/>
      <c r="DC2" s="65"/>
      <c r="DD2" s="65"/>
      <c r="DE2" s="65"/>
      <c r="DF2" s="65"/>
      <c r="DG2" s="65"/>
      <c r="DH2" s="65"/>
      <c r="DI2" s="65"/>
      <c r="DJ2" s="65"/>
      <c r="DK2" s="65"/>
      <c r="DL2" s="65"/>
      <c r="DM2" s="65"/>
      <c r="DN2" s="65"/>
      <c r="DO2" s="65"/>
      <c r="DP2" s="65"/>
      <c r="DQ2" s="65"/>
      <c r="DR2" s="65"/>
      <c r="DS2" s="65"/>
      <c r="DT2" s="65"/>
      <c r="DU2" s="65"/>
      <c r="DV2" s="65"/>
      <c r="DW2" s="65"/>
      <c r="DX2" s="65"/>
      <c r="DY2" s="65"/>
      <c r="DZ2" s="65"/>
      <c r="EA2" s="65"/>
      <c r="EB2" s="65"/>
      <c r="EC2" s="65"/>
      <c r="ED2" s="65"/>
      <c r="EE2" s="65"/>
      <c r="EF2" s="65"/>
      <c r="EG2" s="65"/>
      <c r="EH2" s="65"/>
      <c r="EI2" s="65"/>
      <c r="EJ2" s="65"/>
      <c r="EK2" s="65"/>
      <c r="EL2" s="65"/>
      <c r="EM2" s="65"/>
      <c r="EN2" s="65"/>
      <c r="EO2" s="65"/>
      <c r="EP2" s="65"/>
      <c r="EQ2" s="65"/>
      <c r="ER2" s="65"/>
      <c r="ES2" s="65"/>
      <c r="ET2" s="65"/>
      <c r="EU2" s="65"/>
      <c r="EV2" s="65"/>
      <c r="EW2" s="65"/>
      <c r="EX2" s="65"/>
      <c r="EY2" s="65"/>
      <c r="EZ2" s="65"/>
      <c r="FA2" s="65"/>
      <c r="FB2" s="65"/>
      <c r="FC2" s="65"/>
      <c r="FD2" s="65"/>
      <c r="FE2" s="65"/>
      <c r="FF2" s="65"/>
      <c r="FG2" s="65"/>
      <c r="FH2" s="65"/>
      <c r="FI2" s="65"/>
      <c r="FJ2" s="65"/>
      <c r="FK2" s="65"/>
      <c r="FL2" s="65"/>
      <c r="FM2" s="65"/>
      <c r="FN2" s="65"/>
      <c r="FO2" s="65"/>
      <c r="FP2" s="65"/>
      <c r="FQ2" s="65"/>
      <c r="FR2" s="65"/>
      <c r="FS2" s="65"/>
      <c r="FT2" s="65"/>
      <c r="FU2" s="65"/>
      <c r="FV2" s="65"/>
      <c r="FW2" s="65"/>
      <c r="FX2" s="65"/>
      <c r="FY2" s="65"/>
      <c r="FZ2" s="65"/>
      <c r="GA2" s="65"/>
      <c r="GB2" s="65"/>
      <c r="GC2" s="65"/>
      <c r="GD2" s="65"/>
      <c r="GE2" s="65"/>
      <c r="GF2" s="65"/>
      <c r="GG2" s="65"/>
      <c r="GH2" s="65"/>
      <c r="GI2" s="65"/>
      <c r="GJ2" s="65"/>
      <c r="GK2" s="65"/>
      <c r="GL2" s="65"/>
      <c r="GM2" s="65"/>
      <c r="GN2" s="65"/>
      <c r="GO2" s="65"/>
      <c r="GP2" s="65"/>
      <c r="GQ2" s="65"/>
      <c r="GR2" s="65"/>
      <c r="GS2" s="65"/>
      <c r="GT2" s="65"/>
      <c r="GU2" s="65"/>
      <c r="GV2" s="65"/>
      <c r="GW2" s="65"/>
      <c r="GX2" s="65"/>
      <c r="GY2" s="65"/>
      <c r="GZ2" s="65"/>
      <c r="HA2" s="65"/>
      <c r="HB2" s="65"/>
      <c r="HC2" s="65"/>
      <c r="HD2" s="65"/>
      <c r="HE2" s="65"/>
      <c r="HF2" s="65"/>
      <c r="HG2" s="65"/>
      <c r="HH2" s="65"/>
      <c r="HI2" s="65"/>
      <c r="HJ2" s="65"/>
      <c r="HK2" s="65"/>
      <c r="HL2" s="65"/>
      <c r="HM2" s="65"/>
      <c r="HN2" s="65"/>
      <c r="HO2" s="65"/>
      <c r="HP2" s="65"/>
      <c r="HQ2" s="65"/>
      <c r="HR2" s="65"/>
      <c r="HS2" s="65"/>
      <c r="HT2" s="65"/>
      <c r="HU2" s="65"/>
      <c r="HV2" s="65"/>
      <c r="HW2" s="65"/>
      <c r="HX2" s="65"/>
      <c r="HY2" s="65"/>
      <c r="HZ2" s="65"/>
      <c r="IA2" s="65"/>
      <c r="IB2" s="65"/>
      <c r="IC2" s="65"/>
      <c r="ID2" s="65"/>
      <c r="IE2" s="65"/>
      <c r="IF2" s="65"/>
      <c r="IG2" s="65"/>
      <c r="IH2" s="65"/>
      <c r="II2" s="65"/>
      <c r="IJ2" s="65"/>
      <c r="IK2" s="65"/>
      <c r="IL2" s="65"/>
      <c r="IM2" s="65"/>
      <c r="IN2" s="65"/>
      <c r="IO2" s="65"/>
      <c r="IP2" s="65"/>
      <c r="IQ2" s="65"/>
      <c r="IR2" s="65"/>
      <c r="IS2" s="65"/>
      <c r="IT2" s="65"/>
      <c r="IU2" s="65"/>
      <c r="IV2" s="65"/>
    </row>
    <row r="3" spans="1:256" s="111" customFormat="1" ht="18" customHeight="1" thickBot="1">
      <c r="A3" s="66"/>
      <c r="B3" s="67" t="s">
        <v>118</v>
      </c>
      <c r="C3" s="67"/>
      <c r="D3" s="138"/>
      <c r="E3" s="139"/>
      <c r="F3" s="138"/>
      <c r="G3" s="139"/>
      <c r="H3" s="139"/>
      <c r="I3" s="139"/>
      <c r="J3" s="139"/>
      <c r="K3" s="138"/>
      <c r="L3" s="139"/>
      <c r="M3" s="139"/>
      <c r="N3" s="139"/>
      <c r="O3" s="139"/>
      <c r="P3" s="139"/>
      <c r="Q3" s="139"/>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c r="CA3" s="66"/>
      <c r="CB3" s="66"/>
      <c r="CC3" s="66"/>
      <c r="CD3" s="66"/>
      <c r="CE3" s="66"/>
      <c r="CF3" s="66"/>
      <c r="CG3" s="66"/>
      <c r="CH3" s="66"/>
      <c r="CI3" s="66"/>
      <c r="CJ3" s="66"/>
      <c r="CK3" s="66"/>
      <c r="CL3" s="66"/>
      <c r="CM3" s="66"/>
      <c r="CN3" s="66"/>
      <c r="CO3" s="66"/>
      <c r="CP3" s="66"/>
      <c r="CQ3" s="66"/>
      <c r="CR3" s="66"/>
      <c r="CS3" s="66"/>
      <c r="CT3" s="66"/>
      <c r="CU3" s="66"/>
      <c r="CV3" s="66"/>
      <c r="CW3" s="66"/>
      <c r="CX3" s="66"/>
      <c r="CY3" s="66"/>
      <c r="CZ3" s="66"/>
      <c r="DA3" s="66"/>
      <c r="DB3" s="66"/>
      <c r="DC3" s="66"/>
      <c r="DD3" s="66"/>
      <c r="DE3" s="66"/>
      <c r="DF3" s="66"/>
      <c r="DG3" s="66"/>
      <c r="DH3" s="66"/>
      <c r="DI3" s="66"/>
      <c r="DJ3" s="66"/>
      <c r="DK3" s="66"/>
      <c r="DL3" s="66"/>
      <c r="DM3" s="66"/>
      <c r="DN3" s="66"/>
      <c r="DO3" s="66"/>
      <c r="DP3" s="66"/>
      <c r="DQ3" s="66"/>
      <c r="DR3" s="66"/>
      <c r="DS3" s="66"/>
      <c r="DT3" s="66"/>
      <c r="DU3" s="66"/>
      <c r="DV3" s="66"/>
      <c r="DW3" s="66"/>
      <c r="DX3" s="66"/>
      <c r="DY3" s="66"/>
      <c r="DZ3" s="66"/>
      <c r="EA3" s="66"/>
      <c r="EB3" s="66"/>
      <c r="EC3" s="66"/>
      <c r="ED3" s="66"/>
      <c r="EE3" s="66"/>
      <c r="EF3" s="66"/>
      <c r="EG3" s="66"/>
      <c r="EH3" s="66"/>
      <c r="EI3" s="66"/>
      <c r="EJ3" s="66"/>
      <c r="EK3" s="66"/>
      <c r="EL3" s="66"/>
      <c r="EM3" s="66"/>
      <c r="EN3" s="66"/>
      <c r="EO3" s="66"/>
      <c r="EP3" s="66"/>
      <c r="EQ3" s="66"/>
      <c r="ER3" s="66"/>
      <c r="ES3" s="66"/>
      <c r="ET3" s="66"/>
      <c r="EU3" s="66"/>
      <c r="EV3" s="66"/>
      <c r="EW3" s="66"/>
      <c r="EX3" s="66"/>
      <c r="EY3" s="66"/>
      <c r="EZ3" s="66"/>
      <c r="FA3" s="66"/>
      <c r="FB3" s="66"/>
      <c r="FC3" s="66"/>
      <c r="FD3" s="66"/>
      <c r="FE3" s="66"/>
      <c r="FF3" s="66"/>
      <c r="FG3" s="66"/>
      <c r="FH3" s="66"/>
      <c r="FI3" s="66"/>
      <c r="FJ3" s="66"/>
      <c r="FK3" s="66"/>
      <c r="FL3" s="66"/>
      <c r="FM3" s="66"/>
      <c r="FN3" s="66"/>
      <c r="FO3" s="66"/>
      <c r="FP3" s="66"/>
      <c r="FQ3" s="66"/>
      <c r="FR3" s="66"/>
      <c r="FS3" s="66"/>
      <c r="FT3" s="66"/>
      <c r="FU3" s="66"/>
      <c r="FV3" s="66"/>
      <c r="FW3" s="66"/>
      <c r="FX3" s="66"/>
      <c r="FY3" s="66"/>
      <c r="FZ3" s="66"/>
      <c r="GA3" s="66"/>
      <c r="GB3" s="66"/>
      <c r="GC3" s="66"/>
      <c r="GD3" s="66"/>
      <c r="GE3" s="66"/>
      <c r="GF3" s="66"/>
      <c r="GG3" s="66"/>
      <c r="GH3" s="66"/>
      <c r="GI3" s="66"/>
      <c r="GJ3" s="66"/>
      <c r="GK3" s="66"/>
      <c r="GL3" s="66"/>
      <c r="GM3" s="66"/>
      <c r="GN3" s="66"/>
      <c r="GO3" s="66"/>
      <c r="GP3" s="66"/>
      <c r="GQ3" s="66"/>
      <c r="GR3" s="66"/>
      <c r="GS3" s="66"/>
      <c r="GT3" s="66"/>
      <c r="GU3" s="66"/>
      <c r="GV3" s="66"/>
      <c r="GW3" s="66"/>
      <c r="GX3" s="66"/>
      <c r="GY3" s="66"/>
      <c r="GZ3" s="66"/>
      <c r="HA3" s="66"/>
      <c r="HB3" s="66"/>
      <c r="HC3" s="66"/>
      <c r="HD3" s="66"/>
      <c r="HE3" s="66"/>
      <c r="HF3" s="66"/>
      <c r="HG3" s="66"/>
      <c r="HH3" s="66"/>
      <c r="HI3" s="66"/>
      <c r="HJ3" s="66"/>
      <c r="HK3" s="66"/>
      <c r="HL3" s="66"/>
      <c r="HM3" s="66"/>
      <c r="HN3" s="66"/>
      <c r="HO3" s="66"/>
      <c r="HP3" s="66"/>
      <c r="HQ3" s="66"/>
      <c r="HR3" s="66"/>
      <c r="HS3" s="66"/>
      <c r="HT3" s="66"/>
      <c r="HU3" s="66"/>
      <c r="HV3" s="66"/>
      <c r="HW3" s="66"/>
      <c r="HX3" s="66"/>
      <c r="HY3" s="66"/>
      <c r="HZ3" s="66"/>
      <c r="IA3" s="66"/>
      <c r="IB3" s="66"/>
      <c r="IC3" s="66"/>
      <c r="ID3" s="66"/>
      <c r="IE3" s="66"/>
      <c r="IF3" s="66"/>
      <c r="IG3" s="66"/>
      <c r="IH3" s="66"/>
      <c r="II3" s="66"/>
      <c r="IJ3" s="66"/>
      <c r="IK3" s="66"/>
      <c r="IL3" s="66"/>
      <c r="IM3" s="66"/>
      <c r="IN3" s="66"/>
      <c r="IO3" s="66"/>
      <c r="IP3" s="66"/>
      <c r="IQ3" s="66"/>
      <c r="IR3" s="66"/>
      <c r="IS3" s="66"/>
      <c r="IT3" s="66"/>
      <c r="IU3" s="66"/>
      <c r="IV3" s="66"/>
    </row>
    <row r="4" spans="1:256" s="111" customFormat="1" ht="18" customHeight="1">
      <c r="A4" s="66"/>
      <c r="B4" s="1288" t="s">
        <v>119</v>
      </c>
      <c r="C4" s="1289"/>
      <c r="D4" s="1190" t="s">
        <v>120</v>
      </c>
      <c r="E4" s="1190"/>
      <c r="F4" s="1190"/>
      <c r="G4" s="1190"/>
      <c r="H4" s="1190"/>
      <c r="I4" s="1190"/>
      <c r="J4" s="1190"/>
      <c r="K4" s="1190" t="s">
        <v>121</v>
      </c>
      <c r="L4" s="1190"/>
      <c r="M4" s="1190"/>
      <c r="N4" s="1190"/>
      <c r="O4" s="1190"/>
      <c r="P4" s="1191"/>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c r="CA4" s="66"/>
      <c r="CB4" s="66"/>
      <c r="CC4" s="66"/>
      <c r="CD4" s="66"/>
      <c r="CE4" s="66"/>
      <c r="CF4" s="66"/>
      <c r="CG4" s="66"/>
      <c r="CH4" s="66"/>
      <c r="CI4" s="66"/>
      <c r="CJ4" s="66"/>
      <c r="CK4" s="66"/>
      <c r="CL4" s="66"/>
      <c r="CM4" s="66"/>
      <c r="CN4" s="66"/>
      <c r="CO4" s="66"/>
      <c r="CP4" s="66"/>
      <c r="CQ4" s="66"/>
      <c r="CR4" s="66"/>
      <c r="CS4" s="66"/>
      <c r="CT4" s="66"/>
      <c r="CU4" s="66"/>
      <c r="CV4" s="66"/>
      <c r="CW4" s="66"/>
      <c r="CX4" s="66"/>
      <c r="CY4" s="66"/>
      <c r="CZ4" s="66"/>
      <c r="DA4" s="66"/>
      <c r="DB4" s="66"/>
      <c r="DC4" s="66"/>
      <c r="DD4" s="66"/>
      <c r="DE4" s="66"/>
      <c r="DF4" s="66"/>
      <c r="DG4" s="66"/>
      <c r="DH4" s="66"/>
      <c r="DI4" s="66"/>
      <c r="DJ4" s="66"/>
      <c r="DK4" s="66"/>
      <c r="DL4" s="66"/>
      <c r="DM4" s="66"/>
      <c r="DN4" s="66"/>
      <c r="DO4" s="66"/>
      <c r="DP4" s="66"/>
      <c r="DQ4" s="66"/>
      <c r="DR4" s="66"/>
      <c r="DS4" s="66"/>
      <c r="DT4" s="66"/>
      <c r="DU4" s="66"/>
      <c r="DV4" s="66"/>
      <c r="DW4" s="66"/>
      <c r="DX4" s="66"/>
      <c r="DY4" s="66"/>
      <c r="DZ4" s="66"/>
      <c r="EA4" s="66"/>
      <c r="EB4" s="66"/>
      <c r="EC4" s="66"/>
      <c r="ED4" s="66"/>
      <c r="EE4" s="66"/>
      <c r="EF4" s="66"/>
      <c r="EG4" s="66"/>
      <c r="EH4" s="66"/>
      <c r="EI4" s="66"/>
      <c r="EJ4" s="66"/>
      <c r="EK4" s="66"/>
      <c r="EL4" s="66"/>
      <c r="EM4" s="66"/>
      <c r="EN4" s="66"/>
      <c r="EO4" s="66"/>
      <c r="EP4" s="66"/>
      <c r="EQ4" s="66"/>
      <c r="ER4" s="66"/>
      <c r="ES4" s="66"/>
      <c r="ET4" s="66"/>
      <c r="EU4" s="66"/>
      <c r="EV4" s="66"/>
      <c r="EW4" s="66"/>
      <c r="EX4" s="66"/>
      <c r="EY4" s="66"/>
      <c r="EZ4" s="66"/>
      <c r="FA4" s="66"/>
      <c r="FB4" s="66"/>
      <c r="FC4" s="66"/>
      <c r="FD4" s="66"/>
      <c r="FE4" s="66"/>
      <c r="FF4" s="66"/>
      <c r="FG4" s="66"/>
      <c r="FH4" s="66"/>
      <c r="FI4" s="66"/>
      <c r="FJ4" s="66"/>
      <c r="FK4" s="66"/>
      <c r="FL4" s="66"/>
      <c r="FM4" s="66"/>
      <c r="FN4" s="66"/>
      <c r="FO4" s="66"/>
      <c r="FP4" s="66"/>
      <c r="FQ4" s="66"/>
      <c r="FR4" s="66"/>
      <c r="FS4" s="66"/>
      <c r="FT4" s="66"/>
      <c r="FU4" s="66"/>
      <c r="FV4" s="66"/>
      <c r="FW4" s="66"/>
      <c r="FX4" s="66"/>
      <c r="FY4" s="66"/>
      <c r="FZ4" s="66"/>
      <c r="GA4" s="66"/>
      <c r="GB4" s="66"/>
      <c r="GC4" s="66"/>
      <c r="GD4" s="66"/>
      <c r="GE4" s="66"/>
      <c r="GF4" s="66"/>
      <c r="GG4" s="66"/>
      <c r="GH4" s="66"/>
      <c r="GI4" s="66"/>
      <c r="GJ4" s="66"/>
      <c r="GK4" s="66"/>
      <c r="GL4" s="66"/>
      <c r="GM4" s="66"/>
      <c r="GN4" s="66"/>
      <c r="GO4" s="66"/>
      <c r="GP4" s="66"/>
      <c r="GQ4" s="66"/>
      <c r="GR4" s="66"/>
      <c r="GS4" s="66"/>
      <c r="GT4" s="66"/>
      <c r="GU4" s="66"/>
      <c r="GV4" s="66"/>
      <c r="GW4" s="66"/>
      <c r="GX4" s="66"/>
      <c r="GY4" s="66"/>
      <c r="GZ4" s="66"/>
      <c r="HA4" s="66"/>
      <c r="HB4" s="66"/>
      <c r="HC4" s="66"/>
      <c r="HD4" s="66"/>
      <c r="HE4" s="66"/>
      <c r="HF4" s="66"/>
      <c r="HG4" s="66"/>
      <c r="HH4" s="66"/>
      <c r="HI4" s="66"/>
      <c r="HJ4" s="66"/>
      <c r="HK4" s="66"/>
      <c r="HL4" s="66"/>
      <c r="HM4" s="66"/>
      <c r="HN4" s="66"/>
      <c r="HO4" s="66"/>
      <c r="HP4" s="66"/>
      <c r="HQ4" s="66"/>
      <c r="HR4" s="66"/>
      <c r="HS4" s="66"/>
      <c r="HT4" s="66"/>
      <c r="HU4" s="66"/>
      <c r="HV4" s="66"/>
      <c r="HW4" s="66"/>
      <c r="HX4" s="66"/>
      <c r="HY4" s="66"/>
      <c r="HZ4" s="66"/>
      <c r="IA4" s="66"/>
      <c r="IB4" s="66"/>
      <c r="IC4" s="66"/>
      <c r="ID4" s="66"/>
      <c r="IE4" s="66"/>
      <c r="IF4" s="66"/>
      <c r="IG4" s="66"/>
      <c r="IH4" s="66"/>
      <c r="II4" s="66"/>
      <c r="IJ4" s="66"/>
      <c r="IK4" s="66"/>
      <c r="IL4" s="66"/>
      <c r="IM4" s="66"/>
      <c r="IN4" s="66"/>
      <c r="IO4" s="66"/>
      <c r="IP4" s="66"/>
      <c r="IQ4" s="66"/>
      <c r="IR4" s="66"/>
      <c r="IS4" s="66"/>
      <c r="IT4" s="66"/>
      <c r="IU4" s="66"/>
      <c r="IV4" s="66"/>
    </row>
    <row r="5" spans="1:256" s="111" customFormat="1" ht="18" customHeight="1">
      <c r="A5" s="66"/>
      <c r="B5" s="1512" t="s">
        <v>122</v>
      </c>
      <c r="C5" s="1734"/>
      <c r="D5" s="2136" t="s">
        <v>123</v>
      </c>
      <c r="E5" s="2136"/>
      <c r="F5" s="2136"/>
      <c r="G5" s="2136"/>
      <c r="H5" s="2136"/>
      <c r="I5" s="2136"/>
      <c r="J5" s="2136"/>
      <c r="K5" s="1194" t="s">
        <v>124</v>
      </c>
      <c r="L5" s="1194"/>
      <c r="M5" s="1194"/>
      <c r="N5" s="1194"/>
      <c r="O5" s="1194"/>
      <c r="P5" s="1195"/>
      <c r="Q5" s="66"/>
      <c r="R5" s="66"/>
      <c r="S5" s="66"/>
      <c r="T5" s="66"/>
      <c r="U5" s="66"/>
      <c r="V5" s="66"/>
      <c r="W5" s="66"/>
      <c r="X5" s="66"/>
      <c r="Y5" s="66"/>
      <c r="Z5" s="66"/>
      <c r="AA5" s="66"/>
      <c r="AB5" s="66"/>
      <c r="AC5" s="66"/>
      <c r="AD5" s="66"/>
      <c r="AE5" s="66"/>
      <c r="AF5" s="66"/>
      <c r="AG5" s="66"/>
      <c r="AH5" s="66"/>
      <c r="AI5" s="66"/>
      <c r="AJ5" s="66"/>
      <c r="AK5" s="66"/>
      <c r="AL5" s="66"/>
      <c r="AM5" s="66"/>
      <c r="AN5" s="66"/>
      <c r="AO5" s="66"/>
      <c r="AP5" s="66"/>
      <c r="AQ5" s="66"/>
      <c r="AR5" s="66"/>
      <c r="AS5" s="66"/>
      <c r="AT5" s="66"/>
      <c r="AU5" s="66"/>
      <c r="AV5" s="66"/>
      <c r="AW5" s="66"/>
      <c r="AX5" s="66"/>
      <c r="AY5" s="66"/>
      <c r="AZ5" s="66"/>
      <c r="BA5" s="66"/>
      <c r="BB5" s="66"/>
      <c r="BC5" s="66"/>
      <c r="BD5" s="66"/>
      <c r="BE5" s="66"/>
      <c r="BF5" s="66"/>
      <c r="BG5" s="66"/>
      <c r="BH5" s="66"/>
      <c r="BI5" s="66"/>
      <c r="BJ5" s="66"/>
      <c r="BK5" s="66"/>
      <c r="BL5" s="66"/>
      <c r="BM5" s="66"/>
      <c r="BN5" s="66"/>
      <c r="BO5" s="66"/>
      <c r="BP5" s="66"/>
      <c r="BQ5" s="66"/>
      <c r="BR5" s="66"/>
      <c r="BS5" s="66"/>
      <c r="BT5" s="66"/>
      <c r="BU5" s="66"/>
      <c r="BV5" s="66"/>
      <c r="BW5" s="66"/>
      <c r="BX5" s="66"/>
      <c r="BY5" s="66"/>
      <c r="BZ5" s="66"/>
      <c r="CA5" s="66"/>
      <c r="CB5" s="66"/>
      <c r="CC5" s="66"/>
      <c r="CD5" s="66"/>
      <c r="CE5" s="66"/>
      <c r="CF5" s="66"/>
      <c r="CG5" s="66"/>
      <c r="CH5" s="66"/>
      <c r="CI5" s="66"/>
      <c r="CJ5" s="66"/>
      <c r="CK5" s="66"/>
      <c r="CL5" s="66"/>
      <c r="CM5" s="66"/>
      <c r="CN5" s="66"/>
      <c r="CO5" s="66"/>
      <c r="CP5" s="66"/>
      <c r="CQ5" s="66"/>
      <c r="CR5" s="66"/>
      <c r="CS5" s="66"/>
      <c r="CT5" s="66"/>
      <c r="CU5" s="66"/>
      <c r="CV5" s="66"/>
      <c r="CW5" s="66"/>
      <c r="CX5" s="66"/>
      <c r="CY5" s="66"/>
      <c r="CZ5" s="66"/>
      <c r="DA5" s="66"/>
      <c r="DB5" s="66"/>
      <c r="DC5" s="66"/>
      <c r="DD5" s="66"/>
      <c r="DE5" s="66"/>
      <c r="DF5" s="66"/>
      <c r="DG5" s="66"/>
      <c r="DH5" s="66"/>
      <c r="DI5" s="66"/>
      <c r="DJ5" s="66"/>
      <c r="DK5" s="66"/>
      <c r="DL5" s="66"/>
      <c r="DM5" s="66"/>
      <c r="DN5" s="66"/>
      <c r="DO5" s="66"/>
      <c r="DP5" s="66"/>
      <c r="DQ5" s="66"/>
      <c r="DR5" s="66"/>
      <c r="DS5" s="66"/>
      <c r="DT5" s="66"/>
      <c r="DU5" s="66"/>
      <c r="DV5" s="66"/>
      <c r="DW5" s="66"/>
      <c r="DX5" s="66"/>
      <c r="DY5" s="66"/>
      <c r="DZ5" s="66"/>
      <c r="EA5" s="66"/>
      <c r="EB5" s="66"/>
      <c r="EC5" s="66"/>
      <c r="ED5" s="66"/>
      <c r="EE5" s="66"/>
      <c r="EF5" s="66"/>
      <c r="EG5" s="66"/>
      <c r="EH5" s="66"/>
      <c r="EI5" s="66"/>
      <c r="EJ5" s="66"/>
      <c r="EK5" s="66"/>
      <c r="EL5" s="66"/>
      <c r="EM5" s="66"/>
      <c r="EN5" s="66"/>
      <c r="EO5" s="66"/>
      <c r="EP5" s="66"/>
      <c r="EQ5" s="66"/>
      <c r="ER5" s="66"/>
      <c r="ES5" s="66"/>
      <c r="ET5" s="66"/>
      <c r="EU5" s="66"/>
      <c r="EV5" s="66"/>
      <c r="EW5" s="66"/>
      <c r="EX5" s="66"/>
      <c r="EY5" s="66"/>
      <c r="EZ5" s="66"/>
      <c r="FA5" s="66"/>
      <c r="FB5" s="66"/>
      <c r="FC5" s="66"/>
      <c r="FD5" s="66"/>
      <c r="FE5" s="66"/>
      <c r="FF5" s="66"/>
      <c r="FG5" s="66"/>
      <c r="FH5" s="66"/>
      <c r="FI5" s="66"/>
      <c r="FJ5" s="66"/>
      <c r="FK5" s="66"/>
      <c r="FL5" s="66"/>
      <c r="FM5" s="66"/>
      <c r="FN5" s="66"/>
      <c r="FO5" s="66"/>
      <c r="FP5" s="66"/>
      <c r="FQ5" s="66"/>
      <c r="FR5" s="66"/>
      <c r="FS5" s="66"/>
      <c r="FT5" s="66"/>
      <c r="FU5" s="66"/>
      <c r="FV5" s="66"/>
      <c r="FW5" s="66"/>
      <c r="FX5" s="66"/>
      <c r="FY5" s="66"/>
      <c r="FZ5" s="66"/>
      <c r="GA5" s="66"/>
      <c r="GB5" s="66"/>
      <c r="GC5" s="66"/>
      <c r="GD5" s="66"/>
      <c r="GE5" s="66"/>
      <c r="GF5" s="66"/>
      <c r="GG5" s="66"/>
      <c r="GH5" s="66"/>
      <c r="GI5" s="66"/>
      <c r="GJ5" s="66"/>
      <c r="GK5" s="66"/>
      <c r="GL5" s="66"/>
      <c r="GM5" s="66"/>
      <c r="GN5" s="66"/>
      <c r="GO5" s="66"/>
      <c r="GP5" s="66"/>
      <c r="GQ5" s="66"/>
      <c r="GR5" s="66"/>
      <c r="GS5" s="66"/>
      <c r="GT5" s="66"/>
      <c r="GU5" s="66"/>
      <c r="GV5" s="66"/>
      <c r="GW5" s="66"/>
      <c r="GX5" s="66"/>
      <c r="GY5" s="66"/>
      <c r="GZ5" s="66"/>
      <c r="HA5" s="66"/>
      <c r="HB5" s="66"/>
      <c r="HC5" s="66"/>
      <c r="HD5" s="66"/>
      <c r="HE5" s="66"/>
      <c r="HF5" s="66"/>
      <c r="HG5" s="66"/>
      <c r="HH5" s="66"/>
      <c r="HI5" s="66"/>
      <c r="HJ5" s="66"/>
      <c r="HK5" s="66"/>
      <c r="HL5" s="66"/>
      <c r="HM5" s="66"/>
      <c r="HN5" s="66"/>
      <c r="HO5" s="66"/>
      <c r="HP5" s="66"/>
      <c r="HQ5" s="66"/>
      <c r="HR5" s="66"/>
      <c r="HS5" s="66"/>
      <c r="HT5" s="66"/>
      <c r="HU5" s="66"/>
      <c r="HV5" s="66"/>
      <c r="HW5" s="66"/>
      <c r="HX5" s="66"/>
      <c r="HY5" s="66"/>
      <c r="HZ5" s="66"/>
      <c r="IA5" s="66"/>
      <c r="IB5" s="66"/>
      <c r="IC5" s="66"/>
      <c r="ID5" s="66"/>
      <c r="IE5" s="66"/>
      <c r="IF5" s="66"/>
      <c r="IG5" s="66"/>
      <c r="IH5" s="66"/>
      <c r="II5" s="66"/>
      <c r="IJ5" s="66"/>
      <c r="IK5" s="66"/>
      <c r="IL5" s="66"/>
      <c r="IM5" s="66"/>
      <c r="IN5" s="66"/>
      <c r="IO5" s="66"/>
      <c r="IP5" s="66"/>
      <c r="IQ5" s="66"/>
      <c r="IR5" s="66"/>
      <c r="IS5" s="66"/>
      <c r="IT5" s="66"/>
      <c r="IU5" s="66"/>
      <c r="IV5" s="66"/>
    </row>
    <row r="6" spans="1:256" s="111" customFormat="1" ht="18" customHeight="1">
      <c r="A6" s="66"/>
      <c r="B6" s="1265" t="s">
        <v>125</v>
      </c>
      <c r="C6" s="1266"/>
      <c r="D6" s="2150" t="s">
        <v>126</v>
      </c>
      <c r="E6" s="2150"/>
      <c r="F6" s="2150"/>
      <c r="G6" s="2150"/>
      <c r="H6" s="2150"/>
      <c r="I6" s="2150"/>
      <c r="J6" s="2150"/>
      <c r="K6" s="2150" t="s">
        <v>127</v>
      </c>
      <c r="L6" s="2150"/>
      <c r="M6" s="2150"/>
      <c r="N6" s="2150"/>
      <c r="O6" s="2150"/>
      <c r="P6" s="2301"/>
      <c r="Q6" s="66"/>
      <c r="R6" s="66"/>
      <c r="S6" s="66"/>
      <c r="T6" s="66"/>
      <c r="U6" s="66"/>
      <c r="V6" s="66"/>
      <c r="W6" s="66"/>
      <c r="X6" s="66"/>
      <c r="Y6" s="66"/>
      <c r="Z6" s="66"/>
      <c r="AA6" s="66"/>
      <c r="AB6" s="66"/>
      <c r="AC6" s="66"/>
      <c r="AD6" s="66"/>
      <c r="AE6" s="66"/>
      <c r="AF6" s="66"/>
      <c r="AG6" s="66"/>
      <c r="AH6" s="66"/>
      <c r="AI6" s="66"/>
      <c r="AJ6" s="66"/>
      <c r="AK6" s="66"/>
      <c r="AL6" s="66"/>
      <c r="AM6" s="66"/>
      <c r="AN6" s="66"/>
      <c r="AO6" s="66"/>
      <c r="AP6" s="66"/>
      <c r="AQ6" s="66"/>
      <c r="AR6" s="66"/>
      <c r="AS6" s="66"/>
      <c r="AT6" s="66"/>
      <c r="AU6" s="66"/>
      <c r="AV6" s="66"/>
      <c r="AW6" s="66"/>
      <c r="AX6" s="66"/>
      <c r="AY6" s="66"/>
      <c r="AZ6" s="66"/>
      <c r="BA6" s="66"/>
      <c r="BB6" s="66"/>
      <c r="BC6" s="66"/>
      <c r="BD6" s="66"/>
      <c r="BE6" s="66"/>
      <c r="BF6" s="66"/>
      <c r="BG6" s="66"/>
      <c r="BH6" s="66"/>
      <c r="BI6" s="66"/>
      <c r="BJ6" s="66"/>
      <c r="BK6" s="66"/>
      <c r="BL6" s="66"/>
      <c r="BM6" s="66"/>
      <c r="BN6" s="66"/>
      <c r="BO6" s="66"/>
      <c r="BP6" s="66"/>
      <c r="BQ6" s="66"/>
      <c r="BR6" s="66"/>
      <c r="BS6" s="66"/>
      <c r="BT6" s="66"/>
      <c r="BU6" s="66"/>
      <c r="BV6" s="66"/>
      <c r="BW6" s="66"/>
      <c r="BX6" s="66"/>
      <c r="BY6" s="66"/>
      <c r="BZ6" s="66"/>
      <c r="CA6" s="66"/>
      <c r="CB6" s="66"/>
      <c r="CC6" s="66"/>
      <c r="CD6" s="66"/>
      <c r="CE6" s="66"/>
      <c r="CF6" s="66"/>
      <c r="CG6" s="66"/>
      <c r="CH6" s="66"/>
      <c r="CI6" s="66"/>
      <c r="CJ6" s="66"/>
      <c r="CK6" s="66"/>
      <c r="CL6" s="66"/>
      <c r="CM6" s="66"/>
      <c r="CN6" s="66"/>
      <c r="CO6" s="66"/>
      <c r="CP6" s="66"/>
      <c r="CQ6" s="66"/>
      <c r="CR6" s="66"/>
      <c r="CS6" s="66"/>
      <c r="CT6" s="66"/>
      <c r="CU6" s="66"/>
      <c r="CV6" s="66"/>
      <c r="CW6" s="66"/>
      <c r="CX6" s="66"/>
      <c r="CY6" s="66"/>
      <c r="CZ6" s="66"/>
      <c r="DA6" s="66"/>
      <c r="DB6" s="66"/>
      <c r="DC6" s="66"/>
      <c r="DD6" s="66"/>
      <c r="DE6" s="66"/>
      <c r="DF6" s="66"/>
      <c r="DG6" s="66"/>
      <c r="DH6" s="66"/>
      <c r="DI6" s="66"/>
      <c r="DJ6" s="66"/>
      <c r="DK6" s="66"/>
      <c r="DL6" s="66"/>
      <c r="DM6" s="66"/>
      <c r="DN6" s="66"/>
      <c r="DO6" s="66"/>
      <c r="DP6" s="66"/>
      <c r="DQ6" s="66"/>
      <c r="DR6" s="66"/>
      <c r="DS6" s="66"/>
      <c r="DT6" s="66"/>
      <c r="DU6" s="66"/>
      <c r="DV6" s="66"/>
      <c r="DW6" s="66"/>
      <c r="DX6" s="66"/>
      <c r="DY6" s="66"/>
      <c r="DZ6" s="66"/>
      <c r="EA6" s="66"/>
      <c r="EB6" s="66"/>
      <c r="EC6" s="66"/>
      <c r="ED6" s="66"/>
      <c r="EE6" s="66"/>
      <c r="EF6" s="66"/>
      <c r="EG6" s="66"/>
      <c r="EH6" s="66"/>
      <c r="EI6" s="66"/>
      <c r="EJ6" s="66"/>
      <c r="EK6" s="66"/>
      <c r="EL6" s="66"/>
      <c r="EM6" s="66"/>
      <c r="EN6" s="66"/>
      <c r="EO6" s="66"/>
      <c r="EP6" s="66"/>
      <c r="EQ6" s="66"/>
      <c r="ER6" s="66"/>
      <c r="ES6" s="66"/>
      <c r="ET6" s="66"/>
      <c r="EU6" s="66"/>
      <c r="EV6" s="66"/>
      <c r="EW6" s="66"/>
      <c r="EX6" s="66"/>
      <c r="EY6" s="66"/>
      <c r="EZ6" s="66"/>
      <c r="FA6" s="66"/>
      <c r="FB6" s="66"/>
      <c r="FC6" s="66"/>
      <c r="FD6" s="66"/>
      <c r="FE6" s="66"/>
      <c r="FF6" s="66"/>
      <c r="FG6" s="66"/>
      <c r="FH6" s="66"/>
      <c r="FI6" s="66"/>
      <c r="FJ6" s="66"/>
      <c r="FK6" s="66"/>
      <c r="FL6" s="66"/>
      <c r="FM6" s="66"/>
      <c r="FN6" s="66"/>
      <c r="FO6" s="66"/>
      <c r="FP6" s="66"/>
      <c r="FQ6" s="66"/>
      <c r="FR6" s="66"/>
      <c r="FS6" s="66"/>
      <c r="FT6" s="66"/>
      <c r="FU6" s="66"/>
      <c r="FV6" s="66"/>
      <c r="FW6" s="66"/>
      <c r="FX6" s="66"/>
      <c r="FY6" s="66"/>
      <c r="FZ6" s="66"/>
      <c r="GA6" s="66"/>
      <c r="GB6" s="66"/>
      <c r="GC6" s="66"/>
      <c r="GD6" s="66"/>
      <c r="GE6" s="66"/>
      <c r="GF6" s="66"/>
      <c r="GG6" s="66"/>
      <c r="GH6" s="66"/>
      <c r="GI6" s="66"/>
      <c r="GJ6" s="66"/>
      <c r="GK6" s="66"/>
      <c r="GL6" s="66"/>
      <c r="GM6" s="66"/>
      <c r="GN6" s="66"/>
      <c r="GO6" s="66"/>
      <c r="GP6" s="66"/>
      <c r="GQ6" s="66"/>
      <c r="GR6" s="66"/>
      <c r="GS6" s="66"/>
      <c r="GT6" s="66"/>
      <c r="GU6" s="66"/>
      <c r="GV6" s="66"/>
      <c r="GW6" s="66"/>
      <c r="GX6" s="66"/>
      <c r="GY6" s="66"/>
      <c r="GZ6" s="66"/>
      <c r="HA6" s="66"/>
      <c r="HB6" s="66"/>
      <c r="HC6" s="66"/>
      <c r="HD6" s="66"/>
      <c r="HE6" s="66"/>
      <c r="HF6" s="66"/>
      <c r="HG6" s="66"/>
      <c r="HH6" s="66"/>
      <c r="HI6" s="66"/>
      <c r="HJ6" s="66"/>
      <c r="HK6" s="66"/>
      <c r="HL6" s="66"/>
      <c r="HM6" s="66"/>
      <c r="HN6" s="66"/>
      <c r="HO6" s="66"/>
      <c r="HP6" s="66"/>
      <c r="HQ6" s="66"/>
      <c r="HR6" s="66"/>
      <c r="HS6" s="66"/>
      <c r="HT6" s="66"/>
      <c r="HU6" s="66"/>
      <c r="HV6" s="66"/>
      <c r="HW6" s="66"/>
      <c r="HX6" s="66"/>
      <c r="HY6" s="66"/>
      <c r="HZ6" s="66"/>
      <c r="IA6" s="66"/>
      <c r="IB6" s="66"/>
      <c r="IC6" s="66"/>
      <c r="ID6" s="66"/>
      <c r="IE6" s="66"/>
      <c r="IF6" s="66"/>
      <c r="IG6" s="66"/>
      <c r="IH6" s="66"/>
      <c r="II6" s="66"/>
      <c r="IJ6" s="66"/>
      <c r="IK6" s="66"/>
      <c r="IL6" s="66"/>
      <c r="IM6" s="66"/>
      <c r="IN6" s="66"/>
      <c r="IO6" s="66"/>
      <c r="IP6" s="66"/>
      <c r="IQ6" s="66"/>
      <c r="IR6" s="66"/>
      <c r="IS6" s="66"/>
      <c r="IT6" s="66"/>
      <c r="IU6" s="66"/>
      <c r="IV6" s="66"/>
    </row>
    <row r="7" spans="1:256" s="111" customFormat="1" ht="18" customHeight="1">
      <c r="A7" s="66"/>
      <c r="B7" s="1267"/>
      <c r="C7" s="1268"/>
      <c r="D7" s="2172" t="s">
        <v>24</v>
      </c>
      <c r="E7" s="2172"/>
      <c r="F7" s="2172"/>
      <c r="G7" s="2172"/>
      <c r="H7" s="2172"/>
      <c r="I7" s="2172"/>
      <c r="J7" s="2172"/>
      <c r="K7" s="1724" t="s">
        <v>128</v>
      </c>
      <c r="L7" s="1725"/>
      <c r="M7" s="1725"/>
      <c r="N7" s="1725"/>
      <c r="O7" s="1725"/>
      <c r="P7" s="1733"/>
      <c r="Q7" s="66"/>
      <c r="R7" s="66"/>
      <c r="S7" s="66"/>
      <c r="T7" s="66"/>
      <c r="U7" s="66"/>
      <c r="V7" s="66"/>
      <c r="W7" s="66"/>
      <c r="X7" s="66"/>
      <c r="Y7" s="66"/>
      <c r="Z7" s="66"/>
      <c r="AA7" s="66"/>
      <c r="AB7" s="66"/>
      <c r="AC7" s="66"/>
      <c r="AD7" s="66"/>
      <c r="AE7" s="66"/>
      <c r="AF7" s="66"/>
      <c r="AG7" s="66"/>
      <c r="AH7" s="66"/>
      <c r="AI7" s="66"/>
      <c r="AJ7" s="66"/>
      <c r="AK7" s="66"/>
      <c r="AL7" s="66"/>
      <c r="AM7" s="66"/>
      <c r="AN7" s="66"/>
      <c r="AO7" s="66"/>
      <c r="AP7" s="66"/>
      <c r="AQ7" s="66"/>
      <c r="AR7" s="66"/>
      <c r="AS7" s="66"/>
      <c r="AT7" s="66"/>
      <c r="AU7" s="66"/>
      <c r="AV7" s="66"/>
      <c r="AW7" s="66"/>
      <c r="AX7" s="66"/>
      <c r="AY7" s="66"/>
      <c r="AZ7" s="66"/>
      <c r="BA7" s="66"/>
      <c r="BB7" s="66"/>
      <c r="BC7" s="66"/>
      <c r="BD7" s="66"/>
      <c r="BE7" s="66"/>
      <c r="BF7" s="66"/>
      <c r="BG7" s="66"/>
      <c r="BH7" s="66"/>
      <c r="BI7" s="66"/>
      <c r="BJ7" s="66"/>
      <c r="BK7" s="66"/>
      <c r="BL7" s="66"/>
      <c r="BM7" s="66"/>
      <c r="BN7" s="66"/>
      <c r="BO7" s="66"/>
      <c r="BP7" s="66"/>
      <c r="BQ7" s="66"/>
      <c r="BR7" s="66"/>
      <c r="BS7" s="66"/>
      <c r="BT7" s="66"/>
      <c r="BU7" s="66"/>
      <c r="BV7" s="66"/>
      <c r="BW7" s="66"/>
      <c r="BX7" s="66"/>
      <c r="BY7" s="66"/>
      <c r="BZ7" s="66"/>
      <c r="CA7" s="66"/>
      <c r="CB7" s="66"/>
      <c r="CC7" s="66"/>
      <c r="CD7" s="66"/>
      <c r="CE7" s="66"/>
      <c r="CF7" s="66"/>
      <c r="CG7" s="66"/>
      <c r="CH7" s="66"/>
      <c r="CI7" s="66"/>
      <c r="CJ7" s="66"/>
      <c r="CK7" s="66"/>
      <c r="CL7" s="66"/>
      <c r="CM7" s="66"/>
      <c r="CN7" s="66"/>
      <c r="CO7" s="66"/>
      <c r="CP7" s="66"/>
      <c r="CQ7" s="66"/>
      <c r="CR7" s="66"/>
      <c r="CS7" s="66"/>
      <c r="CT7" s="66"/>
      <c r="CU7" s="66"/>
      <c r="CV7" s="66"/>
      <c r="CW7" s="66"/>
      <c r="CX7" s="66"/>
      <c r="CY7" s="66"/>
      <c r="CZ7" s="66"/>
      <c r="DA7" s="66"/>
      <c r="DB7" s="66"/>
      <c r="DC7" s="66"/>
      <c r="DD7" s="66"/>
      <c r="DE7" s="66"/>
      <c r="DF7" s="66"/>
      <c r="DG7" s="66"/>
      <c r="DH7" s="66"/>
      <c r="DI7" s="66"/>
      <c r="DJ7" s="66"/>
      <c r="DK7" s="66"/>
      <c r="DL7" s="66"/>
      <c r="DM7" s="66"/>
      <c r="DN7" s="66"/>
      <c r="DO7" s="66"/>
      <c r="DP7" s="66"/>
      <c r="DQ7" s="66"/>
      <c r="DR7" s="66"/>
      <c r="DS7" s="66"/>
      <c r="DT7" s="66"/>
      <c r="DU7" s="66"/>
      <c r="DV7" s="66"/>
      <c r="DW7" s="66"/>
      <c r="DX7" s="66"/>
      <c r="DY7" s="66"/>
      <c r="DZ7" s="66"/>
      <c r="EA7" s="66"/>
      <c r="EB7" s="66"/>
      <c r="EC7" s="66"/>
      <c r="ED7" s="66"/>
      <c r="EE7" s="66"/>
      <c r="EF7" s="66"/>
      <c r="EG7" s="66"/>
      <c r="EH7" s="66"/>
      <c r="EI7" s="66"/>
      <c r="EJ7" s="66"/>
      <c r="EK7" s="66"/>
      <c r="EL7" s="66"/>
      <c r="EM7" s="66"/>
      <c r="EN7" s="66"/>
      <c r="EO7" s="66"/>
      <c r="EP7" s="66"/>
      <c r="EQ7" s="66"/>
      <c r="ER7" s="66"/>
      <c r="ES7" s="66"/>
      <c r="ET7" s="66"/>
      <c r="EU7" s="66"/>
      <c r="EV7" s="66"/>
      <c r="EW7" s="66"/>
      <c r="EX7" s="66"/>
      <c r="EY7" s="66"/>
      <c r="EZ7" s="66"/>
      <c r="FA7" s="66"/>
      <c r="FB7" s="66"/>
      <c r="FC7" s="66"/>
      <c r="FD7" s="66"/>
      <c r="FE7" s="66"/>
      <c r="FF7" s="66"/>
      <c r="FG7" s="66"/>
      <c r="FH7" s="66"/>
      <c r="FI7" s="66"/>
      <c r="FJ7" s="66"/>
      <c r="FK7" s="66"/>
      <c r="FL7" s="66"/>
      <c r="FM7" s="66"/>
      <c r="FN7" s="66"/>
      <c r="FO7" s="66"/>
      <c r="FP7" s="66"/>
      <c r="FQ7" s="66"/>
      <c r="FR7" s="66"/>
      <c r="FS7" s="66"/>
      <c r="FT7" s="66"/>
      <c r="FU7" s="66"/>
      <c r="FV7" s="66"/>
      <c r="FW7" s="66"/>
      <c r="FX7" s="66"/>
      <c r="FY7" s="66"/>
      <c r="FZ7" s="66"/>
      <c r="GA7" s="66"/>
      <c r="GB7" s="66"/>
      <c r="GC7" s="66"/>
      <c r="GD7" s="66"/>
      <c r="GE7" s="66"/>
      <c r="GF7" s="66"/>
      <c r="GG7" s="66"/>
      <c r="GH7" s="66"/>
      <c r="GI7" s="66"/>
      <c r="GJ7" s="66"/>
      <c r="GK7" s="66"/>
      <c r="GL7" s="66"/>
      <c r="GM7" s="66"/>
      <c r="GN7" s="66"/>
      <c r="GO7" s="66"/>
      <c r="GP7" s="66"/>
      <c r="GQ7" s="66"/>
      <c r="GR7" s="66"/>
      <c r="GS7" s="66"/>
      <c r="GT7" s="66"/>
      <c r="GU7" s="66"/>
      <c r="GV7" s="66"/>
      <c r="GW7" s="66"/>
      <c r="GX7" s="66"/>
      <c r="GY7" s="66"/>
      <c r="GZ7" s="66"/>
      <c r="HA7" s="66"/>
      <c r="HB7" s="66"/>
      <c r="HC7" s="66"/>
      <c r="HD7" s="66"/>
      <c r="HE7" s="66"/>
      <c r="HF7" s="66"/>
      <c r="HG7" s="66"/>
      <c r="HH7" s="66"/>
      <c r="HI7" s="66"/>
      <c r="HJ7" s="66"/>
      <c r="HK7" s="66"/>
      <c r="HL7" s="66"/>
      <c r="HM7" s="66"/>
      <c r="HN7" s="66"/>
      <c r="HO7" s="66"/>
      <c r="HP7" s="66"/>
      <c r="HQ7" s="66"/>
      <c r="HR7" s="66"/>
      <c r="HS7" s="66"/>
      <c r="HT7" s="66"/>
      <c r="HU7" s="66"/>
      <c r="HV7" s="66"/>
      <c r="HW7" s="66"/>
      <c r="HX7" s="66"/>
      <c r="HY7" s="66"/>
      <c r="HZ7" s="66"/>
      <c r="IA7" s="66"/>
      <c r="IB7" s="66"/>
      <c r="IC7" s="66"/>
      <c r="ID7" s="66"/>
      <c r="IE7" s="66"/>
      <c r="IF7" s="66"/>
      <c r="IG7" s="66"/>
      <c r="IH7" s="66"/>
      <c r="II7" s="66"/>
      <c r="IJ7" s="66"/>
      <c r="IK7" s="66"/>
      <c r="IL7" s="66"/>
      <c r="IM7" s="66"/>
      <c r="IN7" s="66"/>
      <c r="IO7" s="66"/>
      <c r="IP7" s="66"/>
      <c r="IQ7" s="66"/>
      <c r="IR7" s="66"/>
      <c r="IS7" s="66"/>
      <c r="IT7" s="66"/>
      <c r="IU7" s="66"/>
      <c r="IV7" s="66"/>
    </row>
    <row r="8" spans="1:256" s="111" customFormat="1" ht="18" customHeight="1">
      <c r="A8" s="66"/>
      <c r="B8" s="1454"/>
      <c r="C8" s="1455"/>
      <c r="D8" s="2158" t="s">
        <v>25</v>
      </c>
      <c r="E8" s="2158"/>
      <c r="F8" s="2158"/>
      <c r="G8" s="2158"/>
      <c r="H8" s="2158"/>
      <c r="I8" s="2158"/>
      <c r="J8" s="2158"/>
      <c r="K8" s="1709" t="s">
        <v>129</v>
      </c>
      <c r="L8" s="1710"/>
      <c r="M8" s="1710"/>
      <c r="N8" s="1710"/>
      <c r="O8" s="1710"/>
      <c r="P8" s="1730"/>
      <c r="Q8" s="66"/>
      <c r="R8" s="66"/>
      <c r="S8" s="66"/>
      <c r="T8" s="66"/>
      <c r="U8" s="66"/>
      <c r="V8" s="66"/>
      <c r="W8" s="66"/>
      <c r="X8" s="66"/>
      <c r="Y8" s="66"/>
      <c r="Z8" s="66"/>
      <c r="AA8" s="66"/>
      <c r="AB8" s="66"/>
      <c r="AC8" s="66"/>
      <c r="AD8" s="66"/>
      <c r="AE8" s="66"/>
      <c r="AF8" s="66"/>
      <c r="AG8" s="66"/>
      <c r="AH8" s="66"/>
      <c r="AI8" s="66"/>
      <c r="AJ8" s="66"/>
      <c r="AK8" s="66"/>
      <c r="AL8" s="66"/>
      <c r="AM8" s="66"/>
      <c r="AN8" s="66"/>
      <c r="AO8" s="66"/>
      <c r="AP8" s="66"/>
      <c r="AQ8" s="66"/>
      <c r="AR8" s="66"/>
      <c r="AS8" s="66"/>
      <c r="AT8" s="66"/>
      <c r="AU8" s="66"/>
      <c r="AV8" s="66"/>
      <c r="AW8" s="66"/>
      <c r="AX8" s="66"/>
      <c r="AY8" s="66"/>
      <c r="AZ8" s="66"/>
      <c r="BA8" s="66"/>
      <c r="BB8" s="66"/>
      <c r="BC8" s="66"/>
      <c r="BD8" s="66"/>
      <c r="BE8" s="66"/>
      <c r="BF8" s="66"/>
      <c r="BG8" s="66"/>
      <c r="BH8" s="66"/>
      <c r="BI8" s="66"/>
      <c r="BJ8" s="66"/>
      <c r="BK8" s="66"/>
      <c r="BL8" s="66"/>
      <c r="BM8" s="66"/>
      <c r="BN8" s="66"/>
      <c r="BO8" s="66"/>
      <c r="BP8" s="66"/>
      <c r="BQ8" s="66"/>
      <c r="BR8" s="66"/>
      <c r="BS8" s="66"/>
      <c r="BT8" s="66"/>
      <c r="BU8" s="66"/>
      <c r="BV8" s="66"/>
      <c r="BW8" s="66"/>
      <c r="BX8" s="66"/>
      <c r="BY8" s="66"/>
      <c r="BZ8" s="66"/>
      <c r="CA8" s="66"/>
      <c r="CB8" s="66"/>
      <c r="CC8" s="66"/>
      <c r="CD8" s="66"/>
      <c r="CE8" s="66"/>
      <c r="CF8" s="66"/>
      <c r="CG8" s="66"/>
      <c r="CH8" s="66"/>
      <c r="CI8" s="66"/>
      <c r="CJ8" s="66"/>
      <c r="CK8" s="66"/>
      <c r="CL8" s="66"/>
      <c r="CM8" s="66"/>
      <c r="CN8" s="66"/>
      <c r="CO8" s="66"/>
      <c r="CP8" s="66"/>
      <c r="CQ8" s="66"/>
      <c r="CR8" s="66"/>
      <c r="CS8" s="66"/>
      <c r="CT8" s="66"/>
      <c r="CU8" s="66"/>
      <c r="CV8" s="66"/>
      <c r="CW8" s="66"/>
      <c r="CX8" s="66"/>
      <c r="CY8" s="66"/>
      <c r="CZ8" s="66"/>
      <c r="DA8" s="66"/>
      <c r="DB8" s="66"/>
      <c r="DC8" s="66"/>
      <c r="DD8" s="66"/>
      <c r="DE8" s="66"/>
      <c r="DF8" s="66"/>
      <c r="DG8" s="66"/>
      <c r="DH8" s="66"/>
      <c r="DI8" s="66"/>
      <c r="DJ8" s="66"/>
      <c r="DK8" s="66"/>
      <c r="DL8" s="66"/>
      <c r="DM8" s="66"/>
      <c r="DN8" s="66"/>
      <c r="DO8" s="66"/>
      <c r="DP8" s="66"/>
      <c r="DQ8" s="66"/>
      <c r="DR8" s="66"/>
      <c r="DS8" s="66"/>
      <c r="DT8" s="66"/>
      <c r="DU8" s="66"/>
      <c r="DV8" s="66"/>
      <c r="DW8" s="66"/>
      <c r="DX8" s="66"/>
      <c r="DY8" s="66"/>
      <c r="DZ8" s="66"/>
      <c r="EA8" s="66"/>
      <c r="EB8" s="66"/>
      <c r="EC8" s="66"/>
      <c r="ED8" s="66"/>
      <c r="EE8" s="66"/>
      <c r="EF8" s="66"/>
      <c r="EG8" s="66"/>
      <c r="EH8" s="66"/>
      <c r="EI8" s="66"/>
      <c r="EJ8" s="66"/>
      <c r="EK8" s="66"/>
      <c r="EL8" s="66"/>
      <c r="EM8" s="66"/>
      <c r="EN8" s="66"/>
      <c r="EO8" s="66"/>
      <c r="EP8" s="66"/>
      <c r="EQ8" s="66"/>
      <c r="ER8" s="66"/>
      <c r="ES8" s="66"/>
      <c r="ET8" s="66"/>
      <c r="EU8" s="66"/>
      <c r="EV8" s="66"/>
      <c r="EW8" s="66"/>
      <c r="EX8" s="66"/>
      <c r="EY8" s="66"/>
      <c r="EZ8" s="66"/>
      <c r="FA8" s="66"/>
      <c r="FB8" s="66"/>
      <c r="FC8" s="66"/>
      <c r="FD8" s="66"/>
      <c r="FE8" s="66"/>
      <c r="FF8" s="66"/>
      <c r="FG8" s="66"/>
      <c r="FH8" s="66"/>
      <c r="FI8" s="66"/>
      <c r="FJ8" s="66"/>
      <c r="FK8" s="66"/>
      <c r="FL8" s="66"/>
      <c r="FM8" s="66"/>
      <c r="FN8" s="66"/>
      <c r="FO8" s="66"/>
      <c r="FP8" s="66"/>
      <c r="FQ8" s="66"/>
      <c r="FR8" s="66"/>
      <c r="FS8" s="66"/>
      <c r="FT8" s="66"/>
      <c r="FU8" s="66"/>
      <c r="FV8" s="66"/>
      <c r="FW8" s="66"/>
      <c r="FX8" s="66"/>
      <c r="FY8" s="66"/>
      <c r="FZ8" s="66"/>
      <c r="GA8" s="66"/>
      <c r="GB8" s="66"/>
      <c r="GC8" s="66"/>
      <c r="GD8" s="66"/>
      <c r="GE8" s="66"/>
      <c r="GF8" s="66"/>
      <c r="GG8" s="66"/>
      <c r="GH8" s="66"/>
      <c r="GI8" s="66"/>
      <c r="GJ8" s="66"/>
      <c r="GK8" s="66"/>
      <c r="GL8" s="66"/>
      <c r="GM8" s="66"/>
      <c r="GN8" s="66"/>
      <c r="GO8" s="66"/>
      <c r="GP8" s="66"/>
      <c r="GQ8" s="66"/>
      <c r="GR8" s="66"/>
      <c r="GS8" s="66"/>
      <c r="GT8" s="66"/>
      <c r="GU8" s="66"/>
      <c r="GV8" s="66"/>
      <c r="GW8" s="66"/>
      <c r="GX8" s="66"/>
      <c r="GY8" s="66"/>
      <c r="GZ8" s="66"/>
      <c r="HA8" s="66"/>
      <c r="HB8" s="66"/>
      <c r="HC8" s="66"/>
      <c r="HD8" s="66"/>
      <c r="HE8" s="66"/>
      <c r="HF8" s="66"/>
      <c r="HG8" s="66"/>
      <c r="HH8" s="66"/>
      <c r="HI8" s="66"/>
      <c r="HJ8" s="66"/>
      <c r="HK8" s="66"/>
      <c r="HL8" s="66"/>
      <c r="HM8" s="66"/>
      <c r="HN8" s="66"/>
      <c r="HO8" s="66"/>
      <c r="HP8" s="66"/>
      <c r="HQ8" s="66"/>
      <c r="HR8" s="66"/>
      <c r="HS8" s="66"/>
      <c r="HT8" s="66"/>
      <c r="HU8" s="66"/>
      <c r="HV8" s="66"/>
      <c r="HW8" s="66"/>
      <c r="HX8" s="66"/>
      <c r="HY8" s="66"/>
      <c r="HZ8" s="66"/>
      <c r="IA8" s="66"/>
      <c r="IB8" s="66"/>
      <c r="IC8" s="66"/>
      <c r="ID8" s="66"/>
      <c r="IE8" s="66"/>
      <c r="IF8" s="66"/>
      <c r="IG8" s="66"/>
      <c r="IH8" s="66"/>
      <c r="II8" s="66"/>
      <c r="IJ8" s="66"/>
      <c r="IK8" s="66"/>
      <c r="IL8" s="66"/>
      <c r="IM8" s="66"/>
      <c r="IN8" s="66"/>
      <c r="IO8" s="66"/>
      <c r="IP8" s="66"/>
      <c r="IQ8" s="66"/>
      <c r="IR8" s="66"/>
      <c r="IS8" s="66"/>
      <c r="IT8" s="66"/>
      <c r="IU8" s="66"/>
      <c r="IV8" s="66"/>
    </row>
    <row r="9" spans="1:256" s="111" customFormat="1" ht="18" customHeight="1" thickBot="1">
      <c r="A9" s="66"/>
      <c r="B9" s="1510" t="s">
        <v>130</v>
      </c>
      <c r="C9" s="1511"/>
      <c r="D9" s="2137" t="s">
        <v>131</v>
      </c>
      <c r="E9" s="2137"/>
      <c r="F9" s="2137"/>
      <c r="G9" s="2137"/>
      <c r="H9" s="2137"/>
      <c r="I9" s="2137"/>
      <c r="J9" s="2137"/>
      <c r="K9" s="1286" t="s">
        <v>132</v>
      </c>
      <c r="L9" s="1286"/>
      <c r="M9" s="1286"/>
      <c r="N9" s="1286"/>
      <c r="O9" s="1286"/>
      <c r="P9" s="1287"/>
      <c r="Q9" s="66"/>
      <c r="R9" s="66"/>
      <c r="S9" s="66"/>
      <c r="T9" s="66"/>
      <c r="U9" s="66"/>
      <c r="V9" s="66"/>
      <c r="W9" s="66"/>
      <c r="X9" s="66"/>
      <c r="Y9" s="66"/>
      <c r="Z9" s="66"/>
      <c r="AA9" s="66"/>
      <c r="AB9" s="66"/>
      <c r="AC9" s="66"/>
      <c r="AD9" s="66"/>
      <c r="AE9" s="66"/>
      <c r="AF9" s="66"/>
      <c r="AG9" s="66"/>
      <c r="AH9" s="66"/>
      <c r="AI9" s="66"/>
      <c r="AJ9" s="66"/>
      <c r="AK9" s="66"/>
      <c r="AL9" s="66"/>
      <c r="AM9" s="66"/>
      <c r="AN9" s="66"/>
      <c r="AO9" s="66"/>
      <c r="AP9" s="66"/>
      <c r="AQ9" s="66"/>
      <c r="AR9" s="66"/>
      <c r="AS9" s="66"/>
      <c r="AT9" s="66"/>
      <c r="AU9" s="66"/>
      <c r="AV9" s="66"/>
      <c r="AW9" s="66"/>
      <c r="AX9" s="66"/>
      <c r="AY9" s="66"/>
      <c r="AZ9" s="66"/>
      <c r="BA9" s="66"/>
      <c r="BB9" s="66"/>
      <c r="BC9" s="66"/>
      <c r="BD9" s="66"/>
      <c r="BE9" s="66"/>
      <c r="BF9" s="66"/>
      <c r="BG9" s="66"/>
      <c r="BH9" s="66"/>
      <c r="BI9" s="66"/>
      <c r="BJ9" s="66"/>
      <c r="BK9" s="66"/>
      <c r="BL9" s="66"/>
      <c r="BM9" s="66"/>
      <c r="BN9" s="66"/>
      <c r="BO9" s="66"/>
      <c r="BP9" s="66"/>
      <c r="BQ9" s="66"/>
      <c r="BR9" s="66"/>
      <c r="BS9" s="66"/>
      <c r="BT9" s="66"/>
      <c r="BU9" s="66"/>
      <c r="BV9" s="66"/>
      <c r="BW9" s="66"/>
      <c r="BX9" s="66"/>
      <c r="BY9" s="66"/>
      <c r="BZ9" s="66"/>
      <c r="CA9" s="66"/>
      <c r="CB9" s="66"/>
      <c r="CC9" s="66"/>
      <c r="CD9" s="66"/>
      <c r="CE9" s="66"/>
      <c r="CF9" s="66"/>
      <c r="CG9" s="66"/>
      <c r="CH9" s="66"/>
      <c r="CI9" s="66"/>
      <c r="CJ9" s="66"/>
      <c r="CK9" s="66"/>
      <c r="CL9" s="66"/>
      <c r="CM9" s="66"/>
      <c r="CN9" s="66"/>
      <c r="CO9" s="66"/>
      <c r="CP9" s="66"/>
      <c r="CQ9" s="66"/>
      <c r="CR9" s="66"/>
      <c r="CS9" s="66"/>
      <c r="CT9" s="66"/>
      <c r="CU9" s="66"/>
      <c r="CV9" s="66"/>
      <c r="CW9" s="66"/>
      <c r="CX9" s="66"/>
      <c r="CY9" s="66"/>
      <c r="CZ9" s="66"/>
      <c r="DA9" s="66"/>
      <c r="DB9" s="66"/>
      <c r="DC9" s="66"/>
      <c r="DD9" s="66"/>
      <c r="DE9" s="66"/>
      <c r="DF9" s="66"/>
      <c r="DG9" s="66"/>
      <c r="DH9" s="66"/>
      <c r="DI9" s="66"/>
      <c r="DJ9" s="66"/>
      <c r="DK9" s="66"/>
      <c r="DL9" s="66"/>
      <c r="DM9" s="66"/>
      <c r="DN9" s="66"/>
      <c r="DO9" s="66"/>
      <c r="DP9" s="66"/>
      <c r="DQ9" s="66"/>
      <c r="DR9" s="66"/>
      <c r="DS9" s="66"/>
      <c r="DT9" s="66"/>
      <c r="DU9" s="66"/>
      <c r="DV9" s="66"/>
      <c r="DW9" s="66"/>
      <c r="DX9" s="66"/>
      <c r="DY9" s="66"/>
      <c r="DZ9" s="66"/>
      <c r="EA9" s="66"/>
      <c r="EB9" s="66"/>
      <c r="EC9" s="66"/>
      <c r="ED9" s="66"/>
      <c r="EE9" s="66"/>
      <c r="EF9" s="66"/>
      <c r="EG9" s="66"/>
      <c r="EH9" s="66"/>
      <c r="EI9" s="66"/>
      <c r="EJ9" s="66"/>
      <c r="EK9" s="66"/>
      <c r="EL9" s="66"/>
      <c r="EM9" s="66"/>
      <c r="EN9" s="66"/>
      <c r="EO9" s="66"/>
      <c r="EP9" s="66"/>
      <c r="EQ9" s="66"/>
      <c r="ER9" s="66"/>
      <c r="ES9" s="66"/>
      <c r="ET9" s="66"/>
      <c r="EU9" s="66"/>
      <c r="EV9" s="66"/>
      <c r="EW9" s="66"/>
      <c r="EX9" s="66"/>
      <c r="EY9" s="66"/>
      <c r="EZ9" s="66"/>
      <c r="FA9" s="66"/>
      <c r="FB9" s="66"/>
      <c r="FC9" s="66"/>
      <c r="FD9" s="66"/>
      <c r="FE9" s="66"/>
      <c r="FF9" s="66"/>
      <c r="FG9" s="66"/>
      <c r="FH9" s="66"/>
      <c r="FI9" s="66"/>
      <c r="FJ9" s="66"/>
      <c r="FK9" s="66"/>
      <c r="FL9" s="66"/>
      <c r="FM9" s="66"/>
      <c r="FN9" s="66"/>
      <c r="FO9" s="66"/>
      <c r="FP9" s="66"/>
      <c r="FQ9" s="66"/>
      <c r="FR9" s="66"/>
      <c r="FS9" s="66"/>
      <c r="FT9" s="66"/>
      <c r="FU9" s="66"/>
      <c r="FV9" s="66"/>
      <c r="FW9" s="66"/>
      <c r="FX9" s="66"/>
      <c r="FY9" s="66"/>
      <c r="FZ9" s="66"/>
      <c r="GA9" s="66"/>
      <c r="GB9" s="66"/>
      <c r="GC9" s="66"/>
      <c r="GD9" s="66"/>
      <c r="GE9" s="66"/>
      <c r="GF9" s="66"/>
      <c r="GG9" s="66"/>
      <c r="GH9" s="66"/>
      <c r="GI9" s="66"/>
      <c r="GJ9" s="66"/>
      <c r="GK9" s="66"/>
      <c r="GL9" s="66"/>
      <c r="GM9" s="66"/>
      <c r="GN9" s="66"/>
      <c r="GO9" s="66"/>
      <c r="GP9" s="66"/>
      <c r="GQ9" s="66"/>
      <c r="GR9" s="66"/>
      <c r="GS9" s="66"/>
      <c r="GT9" s="66"/>
      <c r="GU9" s="66"/>
      <c r="GV9" s="66"/>
      <c r="GW9" s="66"/>
      <c r="GX9" s="66"/>
      <c r="GY9" s="66"/>
      <c r="GZ9" s="66"/>
      <c r="HA9" s="66"/>
      <c r="HB9" s="66"/>
      <c r="HC9" s="66"/>
      <c r="HD9" s="66"/>
      <c r="HE9" s="66"/>
      <c r="HF9" s="66"/>
      <c r="HG9" s="66"/>
      <c r="HH9" s="66"/>
      <c r="HI9" s="66"/>
      <c r="HJ9" s="66"/>
      <c r="HK9" s="66"/>
      <c r="HL9" s="66"/>
      <c r="HM9" s="66"/>
      <c r="HN9" s="66"/>
      <c r="HO9" s="66"/>
      <c r="HP9" s="66"/>
      <c r="HQ9" s="66"/>
      <c r="HR9" s="66"/>
      <c r="HS9" s="66"/>
      <c r="HT9" s="66"/>
      <c r="HU9" s="66"/>
      <c r="HV9" s="66"/>
      <c r="HW9" s="66"/>
      <c r="HX9" s="66"/>
      <c r="HY9" s="66"/>
      <c r="HZ9" s="66"/>
      <c r="IA9" s="66"/>
      <c r="IB9" s="66"/>
      <c r="IC9" s="66"/>
      <c r="ID9" s="66"/>
      <c r="IE9" s="66"/>
      <c r="IF9" s="66"/>
      <c r="IG9" s="66"/>
      <c r="IH9" s="66"/>
      <c r="II9" s="66"/>
      <c r="IJ9" s="66"/>
      <c r="IK9" s="66"/>
      <c r="IL9" s="66"/>
      <c r="IM9" s="66"/>
      <c r="IN9" s="66"/>
      <c r="IO9" s="66"/>
      <c r="IP9" s="66"/>
      <c r="IQ9" s="66"/>
      <c r="IR9" s="66"/>
      <c r="IS9" s="66"/>
      <c r="IT9" s="66"/>
      <c r="IU9" s="66"/>
      <c r="IV9" s="66"/>
    </row>
    <row r="10" spans="1:256" s="111" customFormat="1" ht="12" customHeight="1">
      <c r="A10" s="66"/>
      <c r="B10" s="66"/>
      <c r="C10" s="66"/>
      <c r="D10" s="65"/>
      <c r="E10" s="66"/>
      <c r="F10" s="65"/>
      <c r="G10" s="66"/>
      <c r="H10" s="66"/>
      <c r="I10" s="66"/>
      <c r="J10" s="66"/>
      <c r="K10" s="65"/>
      <c r="L10" s="66"/>
      <c r="M10" s="66"/>
      <c r="N10" s="66"/>
      <c r="O10" s="66"/>
      <c r="P10" s="66"/>
      <c r="Q10" s="66"/>
      <c r="R10" s="66"/>
      <c r="S10" s="66"/>
      <c r="T10" s="66"/>
      <c r="U10" s="66"/>
      <c r="V10" s="66"/>
      <c r="W10" s="66"/>
      <c r="X10" s="66"/>
      <c r="Y10" s="66"/>
      <c r="Z10" s="66"/>
      <c r="AA10" s="66"/>
      <c r="AB10" s="66"/>
      <c r="AC10" s="66"/>
      <c r="AD10" s="66"/>
      <c r="AE10" s="66"/>
      <c r="AF10" s="66"/>
      <c r="AG10" s="66"/>
      <c r="AH10" s="66"/>
      <c r="AI10" s="66"/>
      <c r="AJ10" s="66"/>
      <c r="AK10" s="66"/>
      <c r="AL10" s="66"/>
      <c r="AM10" s="66"/>
      <c r="AN10" s="66"/>
      <c r="AO10" s="66"/>
      <c r="AP10" s="66"/>
      <c r="AQ10" s="66"/>
      <c r="AR10" s="66"/>
      <c r="AS10" s="66"/>
      <c r="AT10" s="66"/>
      <c r="AU10" s="66"/>
      <c r="AV10" s="66"/>
      <c r="AW10" s="66"/>
      <c r="AX10" s="66"/>
      <c r="AY10" s="66"/>
      <c r="AZ10" s="66"/>
      <c r="BA10" s="66"/>
      <c r="BB10" s="66"/>
      <c r="BC10" s="66"/>
      <c r="BD10" s="66"/>
      <c r="BE10" s="66"/>
      <c r="BF10" s="66"/>
      <c r="BG10" s="66"/>
      <c r="BH10" s="66"/>
      <c r="BI10" s="66"/>
      <c r="BJ10" s="66"/>
      <c r="BK10" s="66"/>
      <c r="BL10" s="66"/>
      <c r="BM10" s="66"/>
      <c r="BN10" s="66"/>
      <c r="BO10" s="66"/>
      <c r="BP10" s="66"/>
      <c r="BQ10" s="66"/>
      <c r="BR10" s="66"/>
      <c r="BS10" s="66"/>
      <c r="BT10" s="66"/>
      <c r="BU10" s="66"/>
      <c r="BV10" s="66"/>
      <c r="BW10" s="66"/>
      <c r="BX10" s="66"/>
      <c r="BY10" s="66"/>
      <c r="BZ10" s="66"/>
      <c r="CA10" s="66"/>
      <c r="CB10" s="66"/>
      <c r="CC10" s="66"/>
      <c r="CD10" s="66"/>
      <c r="CE10" s="66"/>
      <c r="CF10" s="66"/>
      <c r="CG10" s="66"/>
      <c r="CH10" s="66"/>
      <c r="CI10" s="66"/>
      <c r="CJ10" s="66"/>
      <c r="CK10" s="66"/>
      <c r="CL10" s="66"/>
      <c r="CM10" s="66"/>
      <c r="CN10" s="66"/>
      <c r="CO10" s="66"/>
      <c r="CP10" s="66"/>
      <c r="CQ10" s="66"/>
      <c r="CR10" s="66"/>
      <c r="CS10" s="66"/>
      <c r="CT10" s="66"/>
      <c r="CU10" s="66"/>
      <c r="CV10" s="66"/>
      <c r="CW10" s="66"/>
      <c r="CX10" s="66"/>
      <c r="CY10" s="66"/>
      <c r="CZ10" s="66"/>
      <c r="DA10" s="66"/>
      <c r="DB10" s="66"/>
      <c r="DC10" s="66"/>
      <c r="DD10" s="66"/>
      <c r="DE10" s="66"/>
      <c r="DF10" s="66"/>
      <c r="DG10" s="66"/>
      <c r="DH10" s="66"/>
      <c r="DI10" s="66"/>
      <c r="DJ10" s="66"/>
      <c r="DK10" s="66"/>
      <c r="DL10" s="66"/>
      <c r="DM10" s="66"/>
      <c r="DN10" s="66"/>
      <c r="DO10" s="66"/>
      <c r="DP10" s="66"/>
      <c r="DQ10" s="66"/>
      <c r="DR10" s="66"/>
      <c r="DS10" s="66"/>
      <c r="DT10" s="66"/>
      <c r="DU10" s="66"/>
      <c r="DV10" s="66"/>
      <c r="DW10" s="66"/>
      <c r="DX10" s="66"/>
      <c r="DY10" s="66"/>
      <c r="DZ10" s="66"/>
      <c r="EA10" s="66"/>
      <c r="EB10" s="66"/>
      <c r="EC10" s="66"/>
      <c r="ED10" s="66"/>
      <c r="EE10" s="66"/>
      <c r="EF10" s="66"/>
      <c r="EG10" s="66"/>
      <c r="EH10" s="66"/>
      <c r="EI10" s="66"/>
      <c r="EJ10" s="66"/>
      <c r="EK10" s="66"/>
      <c r="EL10" s="66"/>
      <c r="EM10" s="66"/>
      <c r="EN10" s="66"/>
      <c r="EO10" s="66"/>
      <c r="EP10" s="66"/>
      <c r="EQ10" s="66"/>
      <c r="ER10" s="66"/>
      <c r="ES10" s="66"/>
      <c r="ET10" s="66"/>
      <c r="EU10" s="66"/>
      <c r="EV10" s="66"/>
      <c r="EW10" s="66"/>
      <c r="EX10" s="66"/>
      <c r="EY10" s="66"/>
      <c r="EZ10" s="66"/>
      <c r="FA10" s="66"/>
      <c r="FB10" s="66"/>
      <c r="FC10" s="66"/>
      <c r="FD10" s="66"/>
      <c r="FE10" s="66"/>
      <c r="FF10" s="66"/>
      <c r="FG10" s="66"/>
      <c r="FH10" s="66"/>
      <c r="FI10" s="66"/>
      <c r="FJ10" s="66"/>
      <c r="FK10" s="66"/>
      <c r="FL10" s="66"/>
      <c r="FM10" s="66"/>
      <c r="FN10" s="66"/>
      <c r="FO10" s="66"/>
      <c r="FP10" s="66"/>
      <c r="FQ10" s="66"/>
      <c r="FR10" s="66"/>
      <c r="FS10" s="66"/>
      <c r="FT10" s="66"/>
      <c r="FU10" s="66"/>
      <c r="FV10" s="66"/>
      <c r="FW10" s="66"/>
      <c r="FX10" s="66"/>
      <c r="FY10" s="66"/>
      <c r="FZ10" s="66"/>
      <c r="GA10" s="66"/>
      <c r="GB10" s="66"/>
      <c r="GC10" s="66"/>
      <c r="GD10" s="66"/>
      <c r="GE10" s="66"/>
      <c r="GF10" s="66"/>
      <c r="GG10" s="66"/>
      <c r="GH10" s="66"/>
      <c r="GI10" s="66"/>
      <c r="GJ10" s="66"/>
      <c r="GK10" s="66"/>
      <c r="GL10" s="66"/>
      <c r="GM10" s="66"/>
      <c r="GN10" s="66"/>
      <c r="GO10" s="66"/>
      <c r="GP10" s="66"/>
      <c r="GQ10" s="66"/>
      <c r="GR10" s="66"/>
      <c r="GS10" s="66"/>
      <c r="GT10" s="66"/>
      <c r="GU10" s="66"/>
      <c r="GV10" s="66"/>
      <c r="GW10" s="66"/>
      <c r="GX10" s="66"/>
      <c r="GY10" s="66"/>
      <c r="GZ10" s="66"/>
      <c r="HA10" s="66"/>
      <c r="HB10" s="66"/>
      <c r="HC10" s="66"/>
      <c r="HD10" s="66"/>
      <c r="HE10" s="66"/>
      <c r="HF10" s="66"/>
      <c r="HG10" s="66"/>
      <c r="HH10" s="66"/>
      <c r="HI10" s="66"/>
      <c r="HJ10" s="66"/>
      <c r="HK10" s="66"/>
      <c r="HL10" s="66"/>
      <c r="HM10" s="66"/>
      <c r="HN10" s="66"/>
      <c r="HO10" s="66"/>
      <c r="HP10" s="66"/>
      <c r="HQ10" s="66"/>
      <c r="HR10" s="66"/>
      <c r="HS10" s="66"/>
      <c r="HT10" s="66"/>
      <c r="HU10" s="66"/>
      <c r="HV10" s="66"/>
      <c r="HW10" s="66"/>
      <c r="HX10" s="66"/>
      <c r="HY10" s="66"/>
      <c r="HZ10" s="66"/>
      <c r="IA10" s="66"/>
      <c r="IB10" s="66"/>
      <c r="IC10" s="66"/>
      <c r="ID10" s="66"/>
      <c r="IE10" s="66"/>
      <c r="IF10" s="66"/>
      <c r="IG10" s="66"/>
      <c r="IH10" s="66"/>
      <c r="II10" s="66"/>
      <c r="IJ10" s="66"/>
      <c r="IK10" s="66"/>
      <c r="IL10" s="66"/>
      <c r="IM10" s="66"/>
      <c r="IN10" s="66"/>
      <c r="IO10" s="66"/>
      <c r="IP10" s="66"/>
      <c r="IQ10" s="66"/>
      <c r="IR10" s="66"/>
      <c r="IS10" s="66"/>
      <c r="IT10" s="66"/>
      <c r="IU10" s="66"/>
      <c r="IV10" s="66"/>
    </row>
    <row r="11" spans="1:256" s="111" customFormat="1" ht="18" customHeight="1" thickBot="1">
      <c r="A11" s="66"/>
      <c r="B11" s="67" t="s">
        <v>133</v>
      </c>
      <c r="C11" s="67"/>
      <c r="D11" s="65"/>
      <c r="E11" s="66"/>
      <c r="F11" s="65"/>
      <c r="G11" s="66"/>
      <c r="H11" s="66"/>
      <c r="I11" s="66"/>
      <c r="J11" s="66"/>
      <c r="K11" s="65"/>
      <c r="L11" s="66"/>
      <c r="M11" s="66"/>
      <c r="N11" s="66"/>
      <c r="O11" s="66"/>
      <c r="P11" s="66"/>
      <c r="Q11" s="66"/>
      <c r="R11" s="66"/>
      <c r="S11" s="66"/>
      <c r="T11" s="66"/>
      <c r="U11" s="66"/>
      <c r="V11" s="66"/>
      <c r="W11" s="66"/>
      <c r="X11" s="66"/>
      <c r="Y11" s="66"/>
      <c r="Z11" s="66"/>
      <c r="AA11" s="66"/>
      <c r="AB11" s="66"/>
      <c r="AC11" s="66"/>
      <c r="AD11" s="66"/>
      <c r="AE11" s="66"/>
      <c r="AF11" s="66"/>
      <c r="AG11" s="66"/>
      <c r="AH11" s="66"/>
      <c r="AI11" s="66"/>
      <c r="AJ11" s="66"/>
      <c r="AK11" s="66"/>
      <c r="AL11" s="66"/>
      <c r="AM11" s="66"/>
      <c r="AN11" s="66"/>
      <c r="AO11" s="66"/>
      <c r="AP11" s="66"/>
      <c r="AQ11" s="66"/>
      <c r="AR11" s="66"/>
      <c r="AS11" s="66"/>
      <c r="AT11" s="66"/>
      <c r="AU11" s="66"/>
      <c r="AV11" s="66"/>
      <c r="AW11" s="66"/>
      <c r="AX11" s="66"/>
      <c r="AY11" s="66"/>
      <c r="AZ11" s="66"/>
      <c r="BA11" s="66"/>
      <c r="BB11" s="66"/>
      <c r="BC11" s="66"/>
      <c r="BD11" s="66"/>
      <c r="BE11" s="66"/>
      <c r="BF11" s="66"/>
      <c r="BG11" s="66"/>
      <c r="BH11" s="66"/>
      <c r="BI11" s="66"/>
      <c r="BJ11" s="66"/>
      <c r="BK11" s="66"/>
      <c r="BL11" s="66"/>
      <c r="BM11" s="66"/>
      <c r="BN11" s="66"/>
      <c r="BO11" s="66"/>
      <c r="BP11" s="66"/>
      <c r="BQ11" s="66"/>
      <c r="BR11" s="66"/>
      <c r="BS11" s="66"/>
      <c r="BT11" s="66"/>
      <c r="BU11" s="66"/>
      <c r="BV11" s="66"/>
      <c r="BW11" s="66"/>
      <c r="BX11" s="66"/>
      <c r="BY11" s="66"/>
      <c r="BZ11" s="66"/>
      <c r="CA11" s="66"/>
      <c r="CB11" s="66"/>
      <c r="CC11" s="66"/>
      <c r="CD11" s="66"/>
      <c r="CE11" s="66"/>
      <c r="CF11" s="66"/>
      <c r="CG11" s="66"/>
      <c r="CH11" s="66"/>
      <c r="CI11" s="66"/>
      <c r="CJ11" s="66"/>
      <c r="CK11" s="66"/>
      <c r="CL11" s="66"/>
      <c r="CM11" s="66"/>
      <c r="CN11" s="66"/>
      <c r="CO11" s="66"/>
      <c r="CP11" s="66"/>
      <c r="CQ11" s="66"/>
      <c r="CR11" s="66"/>
      <c r="CS11" s="66"/>
      <c r="CT11" s="66"/>
      <c r="CU11" s="66"/>
      <c r="CV11" s="66"/>
      <c r="CW11" s="66"/>
      <c r="CX11" s="66"/>
      <c r="CY11" s="66"/>
      <c r="CZ11" s="66"/>
      <c r="DA11" s="66"/>
      <c r="DB11" s="66"/>
      <c r="DC11" s="66"/>
      <c r="DD11" s="66"/>
      <c r="DE11" s="66"/>
      <c r="DF11" s="66"/>
      <c r="DG11" s="66"/>
      <c r="DH11" s="66"/>
      <c r="DI11" s="66"/>
      <c r="DJ11" s="66"/>
      <c r="DK11" s="66"/>
      <c r="DL11" s="66"/>
      <c r="DM11" s="66"/>
      <c r="DN11" s="66"/>
      <c r="DO11" s="66"/>
      <c r="DP11" s="66"/>
      <c r="DQ11" s="66"/>
      <c r="DR11" s="66"/>
      <c r="DS11" s="66"/>
      <c r="DT11" s="66"/>
      <c r="DU11" s="66"/>
      <c r="DV11" s="66"/>
      <c r="DW11" s="66"/>
      <c r="DX11" s="66"/>
      <c r="DY11" s="66"/>
      <c r="DZ11" s="66"/>
      <c r="EA11" s="66"/>
      <c r="EB11" s="66"/>
      <c r="EC11" s="66"/>
      <c r="ED11" s="66"/>
      <c r="EE11" s="66"/>
      <c r="EF11" s="66"/>
      <c r="EG11" s="66"/>
      <c r="EH11" s="66"/>
      <c r="EI11" s="66"/>
      <c r="EJ11" s="66"/>
      <c r="EK11" s="66"/>
      <c r="EL11" s="66"/>
      <c r="EM11" s="66"/>
      <c r="EN11" s="66"/>
      <c r="EO11" s="66"/>
      <c r="EP11" s="66"/>
      <c r="EQ11" s="66"/>
      <c r="ER11" s="66"/>
      <c r="ES11" s="66"/>
      <c r="ET11" s="66"/>
      <c r="EU11" s="66"/>
      <c r="EV11" s="66"/>
      <c r="EW11" s="66"/>
      <c r="EX11" s="66"/>
      <c r="EY11" s="66"/>
      <c r="EZ11" s="66"/>
      <c r="FA11" s="66"/>
      <c r="FB11" s="66"/>
      <c r="FC11" s="66"/>
      <c r="FD11" s="66"/>
      <c r="FE11" s="66"/>
      <c r="FF11" s="66"/>
      <c r="FG11" s="66"/>
      <c r="FH11" s="66"/>
      <c r="FI11" s="66"/>
      <c r="FJ11" s="66"/>
      <c r="FK11" s="66"/>
      <c r="FL11" s="66"/>
      <c r="FM11" s="66"/>
      <c r="FN11" s="66"/>
      <c r="FO11" s="66"/>
      <c r="FP11" s="66"/>
      <c r="FQ11" s="66"/>
      <c r="FR11" s="66"/>
      <c r="FS11" s="66"/>
      <c r="FT11" s="66"/>
      <c r="FU11" s="66"/>
      <c r="FV11" s="66"/>
      <c r="FW11" s="66"/>
      <c r="FX11" s="66"/>
      <c r="FY11" s="66"/>
      <c r="FZ11" s="66"/>
      <c r="GA11" s="66"/>
      <c r="GB11" s="66"/>
      <c r="GC11" s="66"/>
      <c r="GD11" s="66"/>
      <c r="GE11" s="66"/>
      <c r="GF11" s="66"/>
      <c r="GG11" s="66"/>
      <c r="GH11" s="66"/>
      <c r="GI11" s="66"/>
      <c r="GJ11" s="66"/>
      <c r="GK11" s="66"/>
      <c r="GL11" s="66"/>
      <c r="GM11" s="66"/>
      <c r="GN11" s="66"/>
      <c r="GO11" s="66"/>
      <c r="GP11" s="66"/>
      <c r="GQ11" s="66"/>
      <c r="GR11" s="66"/>
      <c r="GS11" s="66"/>
      <c r="GT11" s="66"/>
      <c r="GU11" s="66"/>
      <c r="GV11" s="66"/>
      <c r="GW11" s="66"/>
      <c r="GX11" s="66"/>
      <c r="GY11" s="66"/>
      <c r="GZ11" s="66"/>
      <c r="HA11" s="66"/>
      <c r="HB11" s="66"/>
      <c r="HC11" s="66"/>
      <c r="HD11" s="66"/>
      <c r="HE11" s="66"/>
      <c r="HF11" s="66"/>
      <c r="HG11" s="66"/>
      <c r="HH11" s="66"/>
      <c r="HI11" s="66"/>
      <c r="HJ11" s="66"/>
      <c r="HK11" s="66"/>
      <c r="HL11" s="66"/>
      <c r="HM11" s="66"/>
      <c r="HN11" s="66"/>
      <c r="HO11" s="66"/>
      <c r="HP11" s="66"/>
      <c r="HQ11" s="66"/>
      <c r="HR11" s="66"/>
      <c r="HS11" s="66"/>
      <c r="HT11" s="66"/>
      <c r="HU11" s="66"/>
      <c r="HV11" s="66"/>
      <c r="HW11" s="66"/>
      <c r="HX11" s="66"/>
      <c r="HY11" s="66"/>
      <c r="HZ11" s="66"/>
      <c r="IA11" s="66"/>
      <c r="IB11" s="66"/>
      <c r="IC11" s="66"/>
      <c r="ID11" s="66"/>
      <c r="IE11" s="66"/>
      <c r="IF11" s="66"/>
      <c r="IG11" s="66"/>
      <c r="IH11" s="66"/>
      <c r="II11" s="66"/>
      <c r="IJ11" s="66"/>
      <c r="IK11" s="66"/>
      <c r="IL11" s="66"/>
      <c r="IM11" s="66"/>
      <c r="IN11" s="66"/>
      <c r="IO11" s="66"/>
      <c r="IP11" s="66"/>
      <c r="IQ11" s="66"/>
      <c r="IR11" s="66"/>
      <c r="IS11" s="66"/>
      <c r="IT11" s="66"/>
      <c r="IU11" s="66"/>
      <c r="IV11" s="66"/>
    </row>
    <row r="12" spans="1:256" s="111" customFormat="1" ht="18" customHeight="1">
      <c r="A12" s="66"/>
      <c r="B12" s="1288" t="s">
        <v>119</v>
      </c>
      <c r="C12" s="1289"/>
      <c r="D12" s="1190" t="s">
        <v>120</v>
      </c>
      <c r="E12" s="1190"/>
      <c r="F12" s="1190"/>
      <c r="G12" s="1190"/>
      <c r="H12" s="1190"/>
      <c r="I12" s="1190"/>
      <c r="J12" s="1190"/>
      <c r="K12" s="1190" t="s">
        <v>134</v>
      </c>
      <c r="L12" s="1190"/>
      <c r="M12" s="1190"/>
      <c r="N12" s="1190"/>
      <c r="O12" s="1190"/>
      <c r="P12" s="1191"/>
      <c r="Q12" s="66"/>
      <c r="R12" s="66"/>
      <c r="S12" s="66"/>
      <c r="T12" s="66"/>
      <c r="U12" s="66"/>
      <c r="V12" s="66"/>
      <c r="W12" s="66"/>
      <c r="X12" s="66"/>
      <c r="Y12" s="66"/>
      <c r="Z12" s="66"/>
      <c r="AA12" s="66"/>
      <c r="AB12" s="66"/>
      <c r="AC12" s="66"/>
      <c r="AD12" s="66"/>
      <c r="AE12" s="66"/>
      <c r="AF12" s="66"/>
      <c r="AG12" s="66"/>
      <c r="AH12" s="66"/>
      <c r="AI12" s="66"/>
      <c r="AJ12" s="66"/>
      <c r="AK12" s="66"/>
      <c r="AL12" s="66"/>
      <c r="AM12" s="66"/>
      <c r="AN12" s="66"/>
      <c r="AO12" s="66"/>
      <c r="AP12" s="66"/>
      <c r="AQ12" s="66"/>
      <c r="AR12" s="66"/>
      <c r="AS12" s="66"/>
      <c r="AT12" s="66"/>
      <c r="AU12" s="66"/>
      <c r="AV12" s="66"/>
      <c r="AW12" s="66"/>
      <c r="AX12" s="66"/>
      <c r="AY12" s="66"/>
      <c r="AZ12" s="66"/>
      <c r="BA12" s="66"/>
      <c r="BB12" s="66"/>
      <c r="BC12" s="66"/>
      <c r="BD12" s="66"/>
      <c r="BE12" s="66"/>
      <c r="BF12" s="66"/>
      <c r="BG12" s="66"/>
      <c r="BH12" s="66"/>
      <c r="BI12" s="66"/>
      <c r="BJ12" s="66"/>
      <c r="BK12" s="66"/>
      <c r="BL12" s="66"/>
      <c r="BM12" s="66"/>
      <c r="BN12" s="66"/>
      <c r="BO12" s="66"/>
      <c r="BP12" s="66"/>
      <c r="BQ12" s="66"/>
      <c r="BR12" s="66"/>
      <c r="BS12" s="66"/>
      <c r="BT12" s="66"/>
      <c r="BU12" s="66"/>
      <c r="BV12" s="66"/>
      <c r="BW12" s="66"/>
      <c r="BX12" s="66"/>
      <c r="BY12" s="66"/>
      <c r="BZ12" s="66"/>
      <c r="CA12" s="66"/>
      <c r="CB12" s="66"/>
      <c r="CC12" s="66"/>
      <c r="CD12" s="66"/>
      <c r="CE12" s="66"/>
      <c r="CF12" s="66"/>
      <c r="CG12" s="66"/>
      <c r="CH12" s="66"/>
      <c r="CI12" s="66"/>
      <c r="CJ12" s="66"/>
      <c r="CK12" s="66"/>
      <c r="CL12" s="66"/>
      <c r="CM12" s="66"/>
      <c r="CN12" s="66"/>
      <c r="CO12" s="66"/>
      <c r="CP12" s="66"/>
      <c r="CQ12" s="66"/>
      <c r="CR12" s="66"/>
      <c r="CS12" s="66"/>
      <c r="CT12" s="66"/>
      <c r="CU12" s="66"/>
      <c r="CV12" s="66"/>
      <c r="CW12" s="66"/>
      <c r="CX12" s="66"/>
      <c r="CY12" s="66"/>
      <c r="CZ12" s="66"/>
      <c r="DA12" s="66"/>
      <c r="DB12" s="66"/>
      <c r="DC12" s="66"/>
      <c r="DD12" s="66"/>
      <c r="DE12" s="66"/>
      <c r="DF12" s="66"/>
      <c r="DG12" s="66"/>
      <c r="DH12" s="66"/>
      <c r="DI12" s="66"/>
      <c r="DJ12" s="66"/>
      <c r="DK12" s="66"/>
      <c r="DL12" s="66"/>
      <c r="DM12" s="66"/>
      <c r="DN12" s="66"/>
      <c r="DO12" s="66"/>
      <c r="DP12" s="66"/>
      <c r="DQ12" s="66"/>
      <c r="DR12" s="66"/>
      <c r="DS12" s="66"/>
      <c r="DT12" s="66"/>
      <c r="DU12" s="66"/>
      <c r="DV12" s="66"/>
      <c r="DW12" s="66"/>
      <c r="DX12" s="66"/>
      <c r="DY12" s="66"/>
      <c r="DZ12" s="66"/>
      <c r="EA12" s="66"/>
      <c r="EB12" s="66"/>
      <c r="EC12" s="66"/>
      <c r="ED12" s="66"/>
      <c r="EE12" s="66"/>
      <c r="EF12" s="66"/>
      <c r="EG12" s="66"/>
      <c r="EH12" s="66"/>
      <c r="EI12" s="66"/>
      <c r="EJ12" s="66"/>
      <c r="EK12" s="66"/>
      <c r="EL12" s="66"/>
      <c r="EM12" s="66"/>
      <c r="EN12" s="66"/>
      <c r="EO12" s="66"/>
      <c r="EP12" s="66"/>
      <c r="EQ12" s="66"/>
      <c r="ER12" s="66"/>
      <c r="ES12" s="66"/>
      <c r="ET12" s="66"/>
      <c r="EU12" s="66"/>
      <c r="EV12" s="66"/>
      <c r="EW12" s="66"/>
      <c r="EX12" s="66"/>
      <c r="EY12" s="66"/>
      <c r="EZ12" s="66"/>
      <c r="FA12" s="66"/>
      <c r="FB12" s="66"/>
      <c r="FC12" s="66"/>
      <c r="FD12" s="66"/>
      <c r="FE12" s="66"/>
      <c r="FF12" s="66"/>
      <c r="FG12" s="66"/>
      <c r="FH12" s="66"/>
      <c r="FI12" s="66"/>
      <c r="FJ12" s="66"/>
      <c r="FK12" s="66"/>
      <c r="FL12" s="66"/>
      <c r="FM12" s="66"/>
      <c r="FN12" s="66"/>
      <c r="FO12" s="66"/>
      <c r="FP12" s="66"/>
      <c r="FQ12" s="66"/>
      <c r="FR12" s="66"/>
      <c r="FS12" s="66"/>
      <c r="FT12" s="66"/>
      <c r="FU12" s="66"/>
      <c r="FV12" s="66"/>
      <c r="FW12" s="66"/>
      <c r="FX12" s="66"/>
      <c r="FY12" s="66"/>
      <c r="FZ12" s="66"/>
      <c r="GA12" s="66"/>
      <c r="GB12" s="66"/>
      <c r="GC12" s="66"/>
      <c r="GD12" s="66"/>
      <c r="GE12" s="66"/>
      <c r="GF12" s="66"/>
      <c r="GG12" s="66"/>
      <c r="GH12" s="66"/>
      <c r="GI12" s="66"/>
      <c r="GJ12" s="66"/>
      <c r="GK12" s="66"/>
      <c r="GL12" s="66"/>
      <c r="GM12" s="66"/>
      <c r="GN12" s="66"/>
      <c r="GO12" s="66"/>
      <c r="GP12" s="66"/>
      <c r="GQ12" s="66"/>
      <c r="GR12" s="66"/>
      <c r="GS12" s="66"/>
      <c r="GT12" s="66"/>
      <c r="GU12" s="66"/>
      <c r="GV12" s="66"/>
      <c r="GW12" s="66"/>
      <c r="GX12" s="66"/>
      <c r="GY12" s="66"/>
      <c r="GZ12" s="66"/>
      <c r="HA12" s="66"/>
      <c r="HB12" s="66"/>
      <c r="HC12" s="66"/>
      <c r="HD12" s="66"/>
      <c r="HE12" s="66"/>
      <c r="HF12" s="66"/>
      <c r="HG12" s="66"/>
      <c r="HH12" s="66"/>
      <c r="HI12" s="66"/>
      <c r="HJ12" s="66"/>
      <c r="HK12" s="66"/>
      <c r="HL12" s="66"/>
      <c r="HM12" s="66"/>
      <c r="HN12" s="66"/>
      <c r="HO12" s="66"/>
      <c r="HP12" s="66"/>
      <c r="HQ12" s="66"/>
      <c r="HR12" s="66"/>
      <c r="HS12" s="66"/>
      <c r="HT12" s="66"/>
      <c r="HU12" s="66"/>
      <c r="HV12" s="66"/>
      <c r="HW12" s="66"/>
      <c r="HX12" s="66"/>
      <c r="HY12" s="66"/>
      <c r="HZ12" s="66"/>
      <c r="IA12" s="66"/>
      <c r="IB12" s="66"/>
      <c r="IC12" s="66"/>
      <c r="ID12" s="66"/>
      <c r="IE12" s="66"/>
      <c r="IF12" s="66"/>
      <c r="IG12" s="66"/>
      <c r="IH12" s="66"/>
      <c r="II12" s="66"/>
      <c r="IJ12" s="66"/>
      <c r="IK12" s="66"/>
      <c r="IL12" s="66"/>
      <c r="IM12" s="66"/>
      <c r="IN12" s="66"/>
      <c r="IO12" s="66"/>
      <c r="IP12" s="66"/>
      <c r="IQ12" s="66"/>
      <c r="IR12" s="66"/>
      <c r="IS12" s="66"/>
      <c r="IT12" s="66"/>
      <c r="IU12" s="66"/>
      <c r="IV12" s="66"/>
    </row>
    <row r="13" spans="1:256" s="111" customFormat="1" ht="18" customHeight="1">
      <c r="A13" s="66"/>
      <c r="B13" s="1512" t="s">
        <v>135</v>
      </c>
      <c r="C13" s="1734"/>
      <c r="D13" s="1477" t="s">
        <v>136</v>
      </c>
      <c r="E13" s="1478"/>
      <c r="F13" s="1478"/>
      <c r="G13" s="1478"/>
      <c r="H13" s="1478"/>
      <c r="I13" s="1478"/>
      <c r="J13" s="1276"/>
      <c r="K13" s="1477" t="s">
        <v>137</v>
      </c>
      <c r="L13" s="1478"/>
      <c r="M13" s="1478"/>
      <c r="N13" s="1478"/>
      <c r="O13" s="1478"/>
      <c r="P13" s="1479"/>
      <c r="Q13" s="66"/>
      <c r="R13" s="66"/>
      <c r="S13" s="66"/>
      <c r="T13" s="66"/>
      <c r="U13" s="66"/>
      <c r="V13" s="66"/>
      <c r="W13" s="66"/>
      <c r="X13" s="66"/>
      <c r="Y13" s="66"/>
      <c r="Z13" s="66"/>
      <c r="AA13" s="66"/>
      <c r="AB13" s="66"/>
      <c r="AC13" s="66"/>
      <c r="AD13" s="66"/>
      <c r="AE13" s="66"/>
      <c r="AF13" s="66"/>
      <c r="AG13" s="66"/>
      <c r="AH13" s="66"/>
      <c r="AI13" s="66"/>
      <c r="AJ13" s="66"/>
      <c r="AK13" s="66"/>
      <c r="AL13" s="66"/>
      <c r="AM13" s="66"/>
      <c r="AN13" s="66"/>
      <c r="AO13" s="66"/>
      <c r="AP13" s="66"/>
      <c r="AQ13" s="66"/>
      <c r="AR13" s="66"/>
      <c r="AS13" s="66"/>
      <c r="AT13" s="66"/>
      <c r="AU13" s="66"/>
      <c r="AV13" s="66"/>
      <c r="AW13" s="66"/>
      <c r="AX13" s="66"/>
      <c r="AY13" s="66"/>
      <c r="AZ13" s="66"/>
      <c r="BA13" s="66"/>
      <c r="BB13" s="66"/>
      <c r="BC13" s="66"/>
      <c r="BD13" s="66"/>
      <c r="BE13" s="66"/>
      <c r="BF13" s="66"/>
      <c r="BG13" s="66"/>
      <c r="BH13" s="66"/>
      <c r="BI13" s="66"/>
      <c r="BJ13" s="66"/>
      <c r="BK13" s="66"/>
      <c r="BL13" s="66"/>
      <c r="BM13" s="66"/>
      <c r="BN13" s="66"/>
      <c r="BO13" s="66"/>
      <c r="BP13" s="66"/>
      <c r="BQ13" s="66"/>
      <c r="BR13" s="66"/>
      <c r="BS13" s="66"/>
      <c r="BT13" s="66"/>
      <c r="BU13" s="66"/>
      <c r="BV13" s="66"/>
      <c r="BW13" s="66"/>
      <c r="BX13" s="66"/>
      <c r="BY13" s="66"/>
      <c r="BZ13" s="66"/>
      <c r="CA13" s="66"/>
      <c r="CB13" s="66"/>
      <c r="CC13" s="66"/>
      <c r="CD13" s="66"/>
      <c r="CE13" s="66"/>
      <c r="CF13" s="66"/>
      <c r="CG13" s="66"/>
      <c r="CH13" s="66"/>
      <c r="CI13" s="66"/>
      <c r="CJ13" s="66"/>
      <c r="CK13" s="66"/>
      <c r="CL13" s="66"/>
      <c r="CM13" s="66"/>
      <c r="CN13" s="66"/>
      <c r="CO13" s="66"/>
      <c r="CP13" s="66"/>
      <c r="CQ13" s="66"/>
      <c r="CR13" s="66"/>
      <c r="CS13" s="66"/>
      <c r="CT13" s="66"/>
      <c r="CU13" s="66"/>
      <c r="CV13" s="66"/>
      <c r="CW13" s="66"/>
      <c r="CX13" s="66"/>
      <c r="CY13" s="66"/>
      <c r="CZ13" s="66"/>
      <c r="DA13" s="66"/>
      <c r="DB13" s="66"/>
      <c r="DC13" s="66"/>
      <c r="DD13" s="66"/>
      <c r="DE13" s="66"/>
      <c r="DF13" s="66"/>
      <c r="DG13" s="66"/>
      <c r="DH13" s="66"/>
      <c r="DI13" s="66"/>
      <c r="DJ13" s="66"/>
      <c r="DK13" s="66"/>
      <c r="DL13" s="66"/>
      <c r="DM13" s="66"/>
      <c r="DN13" s="66"/>
      <c r="DO13" s="66"/>
      <c r="DP13" s="66"/>
      <c r="DQ13" s="66"/>
      <c r="DR13" s="66"/>
      <c r="DS13" s="66"/>
      <c r="DT13" s="66"/>
      <c r="DU13" s="66"/>
      <c r="DV13" s="66"/>
      <c r="DW13" s="66"/>
      <c r="DX13" s="66"/>
      <c r="DY13" s="66"/>
      <c r="DZ13" s="66"/>
      <c r="EA13" s="66"/>
      <c r="EB13" s="66"/>
      <c r="EC13" s="66"/>
      <c r="ED13" s="66"/>
      <c r="EE13" s="66"/>
      <c r="EF13" s="66"/>
      <c r="EG13" s="66"/>
      <c r="EH13" s="66"/>
      <c r="EI13" s="66"/>
      <c r="EJ13" s="66"/>
      <c r="EK13" s="66"/>
      <c r="EL13" s="66"/>
      <c r="EM13" s="66"/>
      <c r="EN13" s="66"/>
      <c r="EO13" s="66"/>
      <c r="EP13" s="66"/>
      <c r="EQ13" s="66"/>
      <c r="ER13" s="66"/>
      <c r="ES13" s="66"/>
      <c r="ET13" s="66"/>
      <c r="EU13" s="66"/>
      <c r="EV13" s="66"/>
      <c r="EW13" s="66"/>
      <c r="EX13" s="66"/>
      <c r="EY13" s="66"/>
      <c r="EZ13" s="66"/>
      <c r="FA13" s="66"/>
      <c r="FB13" s="66"/>
      <c r="FC13" s="66"/>
      <c r="FD13" s="66"/>
      <c r="FE13" s="66"/>
      <c r="FF13" s="66"/>
      <c r="FG13" s="66"/>
      <c r="FH13" s="66"/>
      <c r="FI13" s="66"/>
      <c r="FJ13" s="66"/>
      <c r="FK13" s="66"/>
      <c r="FL13" s="66"/>
      <c r="FM13" s="66"/>
      <c r="FN13" s="66"/>
      <c r="FO13" s="66"/>
      <c r="FP13" s="66"/>
      <c r="FQ13" s="66"/>
      <c r="FR13" s="66"/>
      <c r="FS13" s="66"/>
      <c r="FT13" s="66"/>
      <c r="FU13" s="66"/>
      <c r="FV13" s="66"/>
      <c r="FW13" s="66"/>
      <c r="FX13" s="66"/>
      <c r="FY13" s="66"/>
      <c r="FZ13" s="66"/>
      <c r="GA13" s="66"/>
      <c r="GB13" s="66"/>
      <c r="GC13" s="66"/>
      <c r="GD13" s="66"/>
      <c r="GE13" s="66"/>
      <c r="GF13" s="66"/>
      <c r="GG13" s="66"/>
      <c r="GH13" s="66"/>
      <c r="GI13" s="66"/>
      <c r="GJ13" s="66"/>
      <c r="GK13" s="66"/>
      <c r="GL13" s="66"/>
      <c r="GM13" s="66"/>
      <c r="GN13" s="66"/>
      <c r="GO13" s="66"/>
      <c r="GP13" s="66"/>
      <c r="GQ13" s="66"/>
      <c r="GR13" s="66"/>
      <c r="GS13" s="66"/>
      <c r="GT13" s="66"/>
      <c r="GU13" s="66"/>
      <c r="GV13" s="66"/>
      <c r="GW13" s="66"/>
      <c r="GX13" s="66"/>
      <c r="GY13" s="66"/>
      <c r="GZ13" s="66"/>
      <c r="HA13" s="66"/>
      <c r="HB13" s="66"/>
      <c r="HC13" s="66"/>
      <c r="HD13" s="66"/>
      <c r="HE13" s="66"/>
      <c r="HF13" s="66"/>
      <c r="HG13" s="66"/>
      <c r="HH13" s="66"/>
      <c r="HI13" s="66"/>
      <c r="HJ13" s="66"/>
      <c r="HK13" s="66"/>
      <c r="HL13" s="66"/>
      <c r="HM13" s="66"/>
      <c r="HN13" s="66"/>
      <c r="HO13" s="66"/>
      <c r="HP13" s="66"/>
      <c r="HQ13" s="66"/>
      <c r="HR13" s="66"/>
      <c r="HS13" s="66"/>
      <c r="HT13" s="66"/>
      <c r="HU13" s="66"/>
      <c r="HV13" s="66"/>
      <c r="HW13" s="66"/>
      <c r="HX13" s="66"/>
      <c r="HY13" s="66"/>
      <c r="HZ13" s="66"/>
      <c r="IA13" s="66"/>
      <c r="IB13" s="66"/>
      <c r="IC13" s="66"/>
      <c r="ID13" s="66"/>
      <c r="IE13" s="66"/>
      <c r="IF13" s="66"/>
      <c r="IG13" s="66"/>
      <c r="IH13" s="66"/>
      <c r="II13" s="66"/>
      <c r="IJ13" s="66"/>
      <c r="IK13" s="66"/>
      <c r="IL13" s="66"/>
      <c r="IM13" s="66"/>
      <c r="IN13" s="66"/>
      <c r="IO13" s="66"/>
      <c r="IP13" s="66"/>
      <c r="IQ13" s="66"/>
      <c r="IR13" s="66"/>
      <c r="IS13" s="66"/>
      <c r="IT13" s="66"/>
      <c r="IU13" s="66"/>
      <c r="IV13" s="66"/>
    </row>
    <row r="14" spans="1:256" s="111" customFormat="1" ht="18" customHeight="1" thickBot="1">
      <c r="A14" s="66"/>
      <c r="B14" s="1510" t="s">
        <v>138</v>
      </c>
      <c r="C14" s="1511"/>
      <c r="D14" s="1429" t="s">
        <v>139</v>
      </c>
      <c r="E14" s="1430"/>
      <c r="F14" s="1430"/>
      <c r="G14" s="1430"/>
      <c r="H14" s="1430"/>
      <c r="I14" s="1430"/>
      <c r="J14" s="2138"/>
      <c r="K14" s="1429" t="s">
        <v>140</v>
      </c>
      <c r="L14" s="1430"/>
      <c r="M14" s="1430"/>
      <c r="N14" s="1430"/>
      <c r="O14" s="1430"/>
      <c r="P14" s="1431"/>
      <c r="Q14" s="66"/>
      <c r="R14" s="66"/>
      <c r="S14" s="66"/>
      <c r="T14" s="66"/>
      <c r="U14" s="66"/>
      <c r="V14" s="66"/>
      <c r="W14" s="66"/>
      <c r="X14" s="66"/>
      <c r="Y14" s="66"/>
      <c r="Z14" s="66"/>
      <c r="AA14" s="66"/>
      <c r="AB14" s="66"/>
      <c r="AC14" s="66"/>
      <c r="AD14" s="66"/>
      <c r="AE14" s="66"/>
      <c r="AF14" s="66"/>
      <c r="AG14" s="66"/>
      <c r="AH14" s="66"/>
      <c r="AI14" s="66"/>
      <c r="AJ14" s="66"/>
      <c r="AK14" s="66"/>
      <c r="AL14" s="66"/>
      <c r="AM14" s="66"/>
      <c r="AN14" s="66"/>
      <c r="AO14" s="66"/>
      <c r="AP14" s="66"/>
      <c r="AQ14" s="66"/>
      <c r="AR14" s="66"/>
      <c r="AS14" s="66"/>
      <c r="AT14" s="66"/>
      <c r="AU14" s="66"/>
      <c r="AV14" s="66"/>
      <c r="AW14" s="66"/>
      <c r="AX14" s="66"/>
      <c r="AY14" s="66"/>
      <c r="AZ14" s="66"/>
      <c r="BA14" s="66"/>
      <c r="BB14" s="66"/>
      <c r="BC14" s="66"/>
      <c r="BD14" s="66"/>
      <c r="BE14" s="66"/>
      <c r="BF14" s="66"/>
      <c r="BG14" s="66"/>
      <c r="BH14" s="66"/>
      <c r="BI14" s="66"/>
      <c r="BJ14" s="66"/>
      <c r="BK14" s="66"/>
      <c r="BL14" s="66"/>
      <c r="BM14" s="66"/>
      <c r="BN14" s="66"/>
      <c r="BO14" s="66"/>
      <c r="BP14" s="66"/>
      <c r="BQ14" s="66"/>
      <c r="BR14" s="66"/>
      <c r="BS14" s="66"/>
      <c r="BT14" s="66"/>
      <c r="BU14" s="66"/>
      <c r="BV14" s="66"/>
      <c r="BW14" s="66"/>
      <c r="BX14" s="66"/>
      <c r="BY14" s="66"/>
      <c r="BZ14" s="66"/>
      <c r="CA14" s="66"/>
      <c r="CB14" s="66"/>
      <c r="CC14" s="66"/>
      <c r="CD14" s="66"/>
      <c r="CE14" s="66"/>
      <c r="CF14" s="66"/>
      <c r="CG14" s="66"/>
      <c r="CH14" s="66"/>
      <c r="CI14" s="66"/>
      <c r="CJ14" s="66"/>
      <c r="CK14" s="66"/>
      <c r="CL14" s="66"/>
      <c r="CM14" s="66"/>
      <c r="CN14" s="66"/>
      <c r="CO14" s="66"/>
      <c r="CP14" s="66"/>
      <c r="CQ14" s="66"/>
      <c r="CR14" s="66"/>
      <c r="CS14" s="66"/>
      <c r="CT14" s="66"/>
      <c r="CU14" s="66"/>
      <c r="CV14" s="66"/>
      <c r="CW14" s="66"/>
      <c r="CX14" s="66"/>
      <c r="CY14" s="66"/>
      <c r="CZ14" s="66"/>
      <c r="DA14" s="66"/>
      <c r="DB14" s="66"/>
      <c r="DC14" s="66"/>
      <c r="DD14" s="66"/>
      <c r="DE14" s="66"/>
      <c r="DF14" s="66"/>
      <c r="DG14" s="66"/>
      <c r="DH14" s="66"/>
      <c r="DI14" s="66"/>
      <c r="DJ14" s="66"/>
      <c r="DK14" s="66"/>
      <c r="DL14" s="66"/>
      <c r="DM14" s="66"/>
      <c r="DN14" s="66"/>
      <c r="DO14" s="66"/>
      <c r="DP14" s="66"/>
      <c r="DQ14" s="66"/>
      <c r="DR14" s="66"/>
      <c r="DS14" s="66"/>
      <c r="DT14" s="66"/>
      <c r="DU14" s="66"/>
      <c r="DV14" s="66"/>
      <c r="DW14" s="66"/>
      <c r="DX14" s="66"/>
      <c r="DY14" s="66"/>
      <c r="DZ14" s="66"/>
      <c r="EA14" s="66"/>
      <c r="EB14" s="66"/>
      <c r="EC14" s="66"/>
      <c r="ED14" s="66"/>
      <c r="EE14" s="66"/>
      <c r="EF14" s="66"/>
      <c r="EG14" s="66"/>
      <c r="EH14" s="66"/>
      <c r="EI14" s="66"/>
      <c r="EJ14" s="66"/>
      <c r="EK14" s="66"/>
      <c r="EL14" s="66"/>
      <c r="EM14" s="66"/>
      <c r="EN14" s="66"/>
      <c r="EO14" s="66"/>
      <c r="EP14" s="66"/>
      <c r="EQ14" s="66"/>
      <c r="ER14" s="66"/>
      <c r="ES14" s="66"/>
      <c r="ET14" s="66"/>
      <c r="EU14" s="66"/>
      <c r="EV14" s="66"/>
      <c r="EW14" s="66"/>
      <c r="EX14" s="66"/>
      <c r="EY14" s="66"/>
      <c r="EZ14" s="66"/>
      <c r="FA14" s="66"/>
      <c r="FB14" s="66"/>
      <c r="FC14" s="66"/>
      <c r="FD14" s="66"/>
      <c r="FE14" s="66"/>
      <c r="FF14" s="66"/>
      <c r="FG14" s="66"/>
      <c r="FH14" s="66"/>
      <c r="FI14" s="66"/>
      <c r="FJ14" s="66"/>
      <c r="FK14" s="66"/>
      <c r="FL14" s="66"/>
      <c r="FM14" s="66"/>
      <c r="FN14" s="66"/>
      <c r="FO14" s="66"/>
      <c r="FP14" s="66"/>
      <c r="FQ14" s="66"/>
      <c r="FR14" s="66"/>
      <c r="FS14" s="66"/>
      <c r="FT14" s="66"/>
      <c r="FU14" s="66"/>
      <c r="FV14" s="66"/>
      <c r="FW14" s="66"/>
      <c r="FX14" s="66"/>
      <c r="FY14" s="66"/>
      <c r="FZ14" s="66"/>
      <c r="GA14" s="66"/>
      <c r="GB14" s="66"/>
      <c r="GC14" s="66"/>
      <c r="GD14" s="66"/>
      <c r="GE14" s="66"/>
      <c r="GF14" s="66"/>
      <c r="GG14" s="66"/>
      <c r="GH14" s="66"/>
      <c r="GI14" s="66"/>
      <c r="GJ14" s="66"/>
      <c r="GK14" s="66"/>
      <c r="GL14" s="66"/>
      <c r="GM14" s="66"/>
      <c r="GN14" s="66"/>
      <c r="GO14" s="66"/>
      <c r="GP14" s="66"/>
      <c r="GQ14" s="66"/>
      <c r="GR14" s="66"/>
      <c r="GS14" s="66"/>
      <c r="GT14" s="66"/>
      <c r="GU14" s="66"/>
      <c r="GV14" s="66"/>
      <c r="GW14" s="66"/>
      <c r="GX14" s="66"/>
      <c r="GY14" s="66"/>
      <c r="GZ14" s="66"/>
      <c r="HA14" s="66"/>
      <c r="HB14" s="66"/>
      <c r="HC14" s="66"/>
      <c r="HD14" s="66"/>
      <c r="HE14" s="66"/>
      <c r="HF14" s="66"/>
      <c r="HG14" s="66"/>
      <c r="HH14" s="66"/>
      <c r="HI14" s="66"/>
      <c r="HJ14" s="66"/>
      <c r="HK14" s="66"/>
      <c r="HL14" s="66"/>
      <c r="HM14" s="66"/>
      <c r="HN14" s="66"/>
      <c r="HO14" s="66"/>
      <c r="HP14" s="66"/>
      <c r="HQ14" s="66"/>
      <c r="HR14" s="66"/>
      <c r="HS14" s="66"/>
      <c r="HT14" s="66"/>
      <c r="HU14" s="66"/>
      <c r="HV14" s="66"/>
      <c r="HW14" s="66"/>
      <c r="HX14" s="66"/>
      <c r="HY14" s="66"/>
      <c r="HZ14" s="66"/>
      <c r="IA14" s="66"/>
      <c r="IB14" s="66"/>
      <c r="IC14" s="66"/>
      <c r="ID14" s="66"/>
      <c r="IE14" s="66"/>
      <c r="IF14" s="66"/>
      <c r="IG14" s="66"/>
      <c r="IH14" s="66"/>
      <c r="II14" s="66"/>
      <c r="IJ14" s="66"/>
      <c r="IK14" s="66"/>
      <c r="IL14" s="66"/>
      <c r="IM14" s="66"/>
      <c r="IN14" s="66"/>
      <c r="IO14" s="66"/>
      <c r="IP14" s="66"/>
      <c r="IQ14" s="66"/>
      <c r="IR14" s="66"/>
      <c r="IS14" s="66"/>
      <c r="IT14" s="66"/>
      <c r="IU14" s="66"/>
      <c r="IV14" s="66"/>
    </row>
    <row r="15" spans="1:256" s="111" customFormat="1" ht="12" customHeight="1">
      <c r="A15" s="66"/>
      <c r="B15" s="477"/>
      <c r="C15" s="477"/>
      <c r="D15" s="486"/>
      <c r="E15" s="66"/>
      <c r="F15" s="65"/>
      <c r="G15" s="66"/>
      <c r="H15" s="66"/>
      <c r="I15" s="66"/>
      <c r="J15" s="66"/>
      <c r="K15" s="486"/>
      <c r="L15" s="66"/>
      <c r="M15" s="66"/>
      <c r="N15" s="66"/>
      <c r="O15" s="66"/>
      <c r="P15" s="66"/>
      <c r="Q15" s="66"/>
      <c r="R15" s="66"/>
      <c r="S15" s="66"/>
      <c r="T15" s="66"/>
      <c r="U15" s="66"/>
      <c r="V15" s="66"/>
      <c r="W15" s="66"/>
      <c r="X15" s="66"/>
      <c r="Y15" s="66"/>
      <c r="Z15" s="66"/>
      <c r="AA15" s="66"/>
      <c r="AB15" s="66"/>
      <c r="AC15" s="66"/>
      <c r="AD15" s="66"/>
      <c r="AE15" s="66"/>
      <c r="AF15" s="66"/>
      <c r="AG15" s="66"/>
      <c r="AH15" s="66"/>
      <c r="AI15" s="66"/>
      <c r="AJ15" s="66"/>
      <c r="AK15" s="66"/>
      <c r="AL15" s="66"/>
      <c r="AM15" s="66"/>
      <c r="AN15" s="66"/>
      <c r="AO15" s="66"/>
      <c r="AP15" s="66"/>
      <c r="AQ15" s="66"/>
      <c r="AR15" s="66"/>
      <c r="AS15" s="66"/>
      <c r="AT15" s="66"/>
      <c r="AU15" s="66"/>
      <c r="AV15" s="66"/>
      <c r="AW15" s="66"/>
      <c r="AX15" s="66"/>
      <c r="AY15" s="66"/>
      <c r="AZ15" s="66"/>
      <c r="BA15" s="66"/>
      <c r="BB15" s="66"/>
      <c r="BC15" s="66"/>
      <c r="BD15" s="66"/>
      <c r="BE15" s="66"/>
      <c r="BF15" s="66"/>
      <c r="BG15" s="66"/>
      <c r="BH15" s="66"/>
      <c r="BI15" s="66"/>
      <c r="BJ15" s="66"/>
      <c r="BK15" s="66"/>
      <c r="BL15" s="66"/>
      <c r="BM15" s="66"/>
      <c r="BN15" s="66"/>
      <c r="BO15" s="66"/>
      <c r="BP15" s="66"/>
      <c r="BQ15" s="66"/>
      <c r="BR15" s="66"/>
      <c r="BS15" s="66"/>
      <c r="BT15" s="66"/>
      <c r="BU15" s="66"/>
      <c r="BV15" s="66"/>
      <c r="BW15" s="66"/>
      <c r="BX15" s="66"/>
      <c r="BY15" s="66"/>
      <c r="BZ15" s="66"/>
      <c r="CA15" s="66"/>
      <c r="CB15" s="66"/>
      <c r="CC15" s="66"/>
      <c r="CD15" s="66"/>
      <c r="CE15" s="66"/>
      <c r="CF15" s="66"/>
      <c r="CG15" s="66"/>
      <c r="CH15" s="66"/>
      <c r="CI15" s="66"/>
      <c r="CJ15" s="66"/>
      <c r="CK15" s="66"/>
      <c r="CL15" s="66"/>
      <c r="CM15" s="66"/>
      <c r="CN15" s="66"/>
      <c r="CO15" s="66"/>
      <c r="CP15" s="66"/>
      <c r="CQ15" s="66"/>
      <c r="CR15" s="66"/>
      <c r="CS15" s="66"/>
      <c r="CT15" s="66"/>
      <c r="CU15" s="66"/>
      <c r="CV15" s="66"/>
      <c r="CW15" s="66"/>
      <c r="CX15" s="66"/>
      <c r="CY15" s="66"/>
      <c r="CZ15" s="66"/>
      <c r="DA15" s="66"/>
      <c r="DB15" s="66"/>
      <c r="DC15" s="66"/>
      <c r="DD15" s="66"/>
      <c r="DE15" s="66"/>
      <c r="DF15" s="66"/>
      <c r="DG15" s="66"/>
      <c r="DH15" s="66"/>
      <c r="DI15" s="66"/>
      <c r="DJ15" s="66"/>
      <c r="DK15" s="66"/>
      <c r="DL15" s="66"/>
      <c r="DM15" s="66"/>
      <c r="DN15" s="66"/>
      <c r="DO15" s="66"/>
      <c r="DP15" s="66"/>
      <c r="DQ15" s="66"/>
      <c r="DR15" s="66"/>
      <c r="DS15" s="66"/>
      <c r="DT15" s="66"/>
      <c r="DU15" s="66"/>
      <c r="DV15" s="66"/>
      <c r="DW15" s="66"/>
      <c r="DX15" s="66"/>
      <c r="DY15" s="66"/>
      <c r="DZ15" s="66"/>
      <c r="EA15" s="66"/>
      <c r="EB15" s="66"/>
      <c r="EC15" s="66"/>
      <c r="ED15" s="66"/>
      <c r="EE15" s="66"/>
      <c r="EF15" s="66"/>
      <c r="EG15" s="66"/>
      <c r="EH15" s="66"/>
      <c r="EI15" s="66"/>
      <c r="EJ15" s="66"/>
      <c r="EK15" s="66"/>
      <c r="EL15" s="66"/>
      <c r="EM15" s="66"/>
      <c r="EN15" s="66"/>
      <c r="EO15" s="66"/>
      <c r="EP15" s="66"/>
      <c r="EQ15" s="66"/>
      <c r="ER15" s="66"/>
      <c r="ES15" s="66"/>
      <c r="ET15" s="66"/>
      <c r="EU15" s="66"/>
      <c r="EV15" s="66"/>
      <c r="EW15" s="66"/>
      <c r="EX15" s="66"/>
      <c r="EY15" s="66"/>
      <c r="EZ15" s="66"/>
      <c r="FA15" s="66"/>
      <c r="FB15" s="66"/>
      <c r="FC15" s="66"/>
      <c r="FD15" s="66"/>
      <c r="FE15" s="66"/>
      <c r="FF15" s="66"/>
      <c r="FG15" s="66"/>
      <c r="FH15" s="66"/>
      <c r="FI15" s="66"/>
      <c r="FJ15" s="66"/>
      <c r="FK15" s="66"/>
      <c r="FL15" s="66"/>
      <c r="FM15" s="66"/>
      <c r="FN15" s="66"/>
      <c r="FO15" s="66"/>
      <c r="FP15" s="66"/>
      <c r="FQ15" s="66"/>
      <c r="FR15" s="66"/>
      <c r="FS15" s="66"/>
      <c r="FT15" s="66"/>
      <c r="FU15" s="66"/>
      <c r="FV15" s="66"/>
      <c r="FW15" s="66"/>
      <c r="FX15" s="66"/>
      <c r="FY15" s="66"/>
      <c r="FZ15" s="66"/>
      <c r="GA15" s="66"/>
      <c r="GB15" s="66"/>
      <c r="GC15" s="66"/>
      <c r="GD15" s="66"/>
      <c r="GE15" s="66"/>
      <c r="GF15" s="66"/>
      <c r="GG15" s="66"/>
      <c r="GH15" s="66"/>
      <c r="GI15" s="66"/>
      <c r="GJ15" s="66"/>
      <c r="GK15" s="66"/>
      <c r="GL15" s="66"/>
      <c r="GM15" s="66"/>
      <c r="GN15" s="66"/>
      <c r="GO15" s="66"/>
      <c r="GP15" s="66"/>
      <c r="GQ15" s="66"/>
      <c r="GR15" s="66"/>
      <c r="GS15" s="66"/>
      <c r="GT15" s="66"/>
      <c r="GU15" s="66"/>
      <c r="GV15" s="66"/>
      <c r="GW15" s="66"/>
      <c r="GX15" s="66"/>
      <c r="GY15" s="66"/>
      <c r="GZ15" s="66"/>
      <c r="HA15" s="66"/>
      <c r="HB15" s="66"/>
      <c r="HC15" s="66"/>
      <c r="HD15" s="66"/>
      <c r="HE15" s="66"/>
      <c r="HF15" s="66"/>
      <c r="HG15" s="66"/>
      <c r="HH15" s="66"/>
      <c r="HI15" s="66"/>
      <c r="HJ15" s="66"/>
      <c r="HK15" s="66"/>
      <c r="HL15" s="66"/>
      <c r="HM15" s="66"/>
      <c r="HN15" s="66"/>
      <c r="HO15" s="66"/>
      <c r="HP15" s="66"/>
      <c r="HQ15" s="66"/>
      <c r="HR15" s="66"/>
      <c r="HS15" s="66"/>
      <c r="HT15" s="66"/>
      <c r="HU15" s="66"/>
      <c r="HV15" s="66"/>
      <c r="HW15" s="66"/>
      <c r="HX15" s="66"/>
      <c r="HY15" s="66"/>
      <c r="HZ15" s="66"/>
      <c r="IA15" s="66"/>
      <c r="IB15" s="66"/>
      <c r="IC15" s="66"/>
      <c r="ID15" s="66"/>
      <c r="IE15" s="66"/>
      <c r="IF15" s="66"/>
      <c r="IG15" s="66"/>
      <c r="IH15" s="66"/>
      <c r="II15" s="66"/>
      <c r="IJ15" s="66"/>
      <c r="IK15" s="66"/>
      <c r="IL15" s="66"/>
      <c r="IM15" s="66"/>
      <c r="IN15" s="66"/>
      <c r="IO15" s="66"/>
      <c r="IP15" s="66"/>
      <c r="IQ15" s="66"/>
      <c r="IR15" s="66"/>
      <c r="IS15" s="66"/>
      <c r="IT15" s="66"/>
      <c r="IU15" s="66"/>
      <c r="IV15" s="66"/>
    </row>
    <row r="16" spans="1:256" s="111" customFormat="1" ht="18" hidden="1" customHeight="1" thickBot="1">
      <c r="A16" s="66"/>
      <c r="B16" s="67" t="s">
        <v>141</v>
      </c>
      <c r="C16" s="67"/>
      <c r="D16" s="65"/>
      <c r="E16" s="66"/>
      <c r="F16" s="65"/>
      <c r="G16" s="66"/>
      <c r="H16" s="66"/>
      <c r="I16" s="66"/>
      <c r="J16" s="66"/>
      <c r="K16" s="65"/>
      <c r="L16" s="66"/>
      <c r="M16" s="66"/>
      <c r="N16" s="66"/>
      <c r="O16" s="66"/>
      <c r="P16" s="66"/>
      <c r="Q16" s="66"/>
      <c r="R16" s="66"/>
      <c r="S16" s="66"/>
      <c r="T16" s="66"/>
      <c r="U16" s="66"/>
      <c r="V16" s="66"/>
      <c r="W16" s="66"/>
      <c r="X16" s="66"/>
      <c r="Y16" s="66"/>
      <c r="Z16" s="66"/>
      <c r="AA16" s="66"/>
      <c r="AB16" s="66"/>
      <c r="AC16" s="66"/>
      <c r="AD16" s="66"/>
      <c r="AE16" s="66"/>
      <c r="AF16" s="66"/>
      <c r="AG16" s="66"/>
      <c r="AH16" s="66"/>
      <c r="AI16" s="66"/>
      <c r="AJ16" s="66"/>
      <c r="AK16" s="66"/>
      <c r="AL16" s="66"/>
      <c r="AM16" s="66"/>
      <c r="AN16" s="66"/>
      <c r="AO16" s="66"/>
      <c r="AP16" s="66"/>
      <c r="AQ16" s="66"/>
      <c r="AR16" s="66"/>
      <c r="AS16" s="66"/>
      <c r="AT16" s="66"/>
      <c r="AU16" s="66"/>
      <c r="AV16" s="66"/>
      <c r="AW16" s="66"/>
      <c r="AX16" s="66"/>
      <c r="AY16" s="66"/>
      <c r="AZ16" s="66"/>
      <c r="BA16" s="66"/>
      <c r="BB16" s="66"/>
      <c r="BC16" s="66"/>
      <c r="BD16" s="66"/>
      <c r="BE16" s="66"/>
      <c r="BF16" s="66"/>
      <c r="BG16" s="66"/>
      <c r="BH16" s="66"/>
      <c r="BI16" s="66"/>
      <c r="BJ16" s="66"/>
      <c r="BK16" s="66"/>
      <c r="BL16" s="66"/>
      <c r="BM16" s="66"/>
      <c r="BN16" s="66"/>
      <c r="BO16" s="66"/>
      <c r="BP16" s="66"/>
      <c r="BQ16" s="66"/>
      <c r="BR16" s="66"/>
      <c r="BS16" s="66"/>
      <c r="BT16" s="66"/>
      <c r="BU16" s="66"/>
      <c r="BV16" s="66"/>
      <c r="BW16" s="66"/>
      <c r="BX16" s="66"/>
      <c r="BY16" s="66"/>
      <c r="BZ16" s="66"/>
      <c r="CA16" s="66"/>
      <c r="CB16" s="66"/>
      <c r="CC16" s="66"/>
      <c r="CD16" s="66"/>
      <c r="CE16" s="66"/>
      <c r="CF16" s="66"/>
      <c r="CG16" s="66"/>
      <c r="CH16" s="66"/>
      <c r="CI16" s="66"/>
      <c r="CJ16" s="66"/>
      <c r="CK16" s="66"/>
      <c r="CL16" s="66"/>
      <c r="CM16" s="66"/>
      <c r="CN16" s="66"/>
      <c r="CO16" s="66"/>
      <c r="CP16" s="66"/>
      <c r="CQ16" s="66"/>
      <c r="CR16" s="66"/>
      <c r="CS16" s="66"/>
      <c r="CT16" s="66"/>
      <c r="CU16" s="66"/>
      <c r="CV16" s="66"/>
      <c r="CW16" s="66"/>
      <c r="CX16" s="66"/>
      <c r="CY16" s="66"/>
      <c r="CZ16" s="66"/>
      <c r="DA16" s="66"/>
      <c r="DB16" s="66"/>
      <c r="DC16" s="66"/>
      <c r="DD16" s="66"/>
      <c r="DE16" s="66"/>
      <c r="DF16" s="66"/>
      <c r="DG16" s="66"/>
      <c r="DH16" s="66"/>
      <c r="DI16" s="66"/>
      <c r="DJ16" s="66"/>
      <c r="DK16" s="66"/>
      <c r="DL16" s="66"/>
      <c r="DM16" s="66"/>
      <c r="DN16" s="66"/>
      <c r="DO16" s="66"/>
      <c r="DP16" s="66"/>
      <c r="DQ16" s="66"/>
      <c r="DR16" s="66"/>
      <c r="DS16" s="66"/>
      <c r="DT16" s="66"/>
      <c r="DU16" s="66"/>
      <c r="DV16" s="66"/>
      <c r="DW16" s="66"/>
      <c r="DX16" s="66"/>
      <c r="DY16" s="66"/>
      <c r="DZ16" s="66"/>
      <c r="EA16" s="66"/>
      <c r="EB16" s="66"/>
      <c r="EC16" s="66"/>
      <c r="ED16" s="66"/>
      <c r="EE16" s="66"/>
      <c r="EF16" s="66"/>
      <c r="EG16" s="66"/>
      <c r="EH16" s="66"/>
      <c r="EI16" s="66"/>
      <c r="EJ16" s="66"/>
      <c r="EK16" s="66"/>
      <c r="EL16" s="66"/>
      <c r="EM16" s="66"/>
      <c r="EN16" s="66"/>
      <c r="EO16" s="66"/>
      <c r="EP16" s="66"/>
      <c r="EQ16" s="66"/>
      <c r="ER16" s="66"/>
      <c r="ES16" s="66"/>
      <c r="ET16" s="66"/>
      <c r="EU16" s="66"/>
      <c r="EV16" s="66"/>
      <c r="EW16" s="66"/>
      <c r="EX16" s="66"/>
      <c r="EY16" s="66"/>
      <c r="EZ16" s="66"/>
      <c r="FA16" s="66"/>
      <c r="FB16" s="66"/>
      <c r="FC16" s="66"/>
      <c r="FD16" s="66"/>
      <c r="FE16" s="66"/>
      <c r="FF16" s="66"/>
      <c r="FG16" s="66"/>
      <c r="FH16" s="66"/>
      <c r="FI16" s="66"/>
      <c r="FJ16" s="66"/>
      <c r="FK16" s="66"/>
      <c r="FL16" s="66"/>
      <c r="FM16" s="66"/>
      <c r="FN16" s="66"/>
      <c r="FO16" s="66"/>
      <c r="FP16" s="66"/>
      <c r="FQ16" s="66"/>
      <c r="FR16" s="66"/>
      <c r="FS16" s="66"/>
      <c r="FT16" s="66"/>
      <c r="FU16" s="66"/>
      <c r="FV16" s="66"/>
      <c r="FW16" s="66"/>
      <c r="FX16" s="66"/>
      <c r="FY16" s="66"/>
      <c r="FZ16" s="66"/>
      <c r="GA16" s="66"/>
      <c r="GB16" s="66"/>
      <c r="GC16" s="66"/>
      <c r="GD16" s="66"/>
      <c r="GE16" s="66"/>
      <c r="GF16" s="66"/>
      <c r="GG16" s="66"/>
      <c r="GH16" s="66"/>
      <c r="GI16" s="66"/>
      <c r="GJ16" s="66"/>
      <c r="GK16" s="66"/>
      <c r="GL16" s="66"/>
      <c r="GM16" s="66"/>
      <c r="GN16" s="66"/>
      <c r="GO16" s="66"/>
      <c r="GP16" s="66"/>
      <c r="GQ16" s="66"/>
      <c r="GR16" s="66"/>
      <c r="GS16" s="66"/>
      <c r="GT16" s="66"/>
      <c r="GU16" s="66"/>
      <c r="GV16" s="66"/>
      <c r="GW16" s="66"/>
      <c r="GX16" s="66"/>
      <c r="GY16" s="66"/>
      <c r="GZ16" s="66"/>
      <c r="HA16" s="66"/>
      <c r="HB16" s="66"/>
      <c r="HC16" s="66"/>
      <c r="HD16" s="66"/>
      <c r="HE16" s="66"/>
      <c r="HF16" s="66"/>
      <c r="HG16" s="66"/>
      <c r="HH16" s="66"/>
      <c r="HI16" s="66"/>
      <c r="HJ16" s="66"/>
      <c r="HK16" s="66"/>
      <c r="HL16" s="66"/>
      <c r="HM16" s="66"/>
      <c r="HN16" s="66"/>
      <c r="HO16" s="66"/>
      <c r="HP16" s="66"/>
      <c r="HQ16" s="66"/>
      <c r="HR16" s="66"/>
      <c r="HS16" s="66"/>
      <c r="HT16" s="66"/>
      <c r="HU16" s="66"/>
      <c r="HV16" s="66"/>
      <c r="HW16" s="66"/>
      <c r="HX16" s="66"/>
      <c r="HY16" s="66"/>
      <c r="HZ16" s="66"/>
      <c r="IA16" s="66"/>
      <c r="IB16" s="66"/>
      <c r="IC16" s="66"/>
      <c r="ID16" s="66"/>
      <c r="IE16" s="66"/>
      <c r="IF16" s="66"/>
      <c r="IG16" s="66"/>
      <c r="IH16" s="66"/>
      <c r="II16" s="66"/>
      <c r="IJ16" s="66"/>
      <c r="IK16" s="66"/>
      <c r="IL16" s="66"/>
      <c r="IM16" s="66"/>
      <c r="IN16" s="66"/>
      <c r="IO16" s="66"/>
      <c r="IP16" s="66"/>
      <c r="IQ16" s="66"/>
      <c r="IR16" s="66"/>
      <c r="IS16" s="66"/>
      <c r="IT16" s="66"/>
      <c r="IU16" s="66"/>
      <c r="IV16" s="66"/>
    </row>
    <row r="17" spans="1:256" s="111" customFormat="1" ht="18" hidden="1" customHeight="1">
      <c r="A17" s="66"/>
      <c r="B17" s="1288" t="s">
        <v>119</v>
      </c>
      <c r="C17" s="1289"/>
      <c r="D17" s="1198" t="s">
        <v>120</v>
      </c>
      <c r="E17" s="1199"/>
      <c r="F17" s="1199"/>
      <c r="G17" s="1199"/>
      <c r="H17" s="1199"/>
      <c r="I17" s="1199"/>
      <c r="J17" s="1289"/>
      <c r="K17" s="1199" t="s">
        <v>142</v>
      </c>
      <c r="L17" s="1199"/>
      <c r="M17" s="1199"/>
      <c r="N17" s="1199"/>
      <c r="O17" s="1199"/>
      <c r="P17" s="1200"/>
      <c r="Q17" s="66"/>
      <c r="R17" s="66"/>
      <c r="S17" s="66"/>
      <c r="T17" s="66"/>
      <c r="U17" s="66"/>
      <c r="V17" s="66"/>
      <c r="W17" s="66"/>
      <c r="X17" s="66"/>
      <c r="Y17" s="66"/>
      <c r="Z17" s="66"/>
      <c r="AA17" s="66"/>
      <c r="AB17" s="66"/>
      <c r="AC17" s="66"/>
      <c r="AD17" s="66"/>
      <c r="AE17" s="66"/>
      <c r="AF17" s="66"/>
      <c r="AG17" s="66"/>
      <c r="AH17" s="66"/>
      <c r="AI17" s="66"/>
      <c r="AJ17" s="66"/>
      <c r="AK17" s="66"/>
      <c r="AL17" s="66"/>
      <c r="AM17" s="66"/>
      <c r="AN17" s="66"/>
      <c r="AO17" s="66"/>
      <c r="AP17" s="66"/>
      <c r="AQ17" s="66"/>
      <c r="AR17" s="66"/>
      <c r="AS17" s="66"/>
      <c r="AT17" s="66"/>
      <c r="AU17" s="66"/>
      <c r="AV17" s="66"/>
      <c r="AW17" s="66"/>
      <c r="AX17" s="66"/>
      <c r="AY17" s="66"/>
      <c r="AZ17" s="66"/>
      <c r="BA17" s="66"/>
      <c r="BB17" s="66"/>
      <c r="BC17" s="66"/>
      <c r="BD17" s="66"/>
      <c r="BE17" s="66"/>
      <c r="BF17" s="66"/>
      <c r="BG17" s="66"/>
      <c r="BH17" s="66"/>
      <c r="BI17" s="66"/>
      <c r="BJ17" s="66"/>
      <c r="BK17" s="66"/>
      <c r="BL17" s="66"/>
      <c r="BM17" s="66"/>
      <c r="BN17" s="66"/>
      <c r="BO17" s="66"/>
      <c r="BP17" s="66"/>
      <c r="BQ17" s="66"/>
      <c r="BR17" s="66"/>
      <c r="BS17" s="66"/>
      <c r="BT17" s="66"/>
      <c r="BU17" s="66"/>
      <c r="BV17" s="66"/>
      <c r="BW17" s="66"/>
      <c r="BX17" s="66"/>
      <c r="BY17" s="66"/>
      <c r="BZ17" s="66"/>
      <c r="CA17" s="66"/>
      <c r="CB17" s="66"/>
      <c r="CC17" s="66"/>
      <c r="CD17" s="66"/>
      <c r="CE17" s="66"/>
      <c r="CF17" s="66"/>
      <c r="CG17" s="66"/>
      <c r="CH17" s="66"/>
      <c r="CI17" s="66"/>
      <c r="CJ17" s="66"/>
      <c r="CK17" s="66"/>
      <c r="CL17" s="66"/>
      <c r="CM17" s="66"/>
      <c r="CN17" s="66"/>
      <c r="CO17" s="66"/>
      <c r="CP17" s="66"/>
      <c r="CQ17" s="66"/>
      <c r="CR17" s="66"/>
      <c r="CS17" s="66"/>
      <c r="CT17" s="66"/>
      <c r="CU17" s="66"/>
      <c r="CV17" s="66"/>
      <c r="CW17" s="66"/>
      <c r="CX17" s="66"/>
      <c r="CY17" s="66"/>
      <c r="CZ17" s="66"/>
      <c r="DA17" s="66"/>
      <c r="DB17" s="66"/>
      <c r="DC17" s="66"/>
      <c r="DD17" s="66"/>
      <c r="DE17" s="66"/>
      <c r="DF17" s="66"/>
      <c r="DG17" s="66"/>
      <c r="DH17" s="66"/>
      <c r="DI17" s="66"/>
      <c r="DJ17" s="66"/>
      <c r="DK17" s="66"/>
      <c r="DL17" s="66"/>
      <c r="DM17" s="66"/>
      <c r="DN17" s="66"/>
      <c r="DO17" s="66"/>
      <c r="DP17" s="66"/>
      <c r="DQ17" s="66"/>
      <c r="DR17" s="66"/>
      <c r="DS17" s="66"/>
      <c r="DT17" s="66"/>
      <c r="DU17" s="66"/>
      <c r="DV17" s="66"/>
      <c r="DW17" s="66"/>
      <c r="DX17" s="66"/>
      <c r="DY17" s="66"/>
      <c r="DZ17" s="66"/>
      <c r="EA17" s="66"/>
      <c r="EB17" s="66"/>
      <c r="EC17" s="66"/>
      <c r="ED17" s="66"/>
      <c r="EE17" s="66"/>
      <c r="EF17" s="66"/>
      <c r="EG17" s="66"/>
      <c r="EH17" s="66"/>
      <c r="EI17" s="66"/>
      <c r="EJ17" s="66"/>
      <c r="EK17" s="66"/>
      <c r="EL17" s="66"/>
      <c r="EM17" s="66"/>
      <c r="EN17" s="66"/>
      <c r="EO17" s="66"/>
      <c r="EP17" s="66"/>
      <c r="EQ17" s="66"/>
      <c r="ER17" s="66"/>
      <c r="ES17" s="66"/>
      <c r="ET17" s="66"/>
      <c r="EU17" s="66"/>
      <c r="EV17" s="66"/>
      <c r="EW17" s="66"/>
      <c r="EX17" s="66"/>
      <c r="EY17" s="66"/>
      <c r="EZ17" s="66"/>
      <c r="FA17" s="66"/>
      <c r="FB17" s="66"/>
      <c r="FC17" s="66"/>
      <c r="FD17" s="66"/>
      <c r="FE17" s="66"/>
      <c r="FF17" s="66"/>
      <c r="FG17" s="66"/>
      <c r="FH17" s="66"/>
      <c r="FI17" s="66"/>
      <c r="FJ17" s="66"/>
      <c r="FK17" s="66"/>
      <c r="FL17" s="66"/>
      <c r="FM17" s="66"/>
      <c r="FN17" s="66"/>
      <c r="FO17" s="66"/>
      <c r="FP17" s="66"/>
      <c r="FQ17" s="66"/>
      <c r="FR17" s="66"/>
      <c r="FS17" s="66"/>
      <c r="FT17" s="66"/>
      <c r="FU17" s="66"/>
      <c r="FV17" s="66"/>
      <c r="FW17" s="66"/>
      <c r="FX17" s="66"/>
      <c r="FY17" s="66"/>
      <c r="FZ17" s="66"/>
      <c r="GA17" s="66"/>
      <c r="GB17" s="66"/>
      <c r="GC17" s="66"/>
      <c r="GD17" s="66"/>
      <c r="GE17" s="66"/>
      <c r="GF17" s="66"/>
      <c r="GG17" s="66"/>
      <c r="GH17" s="66"/>
      <c r="GI17" s="66"/>
      <c r="GJ17" s="66"/>
      <c r="GK17" s="66"/>
      <c r="GL17" s="66"/>
      <c r="GM17" s="66"/>
      <c r="GN17" s="66"/>
      <c r="GO17" s="66"/>
      <c r="GP17" s="66"/>
      <c r="GQ17" s="66"/>
      <c r="GR17" s="66"/>
      <c r="GS17" s="66"/>
      <c r="GT17" s="66"/>
      <c r="GU17" s="66"/>
      <c r="GV17" s="66"/>
      <c r="GW17" s="66"/>
      <c r="GX17" s="66"/>
      <c r="GY17" s="66"/>
      <c r="GZ17" s="66"/>
      <c r="HA17" s="66"/>
      <c r="HB17" s="66"/>
      <c r="HC17" s="66"/>
      <c r="HD17" s="66"/>
      <c r="HE17" s="66"/>
      <c r="HF17" s="66"/>
      <c r="HG17" s="66"/>
      <c r="HH17" s="66"/>
      <c r="HI17" s="66"/>
      <c r="HJ17" s="66"/>
      <c r="HK17" s="66"/>
      <c r="HL17" s="66"/>
      <c r="HM17" s="66"/>
      <c r="HN17" s="66"/>
      <c r="HO17" s="66"/>
      <c r="HP17" s="66"/>
      <c r="HQ17" s="66"/>
      <c r="HR17" s="66"/>
      <c r="HS17" s="66"/>
      <c r="HT17" s="66"/>
      <c r="HU17" s="66"/>
      <c r="HV17" s="66"/>
      <c r="HW17" s="66"/>
      <c r="HX17" s="66"/>
      <c r="HY17" s="66"/>
      <c r="HZ17" s="66"/>
      <c r="IA17" s="66"/>
      <c r="IB17" s="66"/>
      <c r="IC17" s="66"/>
      <c r="ID17" s="66"/>
      <c r="IE17" s="66"/>
      <c r="IF17" s="66"/>
      <c r="IG17" s="66"/>
      <c r="IH17" s="66"/>
      <c r="II17" s="66"/>
      <c r="IJ17" s="66"/>
      <c r="IK17" s="66"/>
      <c r="IL17" s="66"/>
      <c r="IM17" s="66"/>
      <c r="IN17" s="66"/>
      <c r="IO17" s="66"/>
      <c r="IP17" s="66"/>
      <c r="IQ17" s="66"/>
      <c r="IR17" s="66"/>
      <c r="IS17" s="66"/>
      <c r="IT17" s="66"/>
      <c r="IU17" s="66"/>
      <c r="IV17" s="66"/>
    </row>
    <row r="18" spans="1:256" s="111" customFormat="1" ht="18" hidden="1" customHeight="1">
      <c r="A18" s="66"/>
      <c r="B18" s="1512" t="s">
        <v>143</v>
      </c>
      <c r="C18" s="1734"/>
      <c r="D18" s="484" t="s">
        <v>144</v>
      </c>
      <c r="E18" s="484" t="s">
        <v>145</v>
      </c>
      <c r="F18" s="484" t="s">
        <v>146</v>
      </c>
      <c r="G18" s="484" t="s">
        <v>147</v>
      </c>
      <c r="H18" s="484" t="s">
        <v>148</v>
      </c>
      <c r="I18" s="484" t="s">
        <v>149</v>
      </c>
      <c r="J18" s="484" t="s">
        <v>150</v>
      </c>
      <c r="K18" s="2302" t="s">
        <v>151</v>
      </c>
      <c r="L18" s="1734"/>
      <c r="M18" s="484" t="s">
        <v>152</v>
      </c>
      <c r="N18" s="484" t="s">
        <v>153</v>
      </c>
      <c r="O18" s="484" t="s">
        <v>154</v>
      </c>
      <c r="P18" s="140" t="s">
        <v>155</v>
      </c>
      <c r="Q18" s="66"/>
      <c r="R18" s="66"/>
      <c r="S18" s="66"/>
      <c r="T18" s="66"/>
      <c r="U18" s="66"/>
      <c r="V18" s="66"/>
      <c r="W18" s="66"/>
      <c r="X18" s="66"/>
      <c r="Y18" s="66"/>
      <c r="Z18" s="66"/>
      <c r="AA18" s="66"/>
      <c r="AB18" s="66"/>
      <c r="AC18" s="66"/>
      <c r="AD18" s="66"/>
      <c r="AE18" s="66"/>
      <c r="AF18" s="66"/>
      <c r="AG18" s="66"/>
      <c r="AH18" s="66"/>
      <c r="AI18" s="66"/>
      <c r="AJ18" s="66"/>
      <c r="AK18" s="66"/>
      <c r="AL18" s="66"/>
      <c r="AM18" s="66"/>
      <c r="AN18" s="66"/>
      <c r="AO18" s="66"/>
      <c r="AP18" s="66"/>
      <c r="AQ18" s="66"/>
      <c r="AR18" s="66"/>
      <c r="AS18" s="66"/>
      <c r="AT18" s="66"/>
      <c r="AU18" s="66"/>
      <c r="AV18" s="66"/>
      <c r="AW18" s="66"/>
      <c r="AX18" s="66"/>
      <c r="AY18" s="66"/>
      <c r="AZ18" s="66"/>
      <c r="BA18" s="66"/>
      <c r="BB18" s="66"/>
      <c r="BC18" s="66"/>
      <c r="BD18" s="66"/>
      <c r="BE18" s="66"/>
      <c r="BF18" s="66"/>
      <c r="BG18" s="66"/>
      <c r="BH18" s="66"/>
      <c r="BI18" s="66"/>
      <c r="BJ18" s="66"/>
      <c r="BK18" s="66"/>
      <c r="BL18" s="66"/>
      <c r="BM18" s="66"/>
      <c r="BN18" s="66"/>
      <c r="BO18" s="66"/>
      <c r="BP18" s="66"/>
      <c r="BQ18" s="66"/>
      <c r="BR18" s="66"/>
      <c r="BS18" s="66"/>
      <c r="BT18" s="66"/>
      <c r="BU18" s="66"/>
      <c r="BV18" s="66"/>
      <c r="BW18" s="66"/>
      <c r="BX18" s="66"/>
      <c r="BY18" s="66"/>
      <c r="BZ18" s="66"/>
      <c r="CA18" s="66"/>
      <c r="CB18" s="66"/>
      <c r="CC18" s="66"/>
      <c r="CD18" s="66"/>
      <c r="CE18" s="66"/>
      <c r="CF18" s="66"/>
      <c r="CG18" s="66"/>
      <c r="CH18" s="66"/>
      <c r="CI18" s="66"/>
      <c r="CJ18" s="66"/>
      <c r="CK18" s="66"/>
      <c r="CL18" s="66"/>
      <c r="CM18" s="66"/>
      <c r="CN18" s="66"/>
      <c r="CO18" s="66"/>
      <c r="CP18" s="66"/>
      <c r="CQ18" s="66"/>
      <c r="CR18" s="66"/>
      <c r="CS18" s="66"/>
      <c r="CT18" s="66"/>
      <c r="CU18" s="66"/>
      <c r="CV18" s="66"/>
      <c r="CW18" s="66"/>
      <c r="CX18" s="66"/>
      <c r="CY18" s="66"/>
      <c r="CZ18" s="66"/>
      <c r="DA18" s="66"/>
      <c r="DB18" s="66"/>
      <c r="DC18" s="66"/>
      <c r="DD18" s="66"/>
      <c r="DE18" s="66"/>
      <c r="DF18" s="66"/>
      <c r="DG18" s="66"/>
      <c r="DH18" s="66"/>
      <c r="DI18" s="66"/>
      <c r="DJ18" s="66"/>
      <c r="DK18" s="66"/>
      <c r="DL18" s="66"/>
      <c r="DM18" s="66"/>
      <c r="DN18" s="66"/>
      <c r="DO18" s="66"/>
      <c r="DP18" s="66"/>
      <c r="DQ18" s="66"/>
      <c r="DR18" s="66"/>
      <c r="DS18" s="66"/>
      <c r="DT18" s="66"/>
      <c r="DU18" s="66"/>
      <c r="DV18" s="66"/>
      <c r="DW18" s="66"/>
      <c r="DX18" s="66"/>
      <c r="DY18" s="66"/>
      <c r="DZ18" s="66"/>
      <c r="EA18" s="66"/>
      <c r="EB18" s="66"/>
      <c r="EC18" s="66"/>
      <c r="ED18" s="66"/>
      <c r="EE18" s="66"/>
      <c r="EF18" s="66"/>
      <c r="EG18" s="66"/>
      <c r="EH18" s="66"/>
      <c r="EI18" s="66"/>
      <c r="EJ18" s="66"/>
      <c r="EK18" s="66"/>
      <c r="EL18" s="66"/>
      <c r="EM18" s="66"/>
      <c r="EN18" s="66"/>
      <c r="EO18" s="66"/>
      <c r="EP18" s="66"/>
      <c r="EQ18" s="66"/>
      <c r="ER18" s="66"/>
      <c r="ES18" s="66"/>
      <c r="ET18" s="66"/>
      <c r="EU18" s="66"/>
      <c r="EV18" s="66"/>
      <c r="EW18" s="66"/>
      <c r="EX18" s="66"/>
      <c r="EY18" s="66"/>
      <c r="EZ18" s="66"/>
      <c r="FA18" s="66"/>
      <c r="FB18" s="66"/>
      <c r="FC18" s="66"/>
      <c r="FD18" s="66"/>
      <c r="FE18" s="66"/>
      <c r="FF18" s="66"/>
      <c r="FG18" s="66"/>
      <c r="FH18" s="66"/>
      <c r="FI18" s="66"/>
      <c r="FJ18" s="66"/>
      <c r="FK18" s="66"/>
      <c r="FL18" s="66"/>
      <c r="FM18" s="66"/>
      <c r="FN18" s="66"/>
      <c r="FO18" s="66"/>
      <c r="FP18" s="66"/>
      <c r="FQ18" s="66"/>
      <c r="FR18" s="66"/>
      <c r="FS18" s="66"/>
      <c r="FT18" s="66"/>
      <c r="FU18" s="66"/>
      <c r="FV18" s="66"/>
      <c r="FW18" s="66"/>
      <c r="FX18" s="66"/>
      <c r="FY18" s="66"/>
      <c r="FZ18" s="66"/>
      <c r="GA18" s="66"/>
      <c r="GB18" s="66"/>
      <c r="GC18" s="66"/>
      <c r="GD18" s="66"/>
      <c r="GE18" s="66"/>
      <c r="GF18" s="66"/>
      <c r="GG18" s="66"/>
      <c r="GH18" s="66"/>
      <c r="GI18" s="66"/>
      <c r="GJ18" s="66"/>
      <c r="GK18" s="66"/>
      <c r="GL18" s="66"/>
      <c r="GM18" s="66"/>
      <c r="GN18" s="66"/>
      <c r="GO18" s="66"/>
      <c r="GP18" s="66"/>
      <c r="GQ18" s="66"/>
      <c r="GR18" s="66"/>
      <c r="GS18" s="66"/>
      <c r="GT18" s="66"/>
      <c r="GU18" s="66"/>
      <c r="GV18" s="66"/>
      <c r="GW18" s="66"/>
      <c r="GX18" s="66"/>
      <c r="GY18" s="66"/>
      <c r="GZ18" s="66"/>
      <c r="HA18" s="66"/>
      <c r="HB18" s="66"/>
      <c r="HC18" s="66"/>
      <c r="HD18" s="66"/>
      <c r="HE18" s="66"/>
      <c r="HF18" s="66"/>
      <c r="HG18" s="66"/>
      <c r="HH18" s="66"/>
      <c r="HI18" s="66"/>
      <c r="HJ18" s="66"/>
      <c r="HK18" s="66"/>
      <c r="HL18" s="66"/>
      <c r="HM18" s="66"/>
      <c r="HN18" s="66"/>
      <c r="HO18" s="66"/>
      <c r="HP18" s="66"/>
      <c r="HQ18" s="66"/>
      <c r="HR18" s="66"/>
      <c r="HS18" s="66"/>
      <c r="HT18" s="66"/>
      <c r="HU18" s="66"/>
      <c r="HV18" s="66"/>
      <c r="HW18" s="66"/>
      <c r="HX18" s="66"/>
      <c r="HY18" s="66"/>
      <c r="HZ18" s="66"/>
      <c r="IA18" s="66"/>
      <c r="IB18" s="66"/>
      <c r="IC18" s="66"/>
      <c r="ID18" s="66"/>
      <c r="IE18" s="66"/>
      <c r="IF18" s="66"/>
      <c r="IG18" s="66"/>
      <c r="IH18" s="66"/>
      <c r="II18" s="66"/>
      <c r="IJ18" s="66"/>
      <c r="IK18" s="66"/>
      <c r="IL18" s="66"/>
      <c r="IM18" s="66"/>
      <c r="IN18" s="66"/>
      <c r="IO18" s="66"/>
      <c r="IP18" s="66"/>
      <c r="IQ18" s="66"/>
      <c r="IR18" s="66"/>
      <c r="IS18" s="66"/>
      <c r="IT18" s="66"/>
      <c r="IU18" s="66"/>
      <c r="IV18" s="66"/>
    </row>
    <row r="19" spans="1:256" s="111" customFormat="1" ht="18" hidden="1" customHeight="1">
      <c r="A19" s="66"/>
      <c r="B19" s="1454" t="s">
        <v>156</v>
      </c>
      <c r="C19" s="1455"/>
      <c r="D19" s="484" t="s">
        <v>157</v>
      </c>
      <c r="E19" s="484" t="s">
        <v>158</v>
      </c>
      <c r="F19" s="484" t="s">
        <v>4</v>
      </c>
      <c r="G19" s="484" t="s">
        <v>5</v>
      </c>
      <c r="H19" s="484" t="s">
        <v>6</v>
      </c>
      <c r="I19" s="484" t="s">
        <v>26</v>
      </c>
      <c r="J19" s="484" t="s">
        <v>27</v>
      </c>
      <c r="K19" s="2302" t="s">
        <v>159</v>
      </c>
      <c r="L19" s="1734"/>
      <c r="M19" s="484" t="s">
        <v>160</v>
      </c>
      <c r="N19" s="484" t="s">
        <v>161</v>
      </c>
      <c r="O19" s="484" t="s">
        <v>162</v>
      </c>
      <c r="P19" s="140" t="s">
        <v>163</v>
      </c>
      <c r="Q19" s="66"/>
      <c r="R19" s="66"/>
      <c r="S19" s="66"/>
      <c r="T19" s="66"/>
      <c r="U19" s="66"/>
      <c r="V19" s="66"/>
      <c r="W19" s="66"/>
      <c r="X19" s="66"/>
      <c r="Y19" s="66"/>
      <c r="Z19" s="66"/>
      <c r="AA19" s="66"/>
      <c r="AB19" s="66"/>
      <c r="AC19" s="66"/>
      <c r="AD19" s="66"/>
      <c r="AE19" s="66"/>
      <c r="AF19" s="66"/>
      <c r="AG19" s="66"/>
      <c r="AH19" s="66"/>
      <c r="AI19" s="66"/>
      <c r="AJ19" s="66"/>
      <c r="AK19" s="66"/>
      <c r="AL19" s="66"/>
      <c r="AM19" s="66"/>
      <c r="AN19" s="66"/>
      <c r="AO19" s="66"/>
      <c r="AP19" s="66"/>
      <c r="AQ19" s="66"/>
      <c r="AR19" s="66"/>
      <c r="AS19" s="66"/>
      <c r="AT19" s="66"/>
      <c r="AU19" s="66"/>
      <c r="AV19" s="66"/>
      <c r="AW19" s="66"/>
      <c r="AX19" s="66"/>
      <c r="AY19" s="66"/>
      <c r="AZ19" s="66"/>
      <c r="BA19" s="66"/>
      <c r="BB19" s="66"/>
      <c r="BC19" s="66"/>
      <c r="BD19" s="66"/>
      <c r="BE19" s="66"/>
      <c r="BF19" s="66"/>
      <c r="BG19" s="66"/>
      <c r="BH19" s="66"/>
      <c r="BI19" s="66"/>
      <c r="BJ19" s="66"/>
      <c r="BK19" s="66"/>
      <c r="BL19" s="66"/>
      <c r="BM19" s="66"/>
      <c r="BN19" s="66"/>
      <c r="BO19" s="66"/>
      <c r="BP19" s="66"/>
      <c r="BQ19" s="66"/>
      <c r="BR19" s="66"/>
      <c r="BS19" s="66"/>
      <c r="BT19" s="66"/>
      <c r="BU19" s="66"/>
      <c r="BV19" s="66"/>
      <c r="BW19" s="66"/>
      <c r="BX19" s="66"/>
      <c r="BY19" s="66"/>
      <c r="BZ19" s="66"/>
      <c r="CA19" s="66"/>
      <c r="CB19" s="66"/>
      <c r="CC19" s="66"/>
      <c r="CD19" s="66"/>
      <c r="CE19" s="66"/>
      <c r="CF19" s="66"/>
      <c r="CG19" s="66"/>
      <c r="CH19" s="66"/>
      <c r="CI19" s="66"/>
      <c r="CJ19" s="66"/>
      <c r="CK19" s="66"/>
      <c r="CL19" s="66"/>
      <c r="CM19" s="66"/>
      <c r="CN19" s="66"/>
      <c r="CO19" s="66"/>
      <c r="CP19" s="66"/>
      <c r="CQ19" s="66"/>
      <c r="CR19" s="66"/>
      <c r="CS19" s="66"/>
      <c r="CT19" s="66"/>
      <c r="CU19" s="66"/>
      <c r="CV19" s="66"/>
      <c r="CW19" s="66"/>
      <c r="CX19" s="66"/>
      <c r="CY19" s="66"/>
      <c r="CZ19" s="66"/>
      <c r="DA19" s="66"/>
      <c r="DB19" s="66"/>
      <c r="DC19" s="66"/>
      <c r="DD19" s="66"/>
      <c r="DE19" s="66"/>
      <c r="DF19" s="66"/>
      <c r="DG19" s="66"/>
      <c r="DH19" s="66"/>
      <c r="DI19" s="66"/>
      <c r="DJ19" s="66"/>
      <c r="DK19" s="66"/>
      <c r="DL19" s="66"/>
      <c r="DM19" s="66"/>
      <c r="DN19" s="66"/>
      <c r="DO19" s="66"/>
      <c r="DP19" s="66"/>
      <c r="DQ19" s="66"/>
      <c r="DR19" s="66"/>
      <c r="DS19" s="66"/>
      <c r="DT19" s="66"/>
      <c r="DU19" s="66"/>
      <c r="DV19" s="66"/>
      <c r="DW19" s="66"/>
      <c r="DX19" s="66"/>
      <c r="DY19" s="66"/>
      <c r="DZ19" s="66"/>
      <c r="EA19" s="66"/>
      <c r="EB19" s="66"/>
      <c r="EC19" s="66"/>
      <c r="ED19" s="66"/>
      <c r="EE19" s="66"/>
      <c r="EF19" s="66"/>
      <c r="EG19" s="66"/>
      <c r="EH19" s="66"/>
      <c r="EI19" s="66"/>
      <c r="EJ19" s="66"/>
      <c r="EK19" s="66"/>
      <c r="EL19" s="66"/>
      <c r="EM19" s="66"/>
      <c r="EN19" s="66"/>
      <c r="EO19" s="66"/>
      <c r="EP19" s="66"/>
      <c r="EQ19" s="66"/>
      <c r="ER19" s="66"/>
      <c r="ES19" s="66"/>
      <c r="ET19" s="66"/>
      <c r="EU19" s="66"/>
      <c r="EV19" s="66"/>
      <c r="EW19" s="66"/>
      <c r="EX19" s="66"/>
      <c r="EY19" s="66"/>
      <c r="EZ19" s="66"/>
      <c r="FA19" s="66"/>
      <c r="FB19" s="66"/>
      <c r="FC19" s="66"/>
      <c r="FD19" s="66"/>
      <c r="FE19" s="66"/>
      <c r="FF19" s="66"/>
      <c r="FG19" s="66"/>
      <c r="FH19" s="66"/>
      <c r="FI19" s="66"/>
      <c r="FJ19" s="66"/>
      <c r="FK19" s="66"/>
      <c r="FL19" s="66"/>
      <c r="FM19" s="66"/>
      <c r="FN19" s="66"/>
      <c r="FO19" s="66"/>
      <c r="FP19" s="66"/>
      <c r="FQ19" s="66"/>
      <c r="FR19" s="66"/>
      <c r="FS19" s="66"/>
      <c r="FT19" s="66"/>
      <c r="FU19" s="66"/>
      <c r="FV19" s="66"/>
      <c r="FW19" s="66"/>
      <c r="FX19" s="66"/>
      <c r="FY19" s="66"/>
      <c r="FZ19" s="66"/>
      <c r="GA19" s="66"/>
      <c r="GB19" s="66"/>
      <c r="GC19" s="66"/>
      <c r="GD19" s="66"/>
      <c r="GE19" s="66"/>
      <c r="GF19" s="66"/>
      <c r="GG19" s="66"/>
      <c r="GH19" s="66"/>
      <c r="GI19" s="66"/>
      <c r="GJ19" s="66"/>
      <c r="GK19" s="66"/>
      <c r="GL19" s="66"/>
      <c r="GM19" s="66"/>
      <c r="GN19" s="66"/>
      <c r="GO19" s="66"/>
      <c r="GP19" s="66"/>
      <c r="GQ19" s="66"/>
      <c r="GR19" s="66"/>
      <c r="GS19" s="66"/>
      <c r="GT19" s="66"/>
      <c r="GU19" s="66"/>
      <c r="GV19" s="66"/>
      <c r="GW19" s="66"/>
      <c r="GX19" s="66"/>
      <c r="GY19" s="66"/>
      <c r="GZ19" s="66"/>
      <c r="HA19" s="66"/>
      <c r="HB19" s="66"/>
      <c r="HC19" s="66"/>
      <c r="HD19" s="66"/>
      <c r="HE19" s="66"/>
      <c r="HF19" s="66"/>
      <c r="HG19" s="66"/>
      <c r="HH19" s="66"/>
      <c r="HI19" s="66"/>
      <c r="HJ19" s="66"/>
      <c r="HK19" s="66"/>
      <c r="HL19" s="66"/>
      <c r="HM19" s="66"/>
      <c r="HN19" s="66"/>
      <c r="HO19" s="66"/>
      <c r="HP19" s="66"/>
      <c r="HQ19" s="66"/>
      <c r="HR19" s="66"/>
      <c r="HS19" s="66"/>
      <c r="HT19" s="66"/>
      <c r="HU19" s="66"/>
      <c r="HV19" s="66"/>
      <c r="HW19" s="66"/>
      <c r="HX19" s="66"/>
      <c r="HY19" s="66"/>
      <c r="HZ19" s="66"/>
      <c r="IA19" s="66"/>
      <c r="IB19" s="66"/>
      <c r="IC19" s="66"/>
      <c r="ID19" s="66"/>
      <c r="IE19" s="66"/>
      <c r="IF19" s="66"/>
      <c r="IG19" s="66"/>
      <c r="IH19" s="66"/>
      <c r="II19" s="66"/>
      <c r="IJ19" s="66"/>
      <c r="IK19" s="66"/>
      <c r="IL19" s="66"/>
      <c r="IM19" s="66"/>
      <c r="IN19" s="66"/>
      <c r="IO19" s="66"/>
      <c r="IP19" s="66"/>
      <c r="IQ19" s="66"/>
      <c r="IR19" s="66"/>
      <c r="IS19" s="66"/>
      <c r="IT19" s="66"/>
      <c r="IU19" s="66"/>
      <c r="IV19" s="66"/>
    </row>
    <row r="20" spans="1:256" s="111" customFormat="1" ht="18" hidden="1" customHeight="1" thickBot="1">
      <c r="A20" s="66"/>
      <c r="B20" s="1510" t="s">
        <v>164</v>
      </c>
      <c r="C20" s="1511"/>
      <c r="D20" s="2303" t="s">
        <v>165</v>
      </c>
      <c r="E20" s="2304"/>
      <c r="F20" s="2304"/>
      <c r="G20" s="2304"/>
      <c r="H20" s="2304"/>
      <c r="I20" s="2304"/>
      <c r="J20" s="2305"/>
      <c r="K20" s="2306" t="s">
        <v>166</v>
      </c>
      <c r="L20" s="1511"/>
      <c r="M20" s="480" t="s">
        <v>153</v>
      </c>
      <c r="N20" s="480" t="s">
        <v>154</v>
      </c>
      <c r="O20" s="480" t="s">
        <v>155</v>
      </c>
      <c r="P20" s="141" t="s">
        <v>152</v>
      </c>
      <c r="Q20" s="66"/>
      <c r="R20" s="66"/>
      <c r="S20" s="66"/>
      <c r="T20" s="66"/>
      <c r="U20" s="66"/>
      <c r="V20" s="66"/>
      <c r="W20" s="66"/>
      <c r="X20" s="66"/>
      <c r="Y20" s="66"/>
      <c r="Z20" s="66"/>
      <c r="AA20" s="66"/>
      <c r="AB20" s="66"/>
      <c r="AC20" s="66"/>
      <c r="AD20" s="66"/>
      <c r="AE20" s="66"/>
      <c r="AF20" s="66"/>
      <c r="AG20" s="66"/>
      <c r="AH20" s="66"/>
      <c r="AI20" s="66"/>
      <c r="AJ20" s="66"/>
      <c r="AK20" s="66"/>
      <c r="AL20" s="66"/>
      <c r="AM20" s="66"/>
      <c r="AN20" s="66"/>
      <c r="AO20" s="66"/>
      <c r="AP20" s="66"/>
      <c r="AQ20" s="66"/>
      <c r="AR20" s="66"/>
      <c r="AS20" s="66"/>
      <c r="AT20" s="66"/>
      <c r="AU20" s="66"/>
      <c r="AV20" s="66"/>
      <c r="AW20" s="66"/>
      <c r="AX20" s="66"/>
      <c r="AY20" s="66"/>
      <c r="AZ20" s="66"/>
      <c r="BA20" s="66"/>
      <c r="BB20" s="66"/>
      <c r="BC20" s="66"/>
      <c r="BD20" s="66"/>
      <c r="BE20" s="66"/>
      <c r="BF20" s="66"/>
      <c r="BG20" s="66"/>
      <c r="BH20" s="66"/>
      <c r="BI20" s="66"/>
      <c r="BJ20" s="66"/>
      <c r="BK20" s="66"/>
      <c r="BL20" s="66"/>
      <c r="BM20" s="66"/>
      <c r="BN20" s="66"/>
      <c r="BO20" s="66"/>
      <c r="BP20" s="66"/>
      <c r="BQ20" s="66"/>
      <c r="BR20" s="66"/>
      <c r="BS20" s="66"/>
      <c r="BT20" s="66"/>
      <c r="BU20" s="66"/>
      <c r="BV20" s="66"/>
      <c r="BW20" s="66"/>
      <c r="BX20" s="66"/>
      <c r="BY20" s="66"/>
      <c r="BZ20" s="66"/>
      <c r="CA20" s="66"/>
      <c r="CB20" s="66"/>
      <c r="CC20" s="66"/>
      <c r="CD20" s="66"/>
      <c r="CE20" s="66"/>
      <c r="CF20" s="66"/>
      <c r="CG20" s="66"/>
      <c r="CH20" s="66"/>
      <c r="CI20" s="66"/>
      <c r="CJ20" s="66"/>
      <c r="CK20" s="66"/>
      <c r="CL20" s="66"/>
      <c r="CM20" s="66"/>
      <c r="CN20" s="66"/>
      <c r="CO20" s="66"/>
      <c r="CP20" s="66"/>
      <c r="CQ20" s="66"/>
      <c r="CR20" s="66"/>
      <c r="CS20" s="66"/>
      <c r="CT20" s="66"/>
      <c r="CU20" s="66"/>
      <c r="CV20" s="66"/>
      <c r="CW20" s="66"/>
      <c r="CX20" s="66"/>
      <c r="CY20" s="66"/>
      <c r="CZ20" s="66"/>
      <c r="DA20" s="66"/>
      <c r="DB20" s="66"/>
      <c r="DC20" s="66"/>
      <c r="DD20" s="66"/>
      <c r="DE20" s="66"/>
      <c r="DF20" s="66"/>
      <c r="DG20" s="66"/>
      <c r="DH20" s="66"/>
      <c r="DI20" s="66"/>
      <c r="DJ20" s="66"/>
      <c r="DK20" s="66"/>
      <c r="DL20" s="66"/>
      <c r="DM20" s="66"/>
      <c r="DN20" s="66"/>
      <c r="DO20" s="66"/>
      <c r="DP20" s="66"/>
      <c r="DQ20" s="66"/>
      <c r="DR20" s="66"/>
      <c r="DS20" s="66"/>
      <c r="DT20" s="66"/>
      <c r="DU20" s="66"/>
      <c r="DV20" s="66"/>
      <c r="DW20" s="66"/>
      <c r="DX20" s="66"/>
      <c r="DY20" s="66"/>
      <c r="DZ20" s="66"/>
      <c r="EA20" s="66"/>
      <c r="EB20" s="66"/>
      <c r="EC20" s="66"/>
      <c r="ED20" s="66"/>
      <c r="EE20" s="66"/>
      <c r="EF20" s="66"/>
      <c r="EG20" s="66"/>
      <c r="EH20" s="66"/>
      <c r="EI20" s="66"/>
      <c r="EJ20" s="66"/>
      <c r="EK20" s="66"/>
      <c r="EL20" s="66"/>
      <c r="EM20" s="66"/>
      <c r="EN20" s="66"/>
      <c r="EO20" s="66"/>
      <c r="EP20" s="66"/>
      <c r="EQ20" s="66"/>
      <c r="ER20" s="66"/>
      <c r="ES20" s="66"/>
      <c r="ET20" s="66"/>
      <c r="EU20" s="66"/>
      <c r="EV20" s="66"/>
      <c r="EW20" s="66"/>
      <c r="EX20" s="66"/>
      <c r="EY20" s="66"/>
      <c r="EZ20" s="66"/>
      <c r="FA20" s="66"/>
      <c r="FB20" s="66"/>
      <c r="FC20" s="66"/>
      <c r="FD20" s="66"/>
      <c r="FE20" s="66"/>
      <c r="FF20" s="66"/>
      <c r="FG20" s="66"/>
      <c r="FH20" s="66"/>
      <c r="FI20" s="66"/>
      <c r="FJ20" s="66"/>
      <c r="FK20" s="66"/>
      <c r="FL20" s="66"/>
      <c r="FM20" s="66"/>
      <c r="FN20" s="66"/>
      <c r="FO20" s="66"/>
      <c r="FP20" s="66"/>
      <c r="FQ20" s="66"/>
      <c r="FR20" s="66"/>
      <c r="FS20" s="66"/>
      <c r="FT20" s="66"/>
      <c r="FU20" s="66"/>
      <c r="FV20" s="66"/>
      <c r="FW20" s="66"/>
      <c r="FX20" s="66"/>
      <c r="FY20" s="66"/>
      <c r="FZ20" s="66"/>
      <c r="GA20" s="66"/>
      <c r="GB20" s="66"/>
      <c r="GC20" s="66"/>
      <c r="GD20" s="66"/>
      <c r="GE20" s="66"/>
      <c r="GF20" s="66"/>
      <c r="GG20" s="66"/>
      <c r="GH20" s="66"/>
      <c r="GI20" s="66"/>
      <c r="GJ20" s="66"/>
      <c r="GK20" s="66"/>
      <c r="GL20" s="66"/>
      <c r="GM20" s="66"/>
      <c r="GN20" s="66"/>
      <c r="GO20" s="66"/>
      <c r="GP20" s="66"/>
      <c r="GQ20" s="66"/>
      <c r="GR20" s="66"/>
      <c r="GS20" s="66"/>
      <c r="GT20" s="66"/>
      <c r="GU20" s="66"/>
      <c r="GV20" s="66"/>
      <c r="GW20" s="66"/>
      <c r="GX20" s="66"/>
      <c r="GY20" s="66"/>
      <c r="GZ20" s="66"/>
      <c r="HA20" s="66"/>
      <c r="HB20" s="66"/>
      <c r="HC20" s="66"/>
      <c r="HD20" s="66"/>
      <c r="HE20" s="66"/>
      <c r="HF20" s="66"/>
      <c r="HG20" s="66"/>
      <c r="HH20" s="66"/>
      <c r="HI20" s="66"/>
      <c r="HJ20" s="66"/>
      <c r="HK20" s="66"/>
      <c r="HL20" s="66"/>
      <c r="HM20" s="66"/>
      <c r="HN20" s="66"/>
      <c r="HO20" s="66"/>
      <c r="HP20" s="66"/>
      <c r="HQ20" s="66"/>
      <c r="HR20" s="66"/>
      <c r="HS20" s="66"/>
      <c r="HT20" s="66"/>
      <c r="HU20" s="66"/>
      <c r="HV20" s="66"/>
      <c r="HW20" s="66"/>
      <c r="HX20" s="66"/>
      <c r="HY20" s="66"/>
      <c r="HZ20" s="66"/>
      <c r="IA20" s="66"/>
      <c r="IB20" s="66"/>
      <c r="IC20" s="66"/>
      <c r="ID20" s="66"/>
      <c r="IE20" s="66"/>
      <c r="IF20" s="66"/>
      <c r="IG20" s="66"/>
      <c r="IH20" s="66"/>
      <c r="II20" s="66"/>
      <c r="IJ20" s="66"/>
      <c r="IK20" s="66"/>
      <c r="IL20" s="66"/>
      <c r="IM20" s="66"/>
      <c r="IN20" s="66"/>
      <c r="IO20" s="66"/>
      <c r="IP20" s="66"/>
      <c r="IQ20" s="66"/>
      <c r="IR20" s="66"/>
      <c r="IS20" s="66"/>
      <c r="IT20" s="66"/>
      <c r="IU20" s="66"/>
      <c r="IV20" s="66"/>
    </row>
    <row r="21" spans="1:256" s="111" customFormat="1" ht="12" hidden="1" customHeight="1">
      <c r="A21" s="66"/>
      <c r="B21" s="477"/>
      <c r="C21" s="477"/>
      <c r="D21" s="486"/>
      <c r="E21" s="486"/>
      <c r="F21" s="486"/>
      <c r="G21" s="486"/>
      <c r="H21" s="486"/>
      <c r="I21" s="486"/>
      <c r="J21" s="486"/>
      <c r="K21" s="477"/>
      <c r="L21" s="477"/>
      <c r="M21" s="477"/>
      <c r="N21" s="477"/>
      <c r="O21" s="477"/>
      <c r="P21" s="477"/>
      <c r="Q21" s="66"/>
      <c r="R21" s="66"/>
      <c r="S21" s="66"/>
      <c r="T21" s="66"/>
      <c r="U21" s="66"/>
      <c r="V21" s="66"/>
      <c r="W21" s="66"/>
      <c r="X21" s="66"/>
      <c r="Y21" s="66"/>
      <c r="Z21" s="66"/>
      <c r="AA21" s="66"/>
      <c r="AB21" s="66"/>
      <c r="AC21" s="66"/>
      <c r="AD21" s="66"/>
      <c r="AE21" s="66"/>
      <c r="AF21" s="66"/>
      <c r="AG21" s="66"/>
      <c r="AH21" s="66"/>
      <c r="AI21" s="66"/>
      <c r="AJ21" s="66"/>
      <c r="AK21" s="66"/>
      <c r="AL21" s="66"/>
      <c r="AM21" s="66"/>
      <c r="AN21" s="66"/>
      <c r="AO21" s="66"/>
      <c r="AP21" s="66"/>
      <c r="AQ21" s="66"/>
      <c r="AR21" s="66"/>
      <c r="AS21" s="66"/>
      <c r="AT21" s="66"/>
      <c r="AU21" s="66"/>
      <c r="AV21" s="66"/>
      <c r="AW21" s="66"/>
      <c r="AX21" s="66"/>
      <c r="AY21" s="66"/>
      <c r="AZ21" s="66"/>
      <c r="BA21" s="66"/>
      <c r="BB21" s="66"/>
      <c r="BC21" s="66"/>
      <c r="BD21" s="66"/>
      <c r="BE21" s="66"/>
      <c r="BF21" s="66"/>
      <c r="BG21" s="66"/>
      <c r="BH21" s="66"/>
      <c r="BI21" s="66"/>
      <c r="BJ21" s="66"/>
      <c r="BK21" s="66"/>
      <c r="BL21" s="66"/>
      <c r="BM21" s="66"/>
      <c r="BN21" s="66"/>
      <c r="BO21" s="66"/>
      <c r="BP21" s="66"/>
      <c r="BQ21" s="66"/>
      <c r="BR21" s="66"/>
      <c r="BS21" s="66"/>
      <c r="BT21" s="66"/>
      <c r="BU21" s="66"/>
      <c r="BV21" s="66"/>
      <c r="BW21" s="66"/>
      <c r="BX21" s="66"/>
      <c r="BY21" s="66"/>
      <c r="BZ21" s="66"/>
      <c r="CA21" s="66"/>
      <c r="CB21" s="66"/>
      <c r="CC21" s="66"/>
      <c r="CD21" s="66"/>
      <c r="CE21" s="66"/>
      <c r="CF21" s="66"/>
      <c r="CG21" s="66"/>
      <c r="CH21" s="66"/>
      <c r="CI21" s="66"/>
      <c r="CJ21" s="66"/>
      <c r="CK21" s="66"/>
      <c r="CL21" s="66"/>
      <c r="CM21" s="66"/>
      <c r="CN21" s="66"/>
      <c r="CO21" s="66"/>
      <c r="CP21" s="66"/>
      <c r="CQ21" s="66"/>
      <c r="CR21" s="66"/>
      <c r="CS21" s="66"/>
      <c r="CT21" s="66"/>
      <c r="CU21" s="66"/>
      <c r="CV21" s="66"/>
      <c r="CW21" s="66"/>
      <c r="CX21" s="66"/>
      <c r="CY21" s="66"/>
      <c r="CZ21" s="66"/>
      <c r="DA21" s="66"/>
      <c r="DB21" s="66"/>
      <c r="DC21" s="66"/>
      <c r="DD21" s="66"/>
      <c r="DE21" s="66"/>
      <c r="DF21" s="66"/>
      <c r="DG21" s="66"/>
      <c r="DH21" s="66"/>
      <c r="DI21" s="66"/>
      <c r="DJ21" s="66"/>
      <c r="DK21" s="66"/>
      <c r="DL21" s="66"/>
      <c r="DM21" s="66"/>
      <c r="DN21" s="66"/>
      <c r="DO21" s="66"/>
      <c r="DP21" s="66"/>
      <c r="DQ21" s="66"/>
      <c r="DR21" s="66"/>
      <c r="DS21" s="66"/>
      <c r="DT21" s="66"/>
      <c r="DU21" s="66"/>
      <c r="DV21" s="66"/>
      <c r="DW21" s="66"/>
      <c r="DX21" s="66"/>
      <c r="DY21" s="66"/>
      <c r="DZ21" s="66"/>
      <c r="EA21" s="66"/>
      <c r="EB21" s="66"/>
      <c r="EC21" s="66"/>
      <c r="ED21" s="66"/>
      <c r="EE21" s="66"/>
      <c r="EF21" s="66"/>
      <c r="EG21" s="66"/>
      <c r="EH21" s="66"/>
      <c r="EI21" s="66"/>
      <c r="EJ21" s="66"/>
      <c r="EK21" s="66"/>
      <c r="EL21" s="66"/>
      <c r="EM21" s="66"/>
      <c r="EN21" s="66"/>
      <c r="EO21" s="66"/>
      <c r="EP21" s="66"/>
      <c r="EQ21" s="66"/>
      <c r="ER21" s="66"/>
      <c r="ES21" s="66"/>
      <c r="ET21" s="66"/>
      <c r="EU21" s="66"/>
      <c r="EV21" s="66"/>
      <c r="EW21" s="66"/>
      <c r="EX21" s="66"/>
      <c r="EY21" s="66"/>
      <c r="EZ21" s="66"/>
      <c r="FA21" s="66"/>
      <c r="FB21" s="66"/>
      <c r="FC21" s="66"/>
      <c r="FD21" s="66"/>
      <c r="FE21" s="66"/>
      <c r="FF21" s="66"/>
      <c r="FG21" s="66"/>
      <c r="FH21" s="66"/>
      <c r="FI21" s="66"/>
      <c r="FJ21" s="66"/>
      <c r="FK21" s="66"/>
      <c r="FL21" s="66"/>
      <c r="FM21" s="66"/>
      <c r="FN21" s="66"/>
      <c r="FO21" s="66"/>
      <c r="FP21" s="66"/>
      <c r="FQ21" s="66"/>
      <c r="FR21" s="66"/>
      <c r="FS21" s="66"/>
      <c r="FT21" s="66"/>
      <c r="FU21" s="66"/>
      <c r="FV21" s="66"/>
      <c r="FW21" s="66"/>
      <c r="FX21" s="66"/>
      <c r="FY21" s="66"/>
      <c r="FZ21" s="66"/>
      <c r="GA21" s="66"/>
      <c r="GB21" s="66"/>
      <c r="GC21" s="66"/>
      <c r="GD21" s="66"/>
      <c r="GE21" s="66"/>
      <c r="GF21" s="66"/>
      <c r="GG21" s="66"/>
      <c r="GH21" s="66"/>
      <c r="GI21" s="66"/>
      <c r="GJ21" s="66"/>
      <c r="GK21" s="66"/>
      <c r="GL21" s="66"/>
      <c r="GM21" s="66"/>
      <c r="GN21" s="66"/>
      <c r="GO21" s="66"/>
      <c r="GP21" s="66"/>
      <c r="GQ21" s="66"/>
      <c r="GR21" s="66"/>
      <c r="GS21" s="66"/>
      <c r="GT21" s="66"/>
      <c r="GU21" s="66"/>
      <c r="GV21" s="66"/>
      <c r="GW21" s="66"/>
      <c r="GX21" s="66"/>
      <c r="GY21" s="66"/>
      <c r="GZ21" s="66"/>
      <c r="HA21" s="66"/>
      <c r="HB21" s="66"/>
      <c r="HC21" s="66"/>
      <c r="HD21" s="66"/>
      <c r="HE21" s="66"/>
      <c r="HF21" s="66"/>
      <c r="HG21" s="66"/>
      <c r="HH21" s="66"/>
      <c r="HI21" s="66"/>
      <c r="HJ21" s="66"/>
      <c r="HK21" s="66"/>
      <c r="HL21" s="66"/>
      <c r="HM21" s="66"/>
      <c r="HN21" s="66"/>
      <c r="HO21" s="66"/>
      <c r="HP21" s="66"/>
      <c r="HQ21" s="66"/>
      <c r="HR21" s="66"/>
      <c r="HS21" s="66"/>
      <c r="HT21" s="66"/>
      <c r="HU21" s="66"/>
      <c r="HV21" s="66"/>
      <c r="HW21" s="66"/>
      <c r="HX21" s="66"/>
      <c r="HY21" s="66"/>
      <c r="HZ21" s="66"/>
      <c r="IA21" s="66"/>
      <c r="IB21" s="66"/>
      <c r="IC21" s="66"/>
      <c r="ID21" s="66"/>
      <c r="IE21" s="66"/>
      <c r="IF21" s="66"/>
      <c r="IG21" s="66"/>
      <c r="IH21" s="66"/>
      <c r="II21" s="66"/>
      <c r="IJ21" s="66"/>
      <c r="IK21" s="66"/>
      <c r="IL21" s="66"/>
      <c r="IM21" s="66"/>
      <c r="IN21" s="66"/>
      <c r="IO21" s="66"/>
      <c r="IP21" s="66"/>
      <c r="IQ21" s="66"/>
      <c r="IR21" s="66"/>
      <c r="IS21" s="66"/>
      <c r="IT21" s="66"/>
      <c r="IU21" s="66"/>
      <c r="IV21" s="66"/>
    </row>
    <row r="22" spans="1:256" s="111" customFormat="1" ht="18" customHeight="1" thickBot="1">
      <c r="A22" s="66"/>
      <c r="B22" s="67" t="s">
        <v>234</v>
      </c>
      <c r="C22" s="67"/>
      <c r="D22" s="65"/>
      <c r="E22" s="66"/>
      <c r="F22" s="65"/>
      <c r="G22" s="66"/>
      <c r="H22" s="66"/>
      <c r="I22" s="66"/>
      <c r="J22" s="66"/>
      <c r="K22" s="65"/>
      <c r="L22" s="66"/>
      <c r="M22" s="66"/>
      <c r="N22" s="66"/>
      <c r="O22" s="66"/>
      <c r="P22" s="66"/>
      <c r="Q22" s="66"/>
      <c r="R22" s="66"/>
      <c r="S22" s="66"/>
      <c r="T22" s="66"/>
      <c r="U22" s="66"/>
      <c r="V22" s="66"/>
      <c r="W22" s="66"/>
      <c r="X22" s="66"/>
      <c r="Y22" s="66"/>
      <c r="Z22" s="66"/>
      <c r="AA22" s="66"/>
      <c r="AB22" s="66"/>
      <c r="AC22" s="66"/>
      <c r="AD22" s="66"/>
      <c r="AE22" s="66"/>
      <c r="AF22" s="66"/>
      <c r="AG22" s="66"/>
      <c r="AH22" s="66"/>
      <c r="AI22" s="66"/>
      <c r="AJ22" s="66"/>
      <c r="AK22" s="66"/>
      <c r="AL22" s="66"/>
      <c r="AM22" s="66"/>
      <c r="AN22" s="66"/>
      <c r="AO22" s="66"/>
      <c r="AP22" s="66"/>
      <c r="AQ22" s="66"/>
      <c r="AR22" s="66"/>
      <c r="AS22" s="66"/>
      <c r="AT22" s="66"/>
      <c r="AU22" s="66"/>
      <c r="AV22" s="66"/>
      <c r="AW22" s="66"/>
      <c r="AX22" s="66"/>
      <c r="AY22" s="66"/>
      <c r="AZ22" s="66"/>
      <c r="BA22" s="66"/>
      <c r="BB22" s="66"/>
      <c r="BC22" s="66"/>
      <c r="BD22" s="66"/>
      <c r="BE22" s="66"/>
      <c r="BF22" s="66"/>
      <c r="BG22" s="66"/>
      <c r="BH22" s="66"/>
      <c r="BI22" s="66"/>
      <c r="BJ22" s="66"/>
      <c r="BK22" s="66"/>
      <c r="BL22" s="66"/>
      <c r="BM22" s="66"/>
      <c r="BN22" s="66"/>
      <c r="BO22" s="66"/>
      <c r="BP22" s="66"/>
      <c r="BQ22" s="66"/>
      <c r="BR22" s="66"/>
      <c r="BS22" s="66"/>
      <c r="BT22" s="66"/>
      <c r="BU22" s="66"/>
      <c r="BV22" s="66"/>
      <c r="BW22" s="66"/>
      <c r="BX22" s="66"/>
      <c r="BY22" s="66"/>
      <c r="BZ22" s="66"/>
      <c r="CA22" s="66"/>
      <c r="CB22" s="66"/>
      <c r="CC22" s="66"/>
      <c r="CD22" s="66"/>
      <c r="CE22" s="66"/>
      <c r="CF22" s="66"/>
      <c r="CG22" s="66"/>
      <c r="CH22" s="66"/>
      <c r="CI22" s="66"/>
      <c r="CJ22" s="66"/>
      <c r="CK22" s="66"/>
      <c r="CL22" s="66"/>
      <c r="CM22" s="66"/>
      <c r="CN22" s="66"/>
      <c r="CO22" s="66"/>
      <c r="CP22" s="66"/>
      <c r="CQ22" s="66"/>
      <c r="CR22" s="66"/>
      <c r="CS22" s="66"/>
      <c r="CT22" s="66"/>
      <c r="CU22" s="66"/>
      <c r="CV22" s="66"/>
      <c r="CW22" s="66"/>
      <c r="CX22" s="66"/>
      <c r="CY22" s="66"/>
      <c r="CZ22" s="66"/>
      <c r="DA22" s="66"/>
      <c r="DB22" s="66"/>
      <c r="DC22" s="66"/>
      <c r="DD22" s="66"/>
      <c r="DE22" s="66"/>
      <c r="DF22" s="66"/>
      <c r="DG22" s="66"/>
      <c r="DH22" s="66"/>
      <c r="DI22" s="66"/>
      <c r="DJ22" s="66"/>
      <c r="DK22" s="66"/>
      <c r="DL22" s="66"/>
      <c r="DM22" s="66"/>
      <c r="DN22" s="66"/>
      <c r="DO22" s="66"/>
      <c r="DP22" s="66"/>
      <c r="DQ22" s="66"/>
      <c r="DR22" s="66"/>
      <c r="DS22" s="66"/>
      <c r="DT22" s="66"/>
      <c r="DU22" s="66"/>
      <c r="DV22" s="66"/>
      <c r="DW22" s="66"/>
      <c r="DX22" s="66"/>
      <c r="DY22" s="66"/>
      <c r="DZ22" s="66"/>
      <c r="EA22" s="66"/>
      <c r="EB22" s="66"/>
      <c r="EC22" s="66"/>
      <c r="ED22" s="66"/>
      <c r="EE22" s="66"/>
      <c r="EF22" s="66"/>
      <c r="EG22" s="66"/>
      <c r="EH22" s="66"/>
      <c r="EI22" s="66"/>
      <c r="EJ22" s="66"/>
      <c r="EK22" s="66"/>
      <c r="EL22" s="66"/>
      <c r="EM22" s="66"/>
      <c r="EN22" s="66"/>
      <c r="EO22" s="66"/>
      <c r="EP22" s="66"/>
      <c r="EQ22" s="66"/>
      <c r="ER22" s="66"/>
      <c r="ES22" s="66"/>
      <c r="ET22" s="66"/>
      <c r="EU22" s="66"/>
      <c r="EV22" s="66"/>
      <c r="EW22" s="66"/>
      <c r="EX22" s="66"/>
      <c r="EY22" s="66"/>
      <c r="EZ22" s="66"/>
      <c r="FA22" s="66"/>
      <c r="FB22" s="66"/>
      <c r="FC22" s="66"/>
      <c r="FD22" s="66"/>
      <c r="FE22" s="66"/>
      <c r="FF22" s="66"/>
      <c r="FG22" s="66"/>
      <c r="FH22" s="66"/>
      <c r="FI22" s="66"/>
      <c r="FJ22" s="66"/>
      <c r="FK22" s="66"/>
      <c r="FL22" s="66"/>
      <c r="FM22" s="66"/>
      <c r="FN22" s="66"/>
      <c r="FO22" s="66"/>
      <c r="FP22" s="66"/>
      <c r="FQ22" s="66"/>
      <c r="FR22" s="66"/>
      <c r="FS22" s="66"/>
      <c r="FT22" s="66"/>
      <c r="FU22" s="66"/>
      <c r="FV22" s="66"/>
      <c r="FW22" s="66"/>
      <c r="FX22" s="66"/>
      <c r="FY22" s="66"/>
      <c r="FZ22" s="66"/>
      <c r="GA22" s="66"/>
      <c r="GB22" s="66"/>
      <c r="GC22" s="66"/>
      <c r="GD22" s="66"/>
      <c r="GE22" s="66"/>
      <c r="GF22" s="66"/>
      <c r="GG22" s="66"/>
      <c r="GH22" s="66"/>
      <c r="GI22" s="66"/>
      <c r="GJ22" s="66"/>
      <c r="GK22" s="66"/>
      <c r="GL22" s="66"/>
      <c r="GM22" s="66"/>
      <c r="GN22" s="66"/>
      <c r="GO22" s="66"/>
      <c r="GP22" s="66"/>
      <c r="GQ22" s="66"/>
      <c r="GR22" s="66"/>
      <c r="GS22" s="66"/>
      <c r="GT22" s="66"/>
      <c r="GU22" s="66"/>
      <c r="GV22" s="66"/>
      <c r="GW22" s="66"/>
      <c r="GX22" s="66"/>
      <c r="GY22" s="66"/>
      <c r="GZ22" s="66"/>
      <c r="HA22" s="66"/>
      <c r="HB22" s="66"/>
      <c r="HC22" s="66"/>
      <c r="HD22" s="66"/>
      <c r="HE22" s="66"/>
      <c r="HF22" s="66"/>
      <c r="HG22" s="66"/>
      <c r="HH22" s="66"/>
      <c r="HI22" s="66"/>
      <c r="HJ22" s="66"/>
      <c r="HK22" s="66"/>
      <c r="HL22" s="66"/>
      <c r="HM22" s="66"/>
      <c r="HN22" s="66"/>
      <c r="HO22" s="66"/>
      <c r="HP22" s="66"/>
      <c r="HQ22" s="66"/>
      <c r="HR22" s="66"/>
      <c r="HS22" s="66"/>
      <c r="HT22" s="66"/>
      <c r="HU22" s="66"/>
      <c r="HV22" s="66"/>
      <c r="HW22" s="66"/>
      <c r="HX22" s="66"/>
      <c r="HY22" s="66"/>
      <c r="HZ22" s="66"/>
      <c r="IA22" s="66"/>
      <c r="IB22" s="66"/>
      <c r="IC22" s="66"/>
      <c r="ID22" s="66"/>
      <c r="IE22" s="66"/>
      <c r="IF22" s="66"/>
      <c r="IG22" s="66"/>
      <c r="IH22" s="66"/>
      <c r="II22" s="66"/>
      <c r="IJ22" s="66"/>
      <c r="IK22" s="66"/>
      <c r="IL22" s="66"/>
      <c r="IM22" s="66"/>
      <c r="IN22" s="66"/>
      <c r="IO22" s="66"/>
      <c r="IP22" s="66"/>
      <c r="IQ22" s="66"/>
      <c r="IR22" s="66"/>
      <c r="IS22" s="66"/>
      <c r="IT22" s="66"/>
      <c r="IU22" s="66"/>
      <c r="IV22" s="66"/>
    </row>
    <row r="23" spans="1:256" s="111" customFormat="1" ht="18" customHeight="1">
      <c r="A23" s="66"/>
      <c r="B23" s="1288" t="s">
        <v>119</v>
      </c>
      <c r="C23" s="1289"/>
      <c r="D23" s="1190" t="s">
        <v>120</v>
      </c>
      <c r="E23" s="1190"/>
      <c r="F23" s="1190"/>
      <c r="G23" s="1190"/>
      <c r="H23" s="1190"/>
      <c r="I23" s="1190"/>
      <c r="J23" s="1190"/>
      <c r="K23" s="1190" t="s">
        <v>134</v>
      </c>
      <c r="L23" s="1190"/>
      <c r="M23" s="1190"/>
      <c r="N23" s="1190"/>
      <c r="O23" s="1190"/>
      <c r="P23" s="1191"/>
      <c r="Q23" s="66"/>
      <c r="R23" s="66"/>
      <c r="S23" s="66"/>
      <c r="T23" s="66"/>
      <c r="U23" s="66"/>
      <c r="V23" s="66"/>
      <c r="W23" s="66"/>
      <c r="X23" s="66"/>
      <c r="Y23" s="66"/>
      <c r="Z23" s="66"/>
      <c r="AA23" s="66"/>
      <c r="AB23" s="66"/>
      <c r="AC23" s="66"/>
      <c r="AD23" s="66"/>
      <c r="AE23" s="66"/>
      <c r="AF23" s="66"/>
      <c r="AG23" s="66"/>
      <c r="AH23" s="66"/>
      <c r="AI23" s="66"/>
      <c r="AJ23" s="66"/>
      <c r="AK23" s="66"/>
      <c r="AL23" s="66"/>
      <c r="AM23" s="66"/>
      <c r="AN23" s="66"/>
      <c r="AO23" s="66"/>
      <c r="AP23" s="66"/>
      <c r="AQ23" s="66"/>
      <c r="AR23" s="66"/>
      <c r="AS23" s="66"/>
      <c r="AT23" s="66"/>
      <c r="AU23" s="66"/>
      <c r="AV23" s="66"/>
      <c r="AW23" s="66"/>
      <c r="AX23" s="66"/>
      <c r="AY23" s="66"/>
      <c r="AZ23" s="66"/>
      <c r="BA23" s="66"/>
      <c r="BB23" s="66"/>
      <c r="BC23" s="66"/>
      <c r="BD23" s="66"/>
      <c r="BE23" s="66"/>
      <c r="BF23" s="66"/>
      <c r="BG23" s="66"/>
      <c r="BH23" s="66"/>
      <c r="BI23" s="66"/>
      <c r="BJ23" s="66"/>
      <c r="BK23" s="66"/>
      <c r="BL23" s="66"/>
      <c r="BM23" s="66"/>
      <c r="BN23" s="66"/>
      <c r="BO23" s="66"/>
      <c r="BP23" s="66"/>
      <c r="BQ23" s="66"/>
      <c r="BR23" s="66"/>
      <c r="BS23" s="66"/>
      <c r="BT23" s="66"/>
      <c r="BU23" s="66"/>
      <c r="BV23" s="66"/>
      <c r="BW23" s="66"/>
      <c r="BX23" s="66"/>
      <c r="BY23" s="66"/>
      <c r="BZ23" s="66"/>
      <c r="CA23" s="66"/>
      <c r="CB23" s="66"/>
      <c r="CC23" s="66"/>
      <c r="CD23" s="66"/>
      <c r="CE23" s="66"/>
      <c r="CF23" s="66"/>
      <c r="CG23" s="66"/>
      <c r="CH23" s="66"/>
      <c r="CI23" s="66"/>
      <c r="CJ23" s="66"/>
      <c r="CK23" s="66"/>
      <c r="CL23" s="66"/>
      <c r="CM23" s="66"/>
      <c r="CN23" s="66"/>
      <c r="CO23" s="66"/>
      <c r="CP23" s="66"/>
      <c r="CQ23" s="66"/>
      <c r="CR23" s="66"/>
      <c r="CS23" s="66"/>
      <c r="CT23" s="66"/>
      <c r="CU23" s="66"/>
      <c r="CV23" s="66"/>
      <c r="CW23" s="66"/>
      <c r="CX23" s="66"/>
      <c r="CY23" s="66"/>
      <c r="CZ23" s="66"/>
      <c r="DA23" s="66"/>
      <c r="DB23" s="66"/>
      <c r="DC23" s="66"/>
      <c r="DD23" s="66"/>
      <c r="DE23" s="66"/>
      <c r="DF23" s="66"/>
      <c r="DG23" s="66"/>
      <c r="DH23" s="66"/>
      <c r="DI23" s="66"/>
      <c r="DJ23" s="66"/>
      <c r="DK23" s="66"/>
      <c r="DL23" s="66"/>
      <c r="DM23" s="66"/>
      <c r="DN23" s="66"/>
      <c r="DO23" s="66"/>
      <c r="DP23" s="66"/>
      <c r="DQ23" s="66"/>
      <c r="DR23" s="66"/>
      <c r="DS23" s="66"/>
      <c r="DT23" s="66"/>
      <c r="DU23" s="66"/>
      <c r="DV23" s="66"/>
      <c r="DW23" s="66"/>
      <c r="DX23" s="66"/>
      <c r="DY23" s="66"/>
      <c r="DZ23" s="66"/>
      <c r="EA23" s="66"/>
      <c r="EB23" s="66"/>
      <c r="EC23" s="66"/>
      <c r="ED23" s="66"/>
      <c r="EE23" s="66"/>
      <c r="EF23" s="66"/>
      <c r="EG23" s="66"/>
      <c r="EH23" s="66"/>
      <c r="EI23" s="66"/>
      <c r="EJ23" s="66"/>
      <c r="EK23" s="66"/>
      <c r="EL23" s="66"/>
      <c r="EM23" s="66"/>
      <c r="EN23" s="66"/>
      <c r="EO23" s="66"/>
      <c r="EP23" s="66"/>
      <c r="EQ23" s="66"/>
      <c r="ER23" s="66"/>
      <c r="ES23" s="66"/>
      <c r="ET23" s="66"/>
      <c r="EU23" s="66"/>
      <c r="EV23" s="66"/>
      <c r="EW23" s="66"/>
      <c r="EX23" s="66"/>
      <c r="EY23" s="66"/>
      <c r="EZ23" s="66"/>
      <c r="FA23" s="66"/>
      <c r="FB23" s="66"/>
      <c r="FC23" s="66"/>
      <c r="FD23" s="66"/>
      <c r="FE23" s="66"/>
      <c r="FF23" s="66"/>
      <c r="FG23" s="66"/>
      <c r="FH23" s="66"/>
      <c r="FI23" s="66"/>
      <c r="FJ23" s="66"/>
      <c r="FK23" s="66"/>
      <c r="FL23" s="66"/>
      <c r="FM23" s="66"/>
      <c r="FN23" s="66"/>
      <c r="FO23" s="66"/>
      <c r="FP23" s="66"/>
      <c r="FQ23" s="66"/>
      <c r="FR23" s="66"/>
      <c r="FS23" s="66"/>
      <c r="FT23" s="66"/>
      <c r="FU23" s="66"/>
      <c r="FV23" s="66"/>
      <c r="FW23" s="66"/>
      <c r="FX23" s="66"/>
      <c r="FY23" s="66"/>
      <c r="FZ23" s="66"/>
      <c r="GA23" s="66"/>
      <c r="GB23" s="66"/>
      <c r="GC23" s="66"/>
      <c r="GD23" s="66"/>
      <c r="GE23" s="66"/>
      <c r="GF23" s="66"/>
      <c r="GG23" s="66"/>
      <c r="GH23" s="66"/>
      <c r="GI23" s="66"/>
      <c r="GJ23" s="66"/>
      <c r="GK23" s="66"/>
      <c r="GL23" s="66"/>
      <c r="GM23" s="66"/>
      <c r="GN23" s="66"/>
      <c r="GO23" s="66"/>
      <c r="GP23" s="66"/>
      <c r="GQ23" s="66"/>
      <c r="GR23" s="66"/>
      <c r="GS23" s="66"/>
      <c r="GT23" s="66"/>
      <c r="GU23" s="66"/>
      <c r="GV23" s="66"/>
      <c r="GW23" s="66"/>
      <c r="GX23" s="66"/>
      <c r="GY23" s="66"/>
      <c r="GZ23" s="66"/>
      <c r="HA23" s="66"/>
      <c r="HB23" s="66"/>
      <c r="HC23" s="66"/>
      <c r="HD23" s="66"/>
      <c r="HE23" s="66"/>
      <c r="HF23" s="66"/>
      <c r="HG23" s="66"/>
      <c r="HH23" s="66"/>
      <c r="HI23" s="66"/>
      <c r="HJ23" s="66"/>
      <c r="HK23" s="66"/>
      <c r="HL23" s="66"/>
      <c r="HM23" s="66"/>
      <c r="HN23" s="66"/>
      <c r="HO23" s="66"/>
      <c r="HP23" s="66"/>
      <c r="HQ23" s="66"/>
      <c r="HR23" s="66"/>
      <c r="HS23" s="66"/>
      <c r="HT23" s="66"/>
      <c r="HU23" s="66"/>
      <c r="HV23" s="66"/>
      <c r="HW23" s="66"/>
      <c r="HX23" s="66"/>
      <c r="HY23" s="66"/>
      <c r="HZ23" s="66"/>
      <c r="IA23" s="66"/>
      <c r="IB23" s="66"/>
      <c r="IC23" s="66"/>
      <c r="ID23" s="66"/>
      <c r="IE23" s="66"/>
      <c r="IF23" s="66"/>
      <c r="IG23" s="66"/>
      <c r="IH23" s="66"/>
      <c r="II23" s="66"/>
      <c r="IJ23" s="66"/>
      <c r="IK23" s="66"/>
      <c r="IL23" s="66"/>
      <c r="IM23" s="66"/>
      <c r="IN23" s="66"/>
      <c r="IO23" s="66"/>
      <c r="IP23" s="66"/>
      <c r="IQ23" s="66"/>
      <c r="IR23" s="66"/>
      <c r="IS23" s="66"/>
      <c r="IT23" s="66"/>
      <c r="IU23" s="66"/>
      <c r="IV23" s="66"/>
    </row>
    <row r="24" spans="1:256" s="111" customFormat="1" ht="18" customHeight="1">
      <c r="A24" s="66"/>
      <c r="B24" s="1512" t="s">
        <v>167</v>
      </c>
      <c r="C24" s="1734"/>
      <c r="D24" s="2136" t="s">
        <v>168</v>
      </c>
      <c r="E24" s="2136"/>
      <c r="F24" s="2136"/>
      <c r="G24" s="2136"/>
      <c r="H24" s="2136"/>
      <c r="I24" s="2136"/>
      <c r="J24" s="2136"/>
      <c r="K24" s="1194" t="s">
        <v>169</v>
      </c>
      <c r="L24" s="1194"/>
      <c r="M24" s="1194"/>
      <c r="N24" s="1194"/>
      <c r="O24" s="1194"/>
      <c r="P24" s="1195"/>
      <c r="Q24" s="66"/>
      <c r="R24" s="66"/>
      <c r="S24" s="66"/>
      <c r="T24" s="66"/>
      <c r="U24" s="66"/>
      <c r="V24" s="66"/>
      <c r="W24" s="66"/>
      <c r="X24" s="66"/>
      <c r="Y24" s="66"/>
      <c r="Z24" s="66"/>
      <c r="AA24" s="66"/>
      <c r="AB24" s="66"/>
      <c r="AC24" s="66"/>
      <c r="AD24" s="66"/>
      <c r="AE24" s="66"/>
      <c r="AF24" s="66"/>
      <c r="AG24" s="66"/>
      <c r="AH24" s="66"/>
      <c r="AI24" s="66"/>
      <c r="AJ24" s="66"/>
      <c r="AK24" s="66"/>
      <c r="AL24" s="66"/>
      <c r="AM24" s="66"/>
      <c r="AN24" s="66"/>
      <c r="AO24" s="66"/>
      <c r="AP24" s="66"/>
      <c r="AQ24" s="66"/>
      <c r="AR24" s="66"/>
      <c r="AS24" s="66"/>
      <c r="AT24" s="66"/>
      <c r="AU24" s="66"/>
      <c r="AV24" s="66"/>
      <c r="AW24" s="66"/>
      <c r="AX24" s="66"/>
      <c r="AY24" s="66"/>
      <c r="AZ24" s="66"/>
      <c r="BA24" s="66"/>
      <c r="BB24" s="66"/>
      <c r="BC24" s="66"/>
      <c r="BD24" s="66"/>
      <c r="BE24" s="66"/>
      <c r="BF24" s="66"/>
      <c r="BG24" s="66"/>
      <c r="BH24" s="66"/>
      <c r="BI24" s="66"/>
      <c r="BJ24" s="66"/>
      <c r="BK24" s="66"/>
      <c r="BL24" s="66"/>
      <c r="BM24" s="66"/>
      <c r="BN24" s="66"/>
      <c r="BO24" s="66"/>
      <c r="BP24" s="66"/>
      <c r="BQ24" s="66"/>
      <c r="BR24" s="66"/>
      <c r="BS24" s="66"/>
      <c r="BT24" s="66"/>
      <c r="BU24" s="66"/>
      <c r="BV24" s="66"/>
      <c r="BW24" s="66"/>
      <c r="BX24" s="66"/>
      <c r="BY24" s="66"/>
      <c r="BZ24" s="66"/>
      <c r="CA24" s="66"/>
      <c r="CB24" s="66"/>
      <c r="CC24" s="66"/>
      <c r="CD24" s="66"/>
      <c r="CE24" s="66"/>
      <c r="CF24" s="66"/>
      <c r="CG24" s="66"/>
      <c r="CH24" s="66"/>
      <c r="CI24" s="66"/>
      <c r="CJ24" s="66"/>
      <c r="CK24" s="66"/>
      <c r="CL24" s="66"/>
      <c r="CM24" s="66"/>
      <c r="CN24" s="66"/>
      <c r="CO24" s="66"/>
      <c r="CP24" s="66"/>
      <c r="CQ24" s="66"/>
      <c r="CR24" s="66"/>
      <c r="CS24" s="66"/>
      <c r="CT24" s="66"/>
      <c r="CU24" s="66"/>
      <c r="CV24" s="66"/>
      <c r="CW24" s="66"/>
      <c r="CX24" s="66"/>
      <c r="CY24" s="66"/>
      <c r="CZ24" s="66"/>
      <c r="DA24" s="66"/>
      <c r="DB24" s="66"/>
      <c r="DC24" s="66"/>
      <c r="DD24" s="66"/>
      <c r="DE24" s="66"/>
      <c r="DF24" s="66"/>
      <c r="DG24" s="66"/>
      <c r="DH24" s="66"/>
      <c r="DI24" s="66"/>
      <c r="DJ24" s="66"/>
      <c r="DK24" s="66"/>
      <c r="DL24" s="66"/>
      <c r="DM24" s="66"/>
      <c r="DN24" s="66"/>
      <c r="DO24" s="66"/>
      <c r="DP24" s="66"/>
      <c r="DQ24" s="66"/>
      <c r="DR24" s="66"/>
      <c r="DS24" s="66"/>
      <c r="DT24" s="66"/>
      <c r="DU24" s="66"/>
      <c r="DV24" s="66"/>
      <c r="DW24" s="66"/>
      <c r="DX24" s="66"/>
      <c r="DY24" s="66"/>
      <c r="DZ24" s="66"/>
      <c r="EA24" s="66"/>
      <c r="EB24" s="66"/>
      <c r="EC24" s="66"/>
      <c r="ED24" s="66"/>
      <c r="EE24" s="66"/>
      <c r="EF24" s="66"/>
      <c r="EG24" s="66"/>
      <c r="EH24" s="66"/>
      <c r="EI24" s="66"/>
      <c r="EJ24" s="66"/>
      <c r="EK24" s="66"/>
      <c r="EL24" s="66"/>
      <c r="EM24" s="66"/>
      <c r="EN24" s="66"/>
      <c r="EO24" s="66"/>
      <c r="EP24" s="66"/>
      <c r="EQ24" s="66"/>
      <c r="ER24" s="66"/>
      <c r="ES24" s="66"/>
      <c r="ET24" s="66"/>
      <c r="EU24" s="66"/>
      <c r="EV24" s="66"/>
      <c r="EW24" s="66"/>
      <c r="EX24" s="66"/>
      <c r="EY24" s="66"/>
      <c r="EZ24" s="66"/>
      <c r="FA24" s="66"/>
      <c r="FB24" s="66"/>
      <c r="FC24" s="66"/>
      <c r="FD24" s="66"/>
      <c r="FE24" s="66"/>
      <c r="FF24" s="66"/>
      <c r="FG24" s="66"/>
      <c r="FH24" s="66"/>
      <c r="FI24" s="66"/>
      <c r="FJ24" s="66"/>
      <c r="FK24" s="66"/>
      <c r="FL24" s="66"/>
      <c r="FM24" s="66"/>
      <c r="FN24" s="66"/>
      <c r="FO24" s="66"/>
      <c r="FP24" s="66"/>
      <c r="FQ24" s="66"/>
      <c r="FR24" s="66"/>
      <c r="FS24" s="66"/>
      <c r="FT24" s="66"/>
      <c r="FU24" s="66"/>
      <c r="FV24" s="66"/>
      <c r="FW24" s="66"/>
      <c r="FX24" s="66"/>
      <c r="FY24" s="66"/>
      <c r="FZ24" s="66"/>
      <c r="GA24" s="66"/>
      <c r="GB24" s="66"/>
      <c r="GC24" s="66"/>
      <c r="GD24" s="66"/>
      <c r="GE24" s="66"/>
      <c r="GF24" s="66"/>
      <c r="GG24" s="66"/>
      <c r="GH24" s="66"/>
      <c r="GI24" s="66"/>
      <c r="GJ24" s="66"/>
      <c r="GK24" s="66"/>
      <c r="GL24" s="66"/>
      <c r="GM24" s="66"/>
      <c r="GN24" s="66"/>
      <c r="GO24" s="66"/>
      <c r="GP24" s="66"/>
      <c r="GQ24" s="66"/>
      <c r="GR24" s="66"/>
      <c r="GS24" s="66"/>
      <c r="GT24" s="66"/>
      <c r="GU24" s="66"/>
      <c r="GV24" s="66"/>
      <c r="GW24" s="66"/>
      <c r="GX24" s="66"/>
      <c r="GY24" s="66"/>
      <c r="GZ24" s="66"/>
      <c r="HA24" s="66"/>
      <c r="HB24" s="66"/>
      <c r="HC24" s="66"/>
      <c r="HD24" s="66"/>
      <c r="HE24" s="66"/>
      <c r="HF24" s="66"/>
      <c r="HG24" s="66"/>
      <c r="HH24" s="66"/>
      <c r="HI24" s="66"/>
      <c r="HJ24" s="66"/>
      <c r="HK24" s="66"/>
      <c r="HL24" s="66"/>
      <c r="HM24" s="66"/>
      <c r="HN24" s="66"/>
      <c r="HO24" s="66"/>
      <c r="HP24" s="66"/>
      <c r="HQ24" s="66"/>
      <c r="HR24" s="66"/>
      <c r="HS24" s="66"/>
      <c r="HT24" s="66"/>
      <c r="HU24" s="66"/>
      <c r="HV24" s="66"/>
      <c r="HW24" s="66"/>
      <c r="HX24" s="66"/>
      <c r="HY24" s="66"/>
      <c r="HZ24" s="66"/>
      <c r="IA24" s="66"/>
      <c r="IB24" s="66"/>
      <c r="IC24" s="66"/>
      <c r="ID24" s="66"/>
      <c r="IE24" s="66"/>
      <c r="IF24" s="66"/>
      <c r="IG24" s="66"/>
      <c r="IH24" s="66"/>
      <c r="II24" s="66"/>
      <c r="IJ24" s="66"/>
      <c r="IK24" s="66"/>
      <c r="IL24" s="66"/>
      <c r="IM24" s="66"/>
      <c r="IN24" s="66"/>
      <c r="IO24" s="66"/>
      <c r="IP24" s="66"/>
      <c r="IQ24" s="66"/>
      <c r="IR24" s="66"/>
      <c r="IS24" s="66"/>
      <c r="IT24" s="66"/>
      <c r="IU24" s="66"/>
      <c r="IV24" s="66"/>
    </row>
    <row r="25" spans="1:256" s="111" customFormat="1" ht="18" customHeight="1">
      <c r="A25" s="66"/>
      <c r="B25" s="2146" t="s">
        <v>170</v>
      </c>
      <c r="C25" s="2147"/>
      <c r="D25" s="2307" t="s">
        <v>171</v>
      </c>
      <c r="E25" s="2307"/>
      <c r="F25" s="2307"/>
      <c r="G25" s="2307"/>
      <c r="H25" s="2307"/>
      <c r="I25" s="2307"/>
      <c r="J25" s="2307"/>
      <c r="K25" s="2151" t="s">
        <v>172</v>
      </c>
      <c r="L25" s="2152"/>
      <c r="M25" s="2152"/>
      <c r="N25" s="2152"/>
      <c r="O25" s="2152"/>
      <c r="P25" s="2153"/>
      <c r="Q25" s="66"/>
      <c r="R25" s="66"/>
      <c r="S25" s="66"/>
      <c r="T25" s="66"/>
      <c r="U25" s="66"/>
      <c r="V25" s="66"/>
      <c r="W25" s="66"/>
      <c r="X25" s="66"/>
      <c r="Y25" s="66"/>
      <c r="Z25" s="66"/>
      <c r="AA25" s="66"/>
      <c r="AB25" s="66"/>
      <c r="AC25" s="66"/>
      <c r="AD25" s="66"/>
      <c r="AE25" s="66"/>
      <c r="AF25" s="66"/>
      <c r="AG25" s="66"/>
      <c r="AH25" s="66"/>
      <c r="AI25" s="66"/>
      <c r="AJ25" s="66"/>
      <c r="AK25" s="66"/>
      <c r="AL25" s="66"/>
      <c r="AM25" s="66"/>
      <c r="AN25" s="66"/>
      <c r="AO25" s="66"/>
      <c r="AP25" s="66"/>
      <c r="AQ25" s="66"/>
      <c r="AR25" s="66"/>
      <c r="AS25" s="66"/>
      <c r="AT25" s="66"/>
      <c r="AU25" s="66"/>
      <c r="AV25" s="66"/>
      <c r="AW25" s="66"/>
      <c r="AX25" s="66"/>
      <c r="AY25" s="66"/>
      <c r="AZ25" s="66"/>
      <c r="BA25" s="66"/>
      <c r="BB25" s="66"/>
      <c r="BC25" s="66"/>
      <c r="BD25" s="66"/>
      <c r="BE25" s="66"/>
      <c r="BF25" s="66"/>
      <c r="BG25" s="66"/>
      <c r="BH25" s="66"/>
      <c r="BI25" s="66"/>
      <c r="BJ25" s="66"/>
      <c r="BK25" s="66"/>
      <c r="BL25" s="66"/>
      <c r="BM25" s="66"/>
      <c r="BN25" s="66"/>
      <c r="BO25" s="66"/>
      <c r="BP25" s="66"/>
      <c r="BQ25" s="66"/>
      <c r="BR25" s="66"/>
      <c r="BS25" s="66"/>
      <c r="BT25" s="66"/>
      <c r="BU25" s="66"/>
      <c r="BV25" s="66"/>
      <c r="BW25" s="66"/>
      <c r="BX25" s="66"/>
      <c r="BY25" s="66"/>
      <c r="BZ25" s="66"/>
      <c r="CA25" s="66"/>
      <c r="CB25" s="66"/>
      <c r="CC25" s="66"/>
      <c r="CD25" s="66"/>
      <c r="CE25" s="66"/>
      <c r="CF25" s="66"/>
      <c r="CG25" s="66"/>
      <c r="CH25" s="66"/>
      <c r="CI25" s="66"/>
      <c r="CJ25" s="66"/>
      <c r="CK25" s="66"/>
      <c r="CL25" s="66"/>
      <c r="CM25" s="66"/>
      <c r="CN25" s="66"/>
      <c r="CO25" s="66"/>
      <c r="CP25" s="66"/>
      <c r="CQ25" s="66"/>
      <c r="CR25" s="66"/>
      <c r="CS25" s="66"/>
      <c r="CT25" s="66"/>
      <c r="CU25" s="66"/>
      <c r="CV25" s="66"/>
      <c r="CW25" s="66"/>
      <c r="CX25" s="66"/>
      <c r="CY25" s="66"/>
      <c r="CZ25" s="66"/>
      <c r="DA25" s="66"/>
      <c r="DB25" s="66"/>
      <c r="DC25" s="66"/>
      <c r="DD25" s="66"/>
      <c r="DE25" s="66"/>
      <c r="DF25" s="66"/>
      <c r="DG25" s="66"/>
      <c r="DH25" s="66"/>
      <c r="DI25" s="66"/>
      <c r="DJ25" s="66"/>
      <c r="DK25" s="66"/>
      <c r="DL25" s="66"/>
      <c r="DM25" s="66"/>
      <c r="DN25" s="66"/>
      <c r="DO25" s="66"/>
      <c r="DP25" s="66"/>
      <c r="DQ25" s="66"/>
      <c r="DR25" s="66"/>
      <c r="DS25" s="66"/>
      <c r="DT25" s="66"/>
      <c r="DU25" s="66"/>
      <c r="DV25" s="66"/>
      <c r="DW25" s="66"/>
      <c r="DX25" s="66"/>
      <c r="DY25" s="66"/>
      <c r="DZ25" s="66"/>
      <c r="EA25" s="66"/>
      <c r="EB25" s="66"/>
      <c r="EC25" s="66"/>
      <c r="ED25" s="66"/>
      <c r="EE25" s="66"/>
      <c r="EF25" s="66"/>
      <c r="EG25" s="66"/>
      <c r="EH25" s="66"/>
      <c r="EI25" s="66"/>
      <c r="EJ25" s="66"/>
      <c r="EK25" s="66"/>
      <c r="EL25" s="66"/>
      <c r="EM25" s="66"/>
      <c r="EN25" s="66"/>
      <c r="EO25" s="66"/>
      <c r="EP25" s="66"/>
      <c r="EQ25" s="66"/>
      <c r="ER25" s="66"/>
      <c r="ES25" s="66"/>
      <c r="ET25" s="66"/>
      <c r="EU25" s="66"/>
      <c r="EV25" s="66"/>
      <c r="EW25" s="66"/>
      <c r="EX25" s="66"/>
      <c r="EY25" s="66"/>
      <c r="EZ25" s="66"/>
      <c r="FA25" s="66"/>
      <c r="FB25" s="66"/>
      <c r="FC25" s="66"/>
      <c r="FD25" s="66"/>
      <c r="FE25" s="66"/>
      <c r="FF25" s="66"/>
      <c r="FG25" s="66"/>
      <c r="FH25" s="66"/>
      <c r="FI25" s="66"/>
      <c r="FJ25" s="66"/>
      <c r="FK25" s="66"/>
      <c r="FL25" s="66"/>
      <c r="FM25" s="66"/>
      <c r="FN25" s="66"/>
      <c r="FO25" s="66"/>
      <c r="FP25" s="66"/>
      <c r="FQ25" s="66"/>
      <c r="FR25" s="66"/>
      <c r="FS25" s="66"/>
      <c r="FT25" s="66"/>
      <c r="FU25" s="66"/>
      <c r="FV25" s="66"/>
      <c r="FW25" s="66"/>
      <c r="FX25" s="66"/>
      <c r="FY25" s="66"/>
      <c r="FZ25" s="66"/>
      <c r="GA25" s="66"/>
      <c r="GB25" s="66"/>
      <c r="GC25" s="66"/>
      <c r="GD25" s="66"/>
      <c r="GE25" s="66"/>
      <c r="GF25" s="66"/>
      <c r="GG25" s="66"/>
      <c r="GH25" s="66"/>
      <c r="GI25" s="66"/>
      <c r="GJ25" s="66"/>
      <c r="GK25" s="66"/>
      <c r="GL25" s="66"/>
      <c r="GM25" s="66"/>
      <c r="GN25" s="66"/>
      <c r="GO25" s="66"/>
      <c r="GP25" s="66"/>
      <c r="GQ25" s="66"/>
      <c r="GR25" s="66"/>
      <c r="GS25" s="66"/>
      <c r="GT25" s="66"/>
      <c r="GU25" s="66"/>
      <c r="GV25" s="66"/>
      <c r="GW25" s="66"/>
      <c r="GX25" s="66"/>
      <c r="GY25" s="66"/>
      <c r="GZ25" s="66"/>
      <c r="HA25" s="66"/>
      <c r="HB25" s="66"/>
      <c r="HC25" s="66"/>
      <c r="HD25" s="66"/>
      <c r="HE25" s="66"/>
      <c r="HF25" s="66"/>
      <c r="HG25" s="66"/>
      <c r="HH25" s="66"/>
      <c r="HI25" s="66"/>
      <c r="HJ25" s="66"/>
      <c r="HK25" s="66"/>
      <c r="HL25" s="66"/>
      <c r="HM25" s="66"/>
      <c r="HN25" s="66"/>
      <c r="HO25" s="66"/>
      <c r="HP25" s="66"/>
      <c r="HQ25" s="66"/>
      <c r="HR25" s="66"/>
      <c r="HS25" s="66"/>
      <c r="HT25" s="66"/>
      <c r="HU25" s="66"/>
      <c r="HV25" s="66"/>
      <c r="HW25" s="66"/>
      <c r="HX25" s="66"/>
      <c r="HY25" s="66"/>
      <c r="HZ25" s="66"/>
      <c r="IA25" s="66"/>
      <c r="IB25" s="66"/>
      <c r="IC25" s="66"/>
      <c r="ID25" s="66"/>
      <c r="IE25" s="66"/>
      <c r="IF25" s="66"/>
      <c r="IG25" s="66"/>
      <c r="IH25" s="66"/>
      <c r="II25" s="66"/>
      <c r="IJ25" s="66"/>
      <c r="IK25" s="66"/>
      <c r="IL25" s="66"/>
      <c r="IM25" s="66"/>
      <c r="IN25" s="66"/>
      <c r="IO25" s="66"/>
      <c r="IP25" s="66"/>
      <c r="IQ25" s="66"/>
      <c r="IR25" s="66"/>
      <c r="IS25" s="66"/>
      <c r="IT25" s="66"/>
      <c r="IU25" s="66"/>
      <c r="IV25" s="66"/>
    </row>
    <row r="26" spans="1:256" s="111" customFormat="1" ht="18" customHeight="1">
      <c r="A26" s="66"/>
      <c r="B26" s="2146" t="s">
        <v>173</v>
      </c>
      <c r="C26" s="2147"/>
      <c r="D26" s="1761" t="s">
        <v>174</v>
      </c>
      <c r="E26" s="1761"/>
      <c r="F26" s="1761"/>
      <c r="G26" s="1761"/>
      <c r="H26" s="1761"/>
      <c r="I26" s="1761"/>
      <c r="J26" s="1761"/>
      <c r="K26" s="1521" t="s">
        <v>235</v>
      </c>
      <c r="L26" s="1522"/>
      <c r="M26" s="1522"/>
      <c r="N26" s="1522"/>
      <c r="O26" s="1522"/>
      <c r="P26" s="1523"/>
      <c r="Q26" s="66"/>
      <c r="R26" s="66"/>
      <c r="S26" s="66"/>
      <c r="T26" s="66"/>
      <c r="U26" s="66"/>
      <c r="V26" s="66"/>
      <c r="W26" s="66"/>
      <c r="X26" s="66"/>
      <c r="Y26" s="66"/>
      <c r="Z26" s="66"/>
      <c r="AA26" s="66"/>
      <c r="AB26" s="66"/>
      <c r="AC26" s="66"/>
      <c r="AD26" s="66"/>
      <c r="AE26" s="66"/>
      <c r="AF26" s="66"/>
      <c r="AG26" s="66"/>
      <c r="AH26" s="66"/>
      <c r="AI26" s="66"/>
      <c r="AJ26" s="66"/>
      <c r="AK26" s="66"/>
      <c r="AL26" s="66"/>
      <c r="AM26" s="66"/>
      <c r="AN26" s="66"/>
      <c r="AO26" s="66"/>
      <c r="AP26" s="66"/>
      <c r="AQ26" s="66"/>
      <c r="AR26" s="66"/>
      <c r="AS26" s="66"/>
      <c r="AT26" s="66"/>
      <c r="AU26" s="66"/>
      <c r="AV26" s="66"/>
      <c r="AW26" s="66"/>
      <c r="AX26" s="66"/>
      <c r="AY26" s="66"/>
      <c r="AZ26" s="66"/>
      <c r="BA26" s="66"/>
      <c r="BB26" s="66"/>
      <c r="BC26" s="66"/>
      <c r="BD26" s="66"/>
      <c r="BE26" s="66"/>
      <c r="BF26" s="66"/>
      <c r="BG26" s="66"/>
      <c r="BH26" s="66"/>
      <c r="BI26" s="66"/>
      <c r="BJ26" s="66"/>
      <c r="BK26" s="66"/>
      <c r="BL26" s="66"/>
      <c r="BM26" s="66"/>
      <c r="BN26" s="66"/>
      <c r="BO26" s="66"/>
      <c r="BP26" s="66"/>
      <c r="BQ26" s="66"/>
      <c r="BR26" s="66"/>
      <c r="BS26" s="66"/>
      <c r="BT26" s="66"/>
      <c r="BU26" s="66"/>
      <c r="BV26" s="66"/>
      <c r="BW26" s="66"/>
      <c r="BX26" s="66"/>
      <c r="BY26" s="66"/>
      <c r="BZ26" s="66"/>
      <c r="CA26" s="66"/>
      <c r="CB26" s="66"/>
      <c r="CC26" s="66"/>
      <c r="CD26" s="66"/>
      <c r="CE26" s="66"/>
      <c r="CF26" s="66"/>
      <c r="CG26" s="66"/>
      <c r="CH26" s="66"/>
      <c r="CI26" s="66"/>
      <c r="CJ26" s="66"/>
      <c r="CK26" s="66"/>
      <c r="CL26" s="66"/>
      <c r="CM26" s="66"/>
      <c r="CN26" s="66"/>
      <c r="CO26" s="66"/>
      <c r="CP26" s="66"/>
      <c r="CQ26" s="66"/>
      <c r="CR26" s="66"/>
      <c r="CS26" s="66"/>
      <c r="CT26" s="66"/>
      <c r="CU26" s="66"/>
      <c r="CV26" s="66"/>
      <c r="CW26" s="66"/>
      <c r="CX26" s="66"/>
      <c r="CY26" s="66"/>
      <c r="CZ26" s="66"/>
      <c r="DA26" s="66"/>
      <c r="DB26" s="66"/>
      <c r="DC26" s="66"/>
      <c r="DD26" s="66"/>
      <c r="DE26" s="66"/>
      <c r="DF26" s="66"/>
      <c r="DG26" s="66"/>
      <c r="DH26" s="66"/>
      <c r="DI26" s="66"/>
      <c r="DJ26" s="66"/>
      <c r="DK26" s="66"/>
      <c r="DL26" s="66"/>
      <c r="DM26" s="66"/>
      <c r="DN26" s="66"/>
      <c r="DO26" s="66"/>
      <c r="DP26" s="66"/>
      <c r="DQ26" s="66"/>
      <c r="DR26" s="66"/>
      <c r="DS26" s="66"/>
      <c r="DT26" s="66"/>
      <c r="DU26" s="66"/>
      <c r="DV26" s="66"/>
      <c r="DW26" s="66"/>
      <c r="DX26" s="66"/>
      <c r="DY26" s="66"/>
      <c r="DZ26" s="66"/>
      <c r="EA26" s="66"/>
      <c r="EB26" s="66"/>
      <c r="EC26" s="66"/>
      <c r="ED26" s="66"/>
      <c r="EE26" s="66"/>
      <c r="EF26" s="66"/>
      <c r="EG26" s="66"/>
      <c r="EH26" s="66"/>
      <c r="EI26" s="66"/>
      <c r="EJ26" s="66"/>
      <c r="EK26" s="66"/>
      <c r="EL26" s="66"/>
      <c r="EM26" s="66"/>
      <c r="EN26" s="66"/>
      <c r="EO26" s="66"/>
      <c r="EP26" s="66"/>
      <c r="EQ26" s="66"/>
      <c r="ER26" s="66"/>
      <c r="ES26" s="66"/>
      <c r="ET26" s="66"/>
      <c r="EU26" s="66"/>
      <c r="EV26" s="66"/>
      <c r="EW26" s="66"/>
      <c r="EX26" s="66"/>
      <c r="EY26" s="66"/>
      <c r="EZ26" s="66"/>
      <c r="FA26" s="66"/>
      <c r="FB26" s="66"/>
      <c r="FC26" s="66"/>
      <c r="FD26" s="66"/>
      <c r="FE26" s="66"/>
      <c r="FF26" s="66"/>
      <c r="FG26" s="66"/>
      <c r="FH26" s="66"/>
      <c r="FI26" s="66"/>
      <c r="FJ26" s="66"/>
      <c r="FK26" s="66"/>
      <c r="FL26" s="66"/>
      <c r="FM26" s="66"/>
      <c r="FN26" s="66"/>
      <c r="FO26" s="66"/>
      <c r="FP26" s="66"/>
      <c r="FQ26" s="66"/>
      <c r="FR26" s="66"/>
      <c r="FS26" s="66"/>
      <c r="FT26" s="66"/>
      <c r="FU26" s="66"/>
      <c r="FV26" s="66"/>
      <c r="FW26" s="66"/>
      <c r="FX26" s="66"/>
      <c r="FY26" s="66"/>
      <c r="FZ26" s="66"/>
      <c r="GA26" s="66"/>
      <c r="GB26" s="66"/>
      <c r="GC26" s="66"/>
      <c r="GD26" s="66"/>
      <c r="GE26" s="66"/>
      <c r="GF26" s="66"/>
      <c r="GG26" s="66"/>
      <c r="GH26" s="66"/>
      <c r="GI26" s="66"/>
      <c r="GJ26" s="66"/>
      <c r="GK26" s="66"/>
      <c r="GL26" s="66"/>
      <c r="GM26" s="66"/>
      <c r="GN26" s="66"/>
      <c r="GO26" s="66"/>
      <c r="GP26" s="66"/>
      <c r="GQ26" s="66"/>
      <c r="GR26" s="66"/>
      <c r="GS26" s="66"/>
      <c r="GT26" s="66"/>
      <c r="GU26" s="66"/>
      <c r="GV26" s="66"/>
      <c r="GW26" s="66"/>
      <c r="GX26" s="66"/>
      <c r="GY26" s="66"/>
      <c r="GZ26" s="66"/>
      <c r="HA26" s="66"/>
      <c r="HB26" s="66"/>
      <c r="HC26" s="66"/>
      <c r="HD26" s="66"/>
      <c r="HE26" s="66"/>
      <c r="HF26" s="66"/>
      <c r="HG26" s="66"/>
      <c r="HH26" s="66"/>
      <c r="HI26" s="66"/>
      <c r="HJ26" s="66"/>
      <c r="HK26" s="66"/>
      <c r="HL26" s="66"/>
      <c r="HM26" s="66"/>
      <c r="HN26" s="66"/>
      <c r="HO26" s="66"/>
      <c r="HP26" s="66"/>
      <c r="HQ26" s="66"/>
      <c r="HR26" s="66"/>
      <c r="HS26" s="66"/>
      <c r="HT26" s="66"/>
      <c r="HU26" s="66"/>
      <c r="HV26" s="66"/>
      <c r="HW26" s="66"/>
      <c r="HX26" s="66"/>
      <c r="HY26" s="66"/>
      <c r="HZ26" s="66"/>
      <c r="IA26" s="66"/>
      <c r="IB26" s="66"/>
      <c r="IC26" s="66"/>
      <c r="ID26" s="66"/>
      <c r="IE26" s="66"/>
      <c r="IF26" s="66"/>
      <c r="IG26" s="66"/>
      <c r="IH26" s="66"/>
      <c r="II26" s="66"/>
      <c r="IJ26" s="66"/>
      <c r="IK26" s="66"/>
      <c r="IL26" s="66"/>
      <c r="IM26" s="66"/>
      <c r="IN26" s="66"/>
      <c r="IO26" s="66"/>
      <c r="IP26" s="66"/>
      <c r="IQ26" s="66"/>
      <c r="IR26" s="66"/>
      <c r="IS26" s="66"/>
      <c r="IT26" s="66"/>
      <c r="IU26" s="66"/>
      <c r="IV26" s="66"/>
    </row>
    <row r="27" spans="1:256" s="111" customFormat="1" ht="18" customHeight="1" thickBot="1">
      <c r="A27" s="66"/>
      <c r="B27" s="2308"/>
      <c r="C27" s="2309"/>
      <c r="D27" s="2313" t="s">
        <v>175</v>
      </c>
      <c r="E27" s="2313"/>
      <c r="F27" s="2313"/>
      <c r="G27" s="2313"/>
      <c r="H27" s="2313"/>
      <c r="I27" s="2313"/>
      <c r="J27" s="2313"/>
      <c r="K27" s="2310"/>
      <c r="L27" s="2311"/>
      <c r="M27" s="2311"/>
      <c r="N27" s="2311"/>
      <c r="O27" s="2311"/>
      <c r="P27" s="2312"/>
      <c r="Q27" s="66"/>
      <c r="R27" s="66"/>
      <c r="S27" s="66"/>
      <c r="T27" s="66"/>
      <c r="U27" s="66"/>
      <c r="V27" s="66"/>
      <c r="W27" s="66"/>
      <c r="X27" s="66"/>
      <c r="Y27" s="66"/>
      <c r="Z27" s="66"/>
      <c r="AA27" s="66"/>
      <c r="AB27" s="66"/>
      <c r="AC27" s="66"/>
      <c r="AD27" s="66"/>
      <c r="AE27" s="66"/>
      <c r="AF27" s="66"/>
      <c r="AG27" s="66"/>
      <c r="AH27" s="66"/>
      <c r="AI27" s="66"/>
      <c r="AJ27" s="66"/>
      <c r="AK27" s="66"/>
      <c r="AL27" s="66"/>
      <c r="AM27" s="66"/>
      <c r="AN27" s="66"/>
      <c r="AO27" s="66"/>
      <c r="AP27" s="66"/>
      <c r="AQ27" s="66"/>
      <c r="AR27" s="66"/>
      <c r="AS27" s="66"/>
      <c r="AT27" s="66"/>
      <c r="AU27" s="66"/>
      <c r="AV27" s="66"/>
      <c r="AW27" s="66"/>
      <c r="AX27" s="66"/>
      <c r="AY27" s="66"/>
      <c r="AZ27" s="66"/>
      <c r="BA27" s="66"/>
      <c r="BB27" s="66"/>
      <c r="BC27" s="66"/>
      <c r="BD27" s="66"/>
      <c r="BE27" s="66"/>
      <c r="BF27" s="66"/>
      <c r="BG27" s="66"/>
      <c r="BH27" s="66"/>
      <c r="BI27" s="66"/>
      <c r="BJ27" s="66"/>
      <c r="BK27" s="66"/>
      <c r="BL27" s="66"/>
      <c r="BM27" s="66"/>
      <c r="BN27" s="66"/>
      <c r="BO27" s="66"/>
      <c r="BP27" s="66"/>
      <c r="BQ27" s="66"/>
      <c r="BR27" s="66"/>
      <c r="BS27" s="66"/>
      <c r="BT27" s="66"/>
      <c r="BU27" s="66"/>
      <c r="BV27" s="66"/>
      <c r="BW27" s="66"/>
      <c r="BX27" s="66"/>
      <c r="BY27" s="66"/>
      <c r="BZ27" s="66"/>
      <c r="CA27" s="66"/>
      <c r="CB27" s="66"/>
      <c r="CC27" s="66"/>
      <c r="CD27" s="66"/>
      <c r="CE27" s="66"/>
      <c r="CF27" s="66"/>
      <c r="CG27" s="66"/>
      <c r="CH27" s="66"/>
      <c r="CI27" s="66"/>
      <c r="CJ27" s="66"/>
      <c r="CK27" s="66"/>
      <c r="CL27" s="66"/>
      <c r="CM27" s="66"/>
      <c r="CN27" s="66"/>
      <c r="CO27" s="66"/>
      <c r="CP27" s="66"/>
      <c r="CQ27" s="66"/>
      <c r="CR27" s="66"/>
      <c r="CS27" s="66"/>
      <c r="CT27" s="66"/>
      <c r="CU27" s="66"/>
      <c r="CV27" s="66"/>
      <c r="CW27" s="66"/>
      <c r="CX27" s="66"/>
      <c r="CY27" s="66"/>
      <c r="CZ27" s="66"/>
      <c r="DA27" s="66"/>
      <c r="DB27" s="66"/>
      <c r="DC27" s="66"/>
      <c r="DD27" s="66"/>
      <c r="DE27" s="66"/>
      <c r="DF27" s="66"/>
      <c r="DG27" s="66"/>
      <c r="DH27" s="66"/>
      <c r="DI27" s="66"/>
      <c r="DJ27" s="66"/>
      <c r="DK27" s="66"/>
      <c r="DL27" s="66"/>
      <c r="DM27" s="66"/>
      <c r="DN27" s="66"/>
      <c r="DO27" s="66"/>
      <c r="DP27" s="66"/>
      <c r="DQ27" s="66"/>
      <c r="DR27" s="66"/>
      <c r="DS27" s="66"/>
      <c r="DT27" s="66"/>
      <c r="DU27" s="66"/>
      <c r="DV27" s="66"/>
      <c r="DW27" s="66"/>
      <c r="DX27" s="66"/>
      <c r="DY27" s="66"/>
      <c r="DZ27" s="66"/>
      <c r="EA27" s="66"/>
      <c r="EB27" s="66"/>
      <c r="EC27" s="66"/>
      <c r="ED27" s="66"/>
      <c r="EE27" s="66"/>
      <c r="EF27" s="66"/>
      <c r="EG27" s="66"/>
      <c r="EH27" s="66"/>
      <c r="EI27" s="66"/>
      <c r="EJ27" s="66"/>
      <c r="EK27" s="66"/>
      <c r="EL27" s="66"/>
      <c r="EM27" s="66"/>
      <c r="EN27" s="66"/>
      <c r="EO27" s="66"/>
      <c r="EP27" s="66"/>
      <c r="EQ27" s="66"/>
      <c r="ER27" s="66"/>
      <c r="ES27" s="66"/>
      <c r="ET27" s="66"/>
      <c r="EU27" s="66"/>
      <c r="EV27" s="66"/>
      <c r="EW27" s="66"/>
      <c r="EX27" s="66"/>
      <c r="EY27" s="66"/>
      <c r="EZ27" s="66"/>
      <c r="FA27" s="66"/>
      <c r="FB27" s="66"/>
      <c r="FC27" s="66"/>
      <c r="FD27" s="66"/>
      <c r="FE27" s="66"/>
      <c r="FF27" s="66"/>
      <c r="FG27" s="66"/>
      <c r="FH27" s="66"/>
      <c r="FI27" s="66"/>
      <c r="FJ27" s="66"/>
      <c r="FK27" s="66"/>
      <c r="FL27" s="66"/>
      <c r="FM27" s="66"/>
      <c r="FN27" s="66"/>
      <c r="FO27" s="66"/>
      <c r="FP27" s="66"/>
      <c r="FQ27" s="66"/>
      <c r="FR27" s="66"/>
      <c r="FS27" s="66"/>
      <c r="FT27" s="66"/>
      <c r="FU27" s="66"/>
      <c r="FV27" s="66"/>
      <c r="FW27" s="66"/>
      <c r="FX27" s="66"/>
      <c r="FY27" s="66"/>
      <c r="FZ27" s="66"/>
      <c r="GA27" s="66"/>
      <c r="GB27" s="66"/>
      <c r="GC27" s="66"/>
      <c r="GD27" s="66"/>
      <c r="GE27" s="66"/>
      <c r="GF27" s="66"/>
      <c r="GG27" s="66"/>
      <c r="GH27" s="66"/>
      <c r="GI27" s="66"/>
      <c r="GJ27" s="66"/>
      <c r="GK27" s="66"/>
      <c r="GL27" s="66"/>
      <c r="GM27" s="66"/>
      <c r="GN27" s="66"/>
      <c r="GO27" s="66"/>
      <c r="GP27" s="66"/>
      <c r="GQ27" s="66"/>
      <c r="GR27" s="66"/>
      <c r="GS27" s="66"/>
      <c r="GT27" s="66"/>
      <c r="GU27" s="66"/>
      <c r="GV27" s="66"/>
      <c r="GW27" s="66"/>
      <c r="GX27" s="66"/>
      <c r="GY27" s="66"/>
      <c r="GZ27" s="66"/>
      <c r="HA27" s="66"/>
      <c r="HB27" s="66"/>
      <c r="HC27" s="66"/>
      <c r="HD27" s="66"/>
      <c r="HE27" s="66"/>
      <c r="HF27" s="66"/>
      <c r="HG27" s="66"/>
      <c r="HH27" s="66"/>
      <c r="HI27" s="66"/>
      <c r="HJ27" s="66"/>
      <c r="HK27" s="66"/>
      <c r="HL27" s="66"/>
      <c r="HM27" s="66"/>
      <c r="HN27" s="66"/>
      <c r="HO27" s="66"/>
      <c r="HP27" s="66"/>
      <c r="HQ27" s="66"/>
      <c r="HR27" s="66"/>
      <c r="HS27" s="66"/>
      <c r="HT27" s="66"/>
      <c r="HU27" s="66"/>
      <c r="HV27" s="66"/>
      <c r="HW27" s="66"/>
      <c r="HX27" s="66"/>
      <c r="HY27" s="66"/>
      <c r="HZ27" s="66"/>
      <c r="IA27" s="66"/>
      <c r="IB27" s="66"/>
      <c r="IC27" s="66"/>
      <c r="ID27" s="66"/>
      <c r="IE27" s="66"/>
      <c r="IF27" s="66"/>
      <c r="IG27" s="66"/>
      <c r="IH27" s="66"/>
      <c r="II27" s="66"/>
      <c r="IJ27" s="66"/>
      <c r="IK27" s="66"/>
      <c r="IL27" s="66"/>
      <c r="IM27" s="66"/>
      <c r="IN27" s="66"/>
      <c r="IO27" s="66"/>
      <c r="IP27" s="66"/>
      <c r="IQ27" s="66"/>
      <c r="IR27" s="66"/>
      <c r="IS27" s="66"/>
      <c r="IT27" s="66"/>
      <c r="IU27" s="66"/>
      <c r="IV27" s="66"/>
    </row>
    <row r="28" spans="1:256" s="111" customFormat="1" ht="12" customHeight="1">
      <c r="A28" s="66"/>
      <c r="B28" s="477"/>
      <c r="C28" s="477"/>
      <c r="D28" s="486"/>
      <c r="E28" s="66"/>
      <c r="F28" s="65"/>
      <c r="G28" s="66"/>
      <c r="H28" s="66"/>
      <c r="I28" s="66"/>
      <c r="J28" s="66"/>
      <c r="K28" s="486"/>
      <c r="L28" s="66"/>
      <c r="M28" s="66"/>
      <c r="N28" s="66"/>
      <c r="O28" s="66"/>
      <c r="P28" s="66"/>
      <c r="Q28" s="66"/>
      <c r="R28" s="66"/>
      <c r="S28" s="66"/>
      <c r="U28" s="66"/>
      <c r="V28" s="66"/>
      <c r="W28" s="66"/>
      <c r="X28" s="66"/>
      <c r="Y28" s="66"/>
      <c r="Z28" s="66"/>
      <c r="AA28" s="66"/>
      <c r="AB28" s="66"/>
      <c r="AC28" s="66"/>
      <c r="AD28" s="66"/>
      <c r="AE28" s="66"/>
      <c r="AF28" s="66"/>
      <c r="AG28" s="66"/>
      <c r="AH28" s="66"/>
      <c r="AI28" s="66"/>
      <c r="AJ28" s="66"/>
      <c r="AK28" s="66"/>
      <c r="AL28" s="66"/>
      <c r="AM28" s="66"/>
      <c r="AN28" s="66"/>
      <c r="AO28" s="66"/>
      <c r="AP28" s="66"/>
      <c r="AQ28" s="66"/>
      <c r="AR28" s="66"/>
      <c r="AS28" s="66"/>
      <c r="AT28" s="66"/>
      <c r="AU28" s="66"/>
      <c r="AV28" s="66"/>
      <c r="AW28" s="66"/>
      <c r="AX28" s="66"/>
      <c r="AY28" s="66"/>
      <c r="AZ28" s="66"/>
      <c r="BA28" s="66"/>
      <c r="BB28" s="66"/>
      <c r="BC28" s="66"/>
      <c r="BD28" s="66"/>
      <c r="BE28" s="66"/>
      <c r="BF28" s="66"/>
      <c r="BG28" s="66"/>
      <c r="BH28" s="66"/>
      <c r="BI28" s="66"/>
      <c r="BJ28" s="66"/>
      <c r="BK28" s="66"/>
      <c r="BL28" s="66"/>
      <c r="BM28" s="66"/>
      <c r="BN28" s="66"/>
      <c r="BO28" s="66"/>
      <c r="BP28" s="66"/>
      <c r="BQ28" s="66"/>
      <c r="BR28" s="66"/>
      <c r="BS28" s="66"/>
      <c r="BT28" s="66"/>
      <c r="BU28" s="66"/>
      <c r="BV28" s="66"/>
      <c r="BW28" s="66"/>
      <c r="BX28" s="66"/>
      <c r="BY28" s="66"/>
      <c r="BZ28" s="66"/>
      <c r="CA28" s="66"/>
      <c r="CB28" s="66"/>
      <c r="CC28" s="66"/>
      <c r="CD28" s="66"/>
      <c r="CE28" s="66"/>
      <c r="CF28" s="66"/>
      <c r="CG28" s="66"/>
      <c r="CH28" s="66"/>
      <c r="CI28" s="66"/>
      <c r="CJ28" s="66"/>
      <c r="CK28" s="66"/>
      <c r="CL28" s="66"/>
      <c r="CM28" s="66"/>
      <c r="CN28" s="66"/>
      <c r="CO28" s="66"/>
      <c r="CP28" s="66"/>
      <c r="CQ28" s="66"/>
      <c r="CR28" s="66"/>
      <c r="CS28" s="66"/>
      <c r="CT28" s="66"/>
      <c r="CU28" s="66"/>
      <c r="CV28" s="66"/>
      <c r="CW28" s="66"/>
      <c r="CX28" s="66"/>
      <c r="CY28" s="66"/>
      <c r="CZ28" s="66"/>
      <c r="DA28" s="66"/>
      <c r="DB28" s="66"/>
      <c r="DC28" s="66"/>
      <c r="DD28" s="66"/>
      <c r="DE28" s="66"/>
      <c r="DF28" s="66"/>
      <c r="DG28" s="66"/>
      <c r="DH28" s="66"/>
      <c r="DI28" s="66"/>
      <c r="DJ28" s="66"/>
      <c r="DK28" s="66"/>
      <c r="DL28" s="66"/>
      <c r="DM28" s="66"/>
      <c r="DN28" s="66"/>
      <c r="DO28" s="66"/>
      <c r="DP28" s="66"/>
      <c r="DQ28" s="66"/>
      <c r="DR28" s="66"/>
      <c r="DS28" s="66"/>
      <c r="DT28" s="66"/>
      <c r="DU28" s="66"/>
      <c r="DV28" s="66"/>
      <c r="DW28" s="66"/>
      <c r="DX28" s="66"/>
      <c r="DY28" s="66"/>
      <c r="DZ28" s="66"/>
      <c r="EA28" s="66"/>
      <c r="EB28" s="66"/>
      <c r="EC28" s="66"/>
      <c r="ED28" s="66"/>
      <c r="EE28" s="66"/>
      <c r="EF28" s="66"/>
      <c r="EG28" s="66"/>
      <c r="EH28" s="66"/>
      <c r="EI28" s="66"/>
      <c r="EJ28" s="66"/>
      <c r="EK28" s="66"/>
      <c r="EL28" s="66"/>
      <c r="EM28" s="66"/>
      <c r="EN28" s="66"/>
      <c r="EO28" s="66"/>
      <c r="EP28" s="66"/>
      <c r="EQ28" s="66"/>
      <c r="ER28" s="66"/>
      <c r="ES28" s="66"/>
      <c r="ET28" s="66"/>
      <c r="EU28" s="66"/>
      <c r="EV28" s="66"/>
      <c r="EW28" s="66"/>
      <c r="EX28" s="66"/>
      <c r="EY28" s="66"/>
      <c r="EZ28" s="66"/>
      <c r="FA28" s="66"/>
      <c r="FB28" s="66"/>
      <c r="FC28" s="66"/>
      <c r="FD28" s="66"/>
      <c r="FE28" s="66"/>
      <c r="FF28" s="66"/>
      <c r="FG28" s="66"/>
      <c r="FH28" s="66"/>
      <c r="FI28" s="66"/>
      <c r="FJ28" s="66"/>
      <c r="FK28" s="66"/>
      <c r="FL28" s="66"/>
      <c r="FM28" s="66"/>
      <c r="FN28" s="66"/>
      <c r="FO28" s="66"/>
      <c r="FP28" s="66"/>
      <c r="FQ28" s="66"/>
      <c r="FR28" s="66"/>
      <c r="FS28" s="66"/>
      <c r="FT28" s="66"/>
      <c r="FU28" s="66"/>
      <c r="FV28" s="66"/>
      <c r="FW28" s="66"/>
      <c r="FX28" s="66"/>
      <c r="FY28" s="66"/>
      <c r="FZ28" s="66"/>
      <c r="GA28" s="66"/>
      <c r="GB28" s="66"/>
      <c r="GC28" s="66"/>
      <c r="GD28" s="66"/>
      <c r="GE28" s="66"/>
      <c r="GF28" s="66"/>
      <c r="GG28" s="66"/>
      <c r="GH28" s="66"/>
      <c r="GI28" s="66"/>
      <c r="GJ28" s="66"/>
      <c r="GK28" s="66"/>
      <c r="GL28" s="66"/>
      <c r="GM28" s="66"/>
      <c r="GN28" s="66"/>
      <c r="GO28" s="66"/>
      <c r="GP28" s="66"/>
      <c r="GQ28" s="66"/>
      <c r="GR28" s="66"/>
      <c r="GS28" s="66"/>
      <c r="GT28" s="66"/>
      <c r="GU28" s="66"/>
      <c r="GV28" s="66"/>
      <c r="GW28" s="66"/>
      <c r="GX28" s="66"/>
      <c r="GY28" s="66"/>
      <c r="GZ28" s="66"/>
      <c r="HA28" s="66"/>
      <c r="HB28" s="66"/>
      <c r="HC28" s="66"/>
      <c r="HD28" s="66"/>
      <c r="HE28" s="66"/>
      <c r="HF28" s="66"/>
      <c r="HG28" s="66"/>
      <c r="HH28" s="66"/>
      <c r="HI28" s="66"/>
      <c r="HJ28" s="66"/>
      <c r="HK28" s="66"/>
      <c r="HL28" s="66"/>
      <c r="HM28" s="66"/>
      <c r="HN28" s="66"/>
      <c r="HO28" s="66"/>
      <c r="HP28" s="66"/>
      <c r="HQ28" s="66"/>
      <c r="HR28" s="66"/>
      <c r="HS28" s="66"/>
      <c r="HT28" s="66"/>
      <c r="HU28" s="66"/>
      <c r="HV28" s="66"/>
      <c r="HW28" s="66"/>
      <c r="HX28" s="66"/>
      <c r="HY28" s="66"/>
      <c r="HZ28" s="66"/>
      <c r="IA28" s="66"/>
      <c r="IB28" s="66"/>
      <c r="IC28" s="66"/>
      <c r="ID28" s="66"/>
      <c r="IE28" s="66"/>
      <c r="IF28" s="66"/>
      <c r="IG28" s="66"/>
      <c r="IH28" s="66"/>
      <c r="II28" s="66"/>
      <c r="IJ28" s="66"/>
      <c r="IK28" s="66"/>
      <c r="IL28" s="66"/>
      <c r="IM28" s="66"/>
      <c r="IN28" s="66"/>
      <c r="IO28" s="66"/>
      <c r="IP28" s="66"/>
      <c r="IQ28" s="66"/>
      <c r="IR28" s="66"/>
      <c r="IS28" s="66"/>
      <c r="IT28" s="66"/>
      <c r="IU28" s="66"/>
      <c r="IV28" s="66"/>
    </row>
    <row r="29" spans="1:256" s="111" customFormat="1" ht="18" customHeight="1" thickBot="1">
      <c r="A29" s="66"/>
      <c r="B29" s="67" t="s">
        <v>239</v>
      </c>
      <c r="C29" s="477"/>
      <c r="D29" s="486"/>
      <c r="E29" s="66"/>
      <c r="F29" s="65"/>
      <c r="G29" s="66"/>
      <c r="H29" s="66"/>
      <c r="I29" s="66"/>
      <c r="J29" s="66"/>
      <c r="K29" s="486"/>
      <c r="L29" s="66"/>
      <c r="M29" s="66"/>
      <c r="N29" s="66"/>
      <c r="O29" s="66"/>
      <c r="P29" s="66"/>
      <c r="Q29" s="66"/>
      <c r="R29" s="66"/>
      <c r="S29" s="66"/>
      <c r="T29" s="66"/>
      <c r="U29" s="66"/>
      <c r="V29" s="66"/>
      <c r="W29" s="66"/>
      <c r="X29" s="66"/>
      <c r="Y29" s="66"/>
      <c r="Z29" s="66"/>
      <c r="AA29" s="66"/>
      <c r="AB29" s="66"/>
      <c r="AC29" s="66"/>
      <c r="AD29" s="66"/>
      <c r="AE29" s="66"/>
      <c r="AF29" s="66"/>
      <c r="AG29" s="66"/>
      <c r="AH29" s="66"/>
      <c r="AI29" s="66"/>
      <c r="AJ29" s="66"/>
      <c r="AK29" s="66"/>
      <c r="AL29" s="66"/>
      <c r="AM29" s="66"/>
      <c r="AN29" s="66"/>
      <c r="AO29" s="66"/>
      <c r="AP29" s="66"/>
      <c r="AQ29" s="66"/>
      <c r="AR29" s="66"/>
      <c r="AS29" s="66"/>
      <c r="AT29" s="66"/>
      <c r="AU29" s="66"/>
      <c r="AV29" s="66"/>
      <c r="AW29" s="66"/>
      <c r="AX29" s="66"/>
      <c r="AY29" s="66"/>
      <c r="AZ29" s="66"/>
      <c r="BA29" s="66"/>
      <c r="BB29" s="66"/>
      <c r="BC29" s="66"/>
      <c r="BD29" s="66"/>
      <c r="BE29" s="66"/>
      <c r="BF29" s="66"/>
      <c r="BG29" s="66"/>
      <c r="BH29" s="66"/>
      <c r="BI29" s="66"/>
      <c r="BJ29" s="66"/>
      <c r="BK29" s="66"/>
      <c r="BL29" s="66"/>
      <c r="BM29" s="66"/>
      <c r="BN29" s="66"/>
      <c r="BO29" s="66"/>
      <c r="BP29" s="66"/>
      <c r="BQ29" s="66"/>
      <c r="BR29" s="66"/>
      <c r="BS29" s="66"/>
      <c r="BT29" s="66"/>
      <c r="BU29" s="66"/>
      <c r="BV29" s="66"/>
      <c r="BW29" s="66"/>
      <c r="BX29" s="66"/>
      <c r="BY29" s="66"/>
      <c r="BZ29" s="66"/>
      <c r="CA29" s="66"/>
      <c r="CB29" s="66"/>
      <c r="CC29" s="66"/>
      <c r="CD29" s="66"/>
      <c r="CE29" s="66"/>
      <c r="CF29" s="66"/>
      <c r="CG29" s="66"/>
      <c r="CH29" s="66"/>
      <c r="CI29" s="66"/>
      <c r="CJ29" s="66"/>
      <c r="CK29" s="66"/>
      <c r="CL29" s="66"/>
      <c r="CM29" s="66"/>
      <c r="CN29" s="66"/>
      <c r="CO29" s="66"/>
      <c r="CP29" s="66"/>
      <c r="CQ29" s="66"/>
      <c r="CR29" s="66"/>
      <c r="CS29" s="66"/>
      <c r="CT29" s="66"/>
      <c r="CU29" s="66"/>
      <c r="CV29" s="66"/>
      <c r="CW29" s="66"/>
      <c r="CX29" s="66"/>
      <c r="CY29" s="66"/>
      <c r="CZ29" s="66"/>
      <c r="DA29" s="66"/>
      <c r="DB29" s="66"/>
      <c r="DC29" s="66"/>
      <c r="DD29" s="66"/>
      <c r="DE29" s="66"/>
      <c r="DF29" s="66"/>
      <c r="DG29" s="66"/>
      <c r="DH29" s="66"/>
      <c r="DI29" s="66"/>
      <c r="DJ29" s="66"/>
      <c r="DK29" s="66"/>
      <c r="DL29" s="66"/>
      <c r="DM29" s="66"/>
      <c r="DN29" s="66"/>
      <c r="DO29" s="66"/>
      <c r="DP29" s="66"/>
      <c r="DQ29" s="66"/>
      <c r="DR29" s="66"/>
      <c r="DS29" s="66"/>
      <c r="DT29" s="66"/>
      <c r="DU29" s="66"/>
      <c r="DV29" s="66"/>
      <c r="DW29" s="66"/>
      <c r="DX29" s="66"/>
      <c r="DY29" s="66"/>
      <c r="DZ29" s="66"/>
      <c r="EA29" s="66"/>
      <c r="EB29" s="66"/>
      <c r="EC29" s="66"/>
      <c r="ED29" s="66"/>
      <c r="EE29" s="66"/>
      <c r="EF29" s="66"/>
      <c r="EG29" s="66"/>
      <c r="EH29" s="66"/>
      <c r="EI29" s="66"/>
      <c r="EJ29" s="66"/>
      <c r="EK29" s="66"/>
      <c r="EL29" s="66"/>
      <c r="EM29" s="66"/>
      <c r="EN29" s="66"/>
      <c r="EO29" s="66"/>
      <c r="EP29" s="66"/>
      <c r="EQ29" s="66"/>
      <c r="ER29" s="66"/>
      <c r="ES29" s="66"/>
      <c r="ET29" s="66"/>
      <c r="EU29" s="66"/>
      <c r="EV29" s="66"/>
      <c r="EW29" s="66"/>
      <c r="EX29" s="66"/>
      <c r="EY29" s="66"/>
      <c r="EZ29" s="66"/>
      <c r="FA29" s="66"/>
      <c r="FB29" s="66"/>
      <c r="FC29" s="66"/>
      <c r="FD29" s="66"/>
      <c r="FE29" s="66"/>
      <c r="FF29" s="66"/>
      <c r="FG29" s="66"/>
      <c r="FH29" s="66"/>
      <c r="FI29" s="66"/>
      <c r="FJ29" s="66"/>
      <c r="FK29" s="66"/>
      <c r="FL29" s="66"/>
      <c r="FM29" s="66"/>
      <c r="FN29" s="66"/>
      <c r="FO29" s="66"/>
      <c r="FP29" s="66"/>
      <c r="FQ29" s="66"/>
      <c r="FR29" s="66"/>
      <c r="FS29" s="66"/>
      <c r="FT29" s="66"/>
      <c r="FU29" s="66"/>
      <c r="FV29" s="66"/>
      <c r="FW29" s="66"/>
      <c r="FX29" s="66"/>
      <c r="FY29" s="66"/>
      <c r="FZ29" s="66"/>
      <c r="GA29" s="66"/>
      <c r="GB29" s="66"/>
      <c r="GC29" s="66"/>
      <c r="GD29" s="66"/>
      <c r="GE29" s="66"/>
      <c r="GF29" s="66"/>
      <c r="GG29" s="66"/>
      <c r="GH29" s="66"/>
      <c r="GI29" s="66"/>
      <c r="GJ29" s="66"/>
      <c r="GK29" s="66"/>
      <c r="GL29" s="66"/>
      <c r="GM29" s="66"/>
      <c r="GN29" s="66"/>
      <c r="GO29" s="66"/>
      <c r="GP29" s="66"/>
      <c r="GQ29" s="66"/>
      <c r="GR29" s="66"/>
      <c r="GS29" s="66"/>
      <c r="GT29" s="66"/>
      <c r="GU29" s="66"/>
      <c r="GV29" s="66"/>
      <c r="GW29" s="66"/>
      <c r="GX29" s="66"/>
      <c r="GY29" s="66"/>
      <c r="GZ29" s="66"/>
      <c r="HA29" s="66"/>
      <c r="HB29" s="66"/>
      <c r="HC29" s="66"/>
      <c r="HD29" s="66"/>
      <c r="HE29" s="66"/>
      <c r="HF29" s="66"/>
      <c r="HG29" s="66"/>
      <c r="HH29" s="66"/>
      <c r="HI29" s="66"/>
      <c r="HJ29" s="66"/>
      <c r="HK29" s="66"/>
      <c r="HL29" s="66"/>
      <c r="HM29" s="66"/>
      <c r="HN29" s="66"/>
      <c r="HO29" s="66"/>
      <c r="HP29" s="66"/>
      <c r="HQ29" s="66"/>
      <c r="HR29" s="66"/>
      <c r="HS29" s="66"/>
      <c r="HT29" s="66"/>
      <c r="HU29" s="66"/>
      <c r="HV29" s="66"/>
      <c r="HW29" s="66"/>
      <c r="HX29" s="66"/>
      <c r="HY29" s="66"/>
      <c r="HZ29" s="66"/>
      <c r="IA29" s="66"/>
      <c r="IB29" s="66"/>
      <c r="IC29" s="66"/>
      <c r="ID29" s="66"/>
      <c r="IE29" s="66"/>
      <c r="IF29" s="66"/>
      <c r="IG29" s="66"/>
      <c r="IH29" s="66"/>
      <c r="II29" s="66"/>
      <c r="IJ29" s="66"/>
      <c r="IK29" s="66"/>
      <c r="IL29" s="66"/>
      <c r="IM29" s="66"/>
      <c r="IN29" s="66"/>
      <c r="IO29" s="66"/>
      <c r="IP29" s="66"/>
      <c r="IQ29" s="66"/>
      <c r="IR29" s="66"/>
      <c r="IS29" s="66"/>
      <c r="IT29" s="66"/>
      <c r="IU29" s="66"/>
      <c r="IV29" s="66"/>
    </row>
    <row r="30" spans="1:256" s="111" customFormat="1" ht="18" customHeight="1">
      <c r="A30" s="66"/>
      <c r="B30" s="1288" t="s">
        <v>119</v>
      </c>
      <c r="C30" s="1289"/>
      <c r="D30" s="1198" t="s">
        <v>120</v>
      </c>
      <c r="E30" s="1199"/>
      <c r="F30" s="1199"/>
      <c r="G30" s="1199"/>
      <c r="H30" s="1199"/>
      <c r="I30" s="1199"/>
      <c r="J30" s="1199"/>
      <c r="K30" s="1199"/>
      <c r="L30" s="1199"/>
      <c r="M30" s="1199" t="s">
        <v>176</v>
      </c>
      <c r="N30" s="1199"/>
      <c r="O30" s="1199"/>
      <c r="P30" s="1200"/>
      <c r="Q30" s="66"/>
      <c r="R30" s="66"/>
      <c r="S30" s="66"/>
      <c r="T30" s="66"/>
      <c r="U30" s="66"/>
      <c r="V30" s="66"/>
      <c r="W30" s="66"/>
      <c r="X30" s="66"/>
      <c r="Y30" s="66"/>
      <c r="Z30" s="66"/>
      <c r="AA30" s="66"/>
      <c r="AB30" s="66"/>
      <c r="AC30" s="66"/>
      <c r="AD30" s="66"/>
      <c r="AE30" s="66"/>
      <c r="AF30" s="66"/>
      <c r="AG30" s="66"/>
      <c r="AH30" s="66"/>
      <c r="AI30" s="66"/>
      <c r="AJ30" s="66"/>
      <c r="AK30" s="66"/>
      <c r="AL30" s="66"/>
      <c r="AM30" s="66"/>
      <c r="AN30" s="66"/>
      <c r="AO30" s="66"/>
      <c r="AP30" s="66"/>
      <c r="AQ30" s="66"/>
      <c r="AR30" s="66"/>
      <c r="AS30" s="66"/>
      <c r="AT30" s="66"/>
      <c r="AU30" s="66"/>
      <c r="AV30" s="66"/>
      <c r="AW30" s="66"/>
      <c r="AX30" s="66"/>
      <c r="AY30" s="66"/>
      <c r="AZ30" s="66"/>
      <c r="BA30" s="66"/>
      <c r="BB30" s="66"/>
      <c r="BC30" s="66"/>
      <c r="BD30" s="66"/>
      <c r="BE30" s="66"/>
      <c r="BF30" s="66"/>
      <c r="BG30" s="66"/>
      <c r="BH30" s="66"/>
      <c r="BI30" s="66"/>
      <c r="BJ30" s="66"/>
      <c r="BK30" s="66"/>
      <c r="BL30" s="66"/>
      <c r="BM30" s="66"/>
      <c r="BN30" s="66"/>
      <c r="BO30" s="66"/>
      <c r="BP30" s="66"/>
      <c r="BQ30" s="66"/>
      <c r="BR30" s="66"/>
      <c r="BS30" s="66"/>
      <c r="BT30" s="66"/>
      <c r="BU30" s="66"/>
      <c r="BV30" s="66"/>
      <c r="BW30" s="66"/>
      <c r="BX30" s="66"/>
      <c r="BY30" s="66"/>
      <c r="BZ30" s="66"/>
      <c r="CA30" s="66"/>
      <c r="CB30" s="66"/>
      <c r="CC30" s="66"/>
      <c r="CD30" s="66"/>
      <c r="CE30" s="66"/>
      <c r="CF30" s="66"/>
      <c r="CG30" s="66"/>
      <c r="CH30" s="66"/>
      <c r="CI30" s="66"/>
      <c r="CJ30" s="66"/>
      <c r="CK30" s="66"/>
      <c r="CL30" s="66"/>
      <c r="CM30" s="66"/>
      <c r="CN30" s="66"/>
      <c r="CO30" s="66"/>
      <c r="CP30" s="66"/>
      <c r="CQ30" s="66"/>
      <c r="CR30" s="66"/>
      <c r="CS30" s="66"/>
      <c r="CT30" s="66"/>
      <c r="CU30" s="66"/>
      <c r="CV30" s="66"/>
      <c r="CW30" s="66"/>
      <c r="CX30" s="66"/>
      <c r="CY30" s="66"/>
      <c r="CZ30" s="66"/>
      <c r="DA30" s="66"/>
      <c r="DB30" s="66"/>
      <c r="DC30" s="66"/>
      <c r="DD30" s="66"/>
      <c r="DE30" s="66"/>
      <c r="DF30" s="66"/>
      <c r="DG30" s="66"/>
      <c r="DH30" s="66"/>
      <c r="DI30" s="66"/>
      <c r="DJ30" s="66"/>
      <c r="DK30" s="66"/>
      <c r="DL30" s="66"/>
      <c r="DM30" s="66"/>
      <c r="DN30" s="66"/>
      <c r="DO30" s="66"/>
      <c r="DP30" s="66"/>
      <c r="DQ30" s="66"/>
      <c r="DR30" s="66"/>
      <c r="DS30" s="66"/>
      <c r="DT30" s="66"/>
      <c r="DU30" s="66"/>
      <c r="DV30" s="66"/>
      <c r="DW30" s="66"/>
      <c r="DX30" s="66"/>
      <c r="DY30" s="66"/>
      <c r="DZ30" s="66"/>
      <c r="EA30" s="66"/>
      <c r="EB30" s="66"/>
      <c r="EC30" s="66"/>
      <c r="ED30" s="66"/>
      <c r="EE30" s="66"/>
      <c r="EF30" s="66"/>
      <c r="EG30" s="66"/>
      <c r="EH30" s="66"/>
      <c r="EI30" s="66"/>
      <c r="EJ30" s="66"/>
      <c r="EK30" s="66"/>
      <c r="EL30" s="66"/>
      <c r="EM30" s="66"/>
      <c r="EN30" s="66"/>
      <c r="EO30" s="66"/>
      <c r="EP30" s="66"/>
      <c r="EQ30" s="66"/>
      <c r="ER30" s="66"/>
      <c r="ES30" s="66"/>
      <c r="ET30" s="66"/>
      <c r="EU30" s="66"/>
      <c r="EV30" s="66"/>
      <c r="EW30" s="66"/>
      <c r="EX30" s="66"/>
      <c r="EY30" s="66"/>
      <c r="EZ30" s="66"/>
      <c r="FA30" s="66"/>
      <c r="FB30" s="66"/>
      <c r="FC30" s="66"/>
      <c r="FD30" s="66"/>
      <c r="FE30" s="66"/>
      <c r="FF30" s="66"/>
      <c r="FG30" s="66"/>
      <c r="FH30" s="66"/>
      <c r="FI30" s="66"/>
      <c r="FJ30" s="66"/>
      <c r="FK30" s="66"/>
      <c r="FL30" s="66"/>
      <c r="FM30" s="66"/>
      <c r="FN30" s="66"/>
      <c r="FO30" s="66"/>
      <c r="FP30" s="66"/>
      <c r="FQ30" s="66"/>
      <c r="FR30" s="66"/>
      <c r="FS30" s="66"/>
      <c r="FT30" s="66"/>
      <c r="FU30" s="66"/>
      <c r="FV30" s="66"/>
      <c r="FW30" s="66"/>
      <c r="FX30" s="66"/>
      <c r="FY30" s="66"/>
      <c r="FZ30" s="66"/>
      <c r="GA30" s="66"/>
      <c r="GB30" s="66"/>
      <c r="GC30" s="66"/>
      <c r="GD30" s="66"/>
      <c r="GE30" s="66"/>
      <c r="GF30" s="66"/>
      <c r="GG30" s="66"/>
      <c r="GH30" s="66"/>
      <c r="GI30" s="66"/>
      <c r="GJ30" s="66"/>
      <c r="GK30" s="66"/>
      <c r="GL30" s="66"/>
      <c r="GM30" s="66"/>
      <c r="GN30" s="66"/>
      <c r="GO30" s="66"/>
      <c r="GP30" s="66"/>
      <c r="GQ30" s="66"/>
      <c r="GR30" s="66"/>
      <c r="GS30" s="66"/>
      <c r="GT30" s="66"/>
      <c r="GU30" s="66"/>
      <c r="GV30" s="66"/>
      <c r="GW30" s="66"/>
      <c r="GX30" s="66"/>
      <c r="GY30" s="66"/>
      <c r="GZ30" s="66"/>
      <c r="HA30" s="66"/>
      <c r="HB30" s="66"/>
      <c r="HC30" s="66"/>
      <c r="HD30" s="66"/>
      <c r="HE30" s="66"/>
      <c r="HF30" s="66"/>
      <c r="HG30" s="66"/>
      <c r="HH30" s="66"/>
      <c r="HI30" s="66"/>
      <c r="HJ30" s="66"/>
      <c r="HK30" s="66"/>
      <c r="HL30" s="66"/>
      <c r="HM30" s="66"/>
      <c r="HN30" s="66"/>
      <c r="HO30" s="66"/>
      <c r="HP30" s="66"/>
      <c r="HQ30" s="66"/>
      <c r="HR30" s="66"/>
      <c r="HS30" s="66"/>
      <c r="HT30" s="66"/>
      <c r="HU30" s="66"/>
      <c r="HV30" s="66"/>
      <c r="HW30" s="66"/>
      <c r="HX30" s="66"/>
      <c r="HY30" s="66"/>
      <c r="HZ30" s="66"/>
      <c r="IA30" s="66"/>
      <c r="IB30" s="66"/>
      <c r="IC30" s="66"/>
      <c r="ID30" s="66"/>
      <c r="IE30" s="66"/>
      <c r="IF30" s="66"/>
      <c r="IG30" s="66"/>
      <c r="IH30" s="66"/>
      <c r="II30" s="66"/>
      <c r="IJ30" s="66"/>
      <c r="IK30" s="66"/>
      <c r="IL30" s="66"/>
      <c r="IM30" s="66"/>
      <c r="IN30" s="66"/>
      <c r="IO30" s="66"/>
      <c r="IP30" s="66"/>
      <c r="IQ30" s="66"/>
      <c r="IR30" s="66"/>
      <c r="IS30" s="66"/>
      <c r="IT30" s="66"/>
      <c r="IU30" s="66"/>
      <c r="IV30" s="66"/>
    </row>
    <row r="31" spans="1:256" s="111" customFormat="1" ht="18" customHeight="1">
      <c r="A31" s="66"/>
      <c r="B31" s="2325" t="s">
        <v>177</v>
      </c>
      <c r="C31" s="2326"/>
      <c r="D31" s="2327" t="s">
        <v>430</v>
      </c>
      <c r="E31" s="2328"/>
      <c r="F31" s="2328"/>
      <c r="G31" s="2328"/>
      <c r="H31" s="2328"/>
      <c r="I31" s="2328"/>
      <c r="J31" s="2328"/>
      <c r="K31" s="2328"/>
      <c r="L31" s="2329"/>
      <c r="M31" s="2330" t="s">
        <v>431</v>
      </c>
      <c r="N31" s="2331"/>
      <c r="O31" s="2331"/>
      <c r="P31" s="2332"/>
      <c r="Q31" s="66"/>
      <c r="R31" s="66"/>
      <c r="S31" s="66"/>
      <c r="T31" s="66"/>
      <c r="U31" s="66"/>
      <c r="V31" s="66"/>
      <c r="W31" s="66"/>
      <c r="X31" s="66"/>
      <c r="Y31" s="66"/>
      <c r="Z31" s="66"/>
      <c r="AA31" s="66"/>
      <c r="AB31" s="66"/>
      <c r="AC31" s="66"/>
      <c r="AD31" s="66"/>
      <c r="AE31" s="66"/>
      <c r="AF31" s="66"/>
      <c r="AG31" s="66"/>
      <c r="AH31" s="66"/>
      <c r="AI31" s="66"/>
      <c r="AJ31" s="66"/>
      <c r="AK31" s="66"/>
      <c r="AL31" s="66"/>
      <c r="AM31" s="66"/>
      <c r="AN31" s="66"/>
      <c r="AO31" s="66"/>
      <c r="AP31" s="66"/>
      <c r="AQ31" s="66"/>
      <c r="AR31" s="66"/>
      <c r="AS31" s="66"/>
      <c r="AT31" s="66"/>
      <c r="AU31" s="66"/>
      <c r="AV31" s="66"/>
      <c r="AW31" s="66"/>
      <c r="AX31" s="66"/>
      <c r="AY31" s="66"/>
      <c r="AZ31" s="66"/>
      <c r="BA31" s="66"/>
      <c r="BB31" s="66"/>
      <c r="BC31" s="66"/>
      <c r="BD31" s="66"/>
      <c r="BE31" s="66"/>
      <c r="BF31" s="66"/>
      <c r="BG31" s="66"/>
      <c r="BH31" s="66"/>
      <c r="BI31" s="66"/>
      <c r="BJ31" s="66"/>
      <c r="BK31" s="66"/>
      <c r="BL31" s="66"/>
      <c r="BM31" s="66"/>
      <c r="BN31" s="66"/>
      <c r="BO31" s="66"/>
      <c r="BP31" s="66"/>
      <c r="BQ31" s="66"/>
      <c r="BR31" s="66"/>
      <c r="BS31" s="66"/>
      <c r="BT31" s="66"/>
      <c r="BU31" s="66"/>
      <c r="BV31" s="66"/>
      <c r="BW31" s="66"/>
      <c r="BX31" s="66"/>
      <c r="BY31" s="66"/>
      <c r="BZ31" s="66"/>
      <c r="CA31" s="66"/>
      <c r="CB31" s="66"/>
      <c r="CC31" s="66"/>
      <c r="CD31" s="66"/>
      <c r="CE31" s="66"/>
      <c r="CF31" s="66"/>
      <c r="CG31" s="66"/>
      <c r="CH31" s="66"/>
      <c r="CI31" s="66"/>
      <c r="CJ31" s="66"/>
      <c r="CK31" s="66"/>
      <c r="CL31" s="66"/>
      <c r="CM31" s="66"/>
      <c r="CN31" s="66"/>
      <c r="CO31" s="66"/>
      <c r="CP31" s="66"/>
      <c r="CQ31" s="66"/>
      <c r="CR31" s="66"/>
      <c r="CS31" s="66"/>
      <c r="CT31" s="66"/>
      <c r="CU31" s="66"/>
      <c r="CV31" s="66"/>
      <c r="CW31" s="66"/>
      <c r="CX31" s="66"/>
      <c r="CY31" s="66"/>
      <c r="CZ31" s="66"/>
      <c r="DA31" s="66"/>
      <c r="DB31" s="66"/>
      <c r="DC31" s="66"/>
      <c r="DD31" s="66"/>
      <c r="DE31" s="66"/>
      <c r="DF31" s="66"/>
      <c r="DG31" s="66"/>
      <c r="DH31" s="66"/>
      <c r="DI31" s="66"/>
      <c r="DJ31" s="66"/>
      <c r="DK31" s="66"/>
      <c r="DL31" s="66"/>
      <c r="DM31" s="66"/>
      <c r="DN31" s="66"/>
      <c r="DO31" s="66"/>
      <c r="DP31" s="66"/>
      <c r="DQ31" s="66"/>
      <c r="DR31" s="66"/>
      <c r="DS31" s="66"/>
      <c r="DT31" s="66"/>
      <c r="DU31" s="66"/>
      <c r="DV31" s="66"/>
      <c r="DW31" s="66"/>
      <c r="DX31" s="66"/>
      <c r="DY31" s="66"/>
      <c r="DZ31" s="66"/>
      <c r="EA31" s="66"/>
      <c r="EB31" s="66"/>
      <c r="EC31" s="66"/>
      <c r="ED31" s="66"/>
      <c r="EE31" s="66"/>
      <c r="EF31" s="66"/>
      <c r="EG31" s="66"/>
      <c r="EH31" s="66"/>
      <c r="EI31" s="66"/>
      <c r="EJ31" s="66"/>
      <c r="EK31" s="66"/>
      <c r="EL31" s="66"/>
      <c r="EM31" s="66"/>
      <c r="EN31" s="66"/>
      <c r="EO31" s="66"/>
      <c r="EP31" s="66"/>
      <c r="EQ31" s="66"/>
      <c r="ER31" s="66"/>
      <c r="ES31" s="66"/>
      <c r="ET31" s="66"/>
      <c r="EU31" s="66"/>
      <c r="EV31" s="66"/>
      <c r="EW31" s="66"/>
      <c r="EX31" s="66"/>
      <c r="EY31" s="66"/>
      <c r="EZ31" s="66"/>
      <c r="FA31" s="66"/>
      <c r="FB31" s="66"/>
      <c r="FC31" s="66"/>
      <c r="FD31" s="66"/>
      <c r="FE31" s="66"/>
      <c r="FF31" s="66"/>
      <c r="FG31" s="66"/>
      <c r="FH31" s="66"/>
      <c r="FI31" s="66"/>
      <c r="FJ31" s="66"/>
      <c r="FK31" s="66"/>
      <c r="FL31" s="66"/>
      <c r="FM31" s="66"/>
      <c r="FN31" s="66"/>
      <c r="FO31" s="66"/>
      <c r="FP31" s="66"/>
      <c r="FQ31" s="66"/>
      <c r="FR31" s="66"/>
      <c r="FS31" s="66"/>
      <c r="FT31" s="66"/>
      <c r="FU31" s="66"/>
      <c r="FV31" s="66"/>
      <c r="FW31" s="66"/>
      <c r="FX31" s="66"/>
      <c r="FY31" s="66"/>
      <c r="FZ31" s="66"/>
      <c r="GA31" s="66"/>
      <c r="GB31" s="66"/>
      <c r="GC31" s="66"/>
      <c r="GD31" s="66"/>
      <c r="GE31" s="66"/>
      <c r="GF31" s="66"/>
      <c r="GG31" s="66"/>
      <c r="GH31" s="66"/>
      <c r="GI31" s="66"/>
      <c r="GJ31" s="66"/>
      <c r="GK31" s="66"/>
      <c r="GL31" s="66"/>
      <c r="GM31" s="66"/>
      <c r="GN31" s="66"/>
      <c r="GO31" s="66"/>
      <c r="GP31" s="66"/>
      <c r="GQ31" s="66"/>
      <c r="GR31" s="66"/>
      <c r="GS31" s="66"/>
      <c r="GT31" s="66"/>
      <c r="GU31" s="66"/>
      <c r="GV31" s="66"/>
      <c r="GW31" s="66"/>
      <c r="GX31" s="66"/>
      <c r="GY31" s="66"/>
      <c r="GZ31" s="66"/>
      <c r="HA31" s="66"/>
      <c r="HB31" s="66"/>
      <c r="HC31" s="66"/>
      <c r="HD31" s="66"/>
      <c r="HE31" s="66"/>
      <c r="HF31" s="66"/>
      <c r="HG31" s="66"/>
      <c r="HH31" s="66"/>
      <c r="HI31" s="66"/>
      <c r="HJ31" s="66"/>
      <c r="HK31" s="66"/>
      <c r="HL31" s="66"/>
      <c r="HM31" s="66"/>
      <c r="HN31" s="66"/>
      <c r="HO31" s="66"/>
      <c r="HP31" s="66"/>
      <c r="HQ31" s="66"/>
      <c r="HR31" s="66"/>
      <c r="HS31" s="66"/>
      <c r="HT31" s="66"/>
      <c r="HU31" s="66"/>
      <c r="HV31" s="66"/>
      <c r="HW31" s="66"/>
      <c r="HX31" s="66"/>
      <c r="HY31" s="66"/>
      <c r="HZ31" s="66"/>
      <c r="IA31" s="66"/>
      <c r="IB31" s="66"/>
      <c r="IC31" s="66"/>
      <c r="ID31" s="66"/>
      <c r="IE31" s="66"/>
      <c r="IF31" s="66"/>
      <c r="IG31" s="66"/>
      <c r="IH31" s="66"/>
      <c r="II31" s="66"/>
      <c r="IJ31" s="66"/>
      <c r="IK31" s="66"/>
      <c r="IL31" s="66"/>
      <c r="IM31" s="66"/>
      <c r="IN31" s="66"/>
      <c r="IO31" s="66"/>
      <c r="IP31" s="66"/>
      <c r="IQ31" s="66"/>
      <c r="IR31" s="66"/>
      <c r="IS31" s="66"/>
      <c r="IT31" s="66"/>
      <c r="IU31" s="66"/>
      <c r="IV31" s="66"/>
    </row>
    <row r="32" spans="1:256" s="111" customFormat="1" ht="18" customHeight="1" thickBot="1">
      <c r="A32" s="66"/>
      <c r="B32" s="1741" t="s">
        <v>178</v>
      </c>
      <c r="C32" s="1742"/>
      <c r="D32" s="2139" t="s">
        <v>432</v>
      </c>
      <c r="E32" s="2140"/>
      <c r="F32" s="2140"/>
      <c r="G32" s="2140"/>
      <c r="H32" s="2140"/>
      <c r="I32" s="2140"/>
      <c r="J32" s="2140"/>
      <c r="K32" s="2140"/>
      <c r="L32" s="2333"/>
      <c r="M32" s="1361"/>
      <c r="N32" s="1361"/>
      <c r="O32" s="1361"/>
      <c r="P32" s="2229"/>
      <c r="Q32" s="66"/>
      <c r="R32" s="66"/>
      <c r="S32" s="66"/>
      <c r="T32" s="66"/>
      <c r="U32" s="66"/>
      <c r="V32" s="66"/>
      <c r="W32" s="66"/>
      <c r="X32" s="66"/>
      <c r="Y32" s="66"/>
      <c r="Z32" s="66"/>
      <c r="AA32" s="66"/>
      <c r="AB32" s="66"/>
      <c r="AC32" s="66"/>
      <c r="AD32" s="66"/>
      <c r="AE32" s="66"/>
      <c r="AF32" s="66"/>
      <c r="AG32" s="66"/>
      <c r="AH32" s="66"/>
      <c r="AI32" s="66"/>
      <c r="AJ32" s="66"/>
      <c r="AK32" s="66"/>
      <c r="AL32" s="66"/>
      <c r="AM32" s="66"/>
      <c r="AN32" s="66"/>
      <c r="AO32" s="66"/>
      <c r="AP32" s="66"/>
      <c r="AQ32" s="66"/>
      <c r="AR32" s="66"/>
      <c r="AS32" s="66"/>
      <c r="AT32" s="66"/>
      <c r="AU32" s="66"/>
      <c r="AV32" s="66"/>
      <c r="AW32" s="66"/>
      <c r="AX32" s="66"/>
      <c r="AY32" s="66"/>
      <c r="AZ32" s="66"/>
      <c r="BA32" s="66"/>
      <c r="BB32" s="66"/>
      <c r="BC32" s="66"/>
      <c r="BD32" s="66"/>
      <c r="BE32" s="66"/>
      <c r="BF32" s="66"/>
      <c r="BG32" s="66"/>
      <c r="BH32" s="66"/>
      <c r="BI32" s="66"/>
      <c r="BJ32" s="66"/>
      <c r="BK32" s="66"/>
      <c r="BL32" s="66"/>
      <c r="BM32" s="66"/>
      <c r="BN32" s="66"/>
      <c r="BO32" s="66"/>
      <c r="BP32" s="66"/>
      <c r="BQ32" s="66"/>
      <c r="BR32" s="66"/>
      <c r="BS32" s="66"/>
      <c r="BT32" s="66"/>
      <c r="BU32" s="66"/>
      <c r="BV32" s="66"/>
      <c r="BW32" s="66"/>
      <c r="BX32" s="66"/>
      <c r="BY32" s="66"/>
      <c r="BZ32" s="66"/>
      <c r="CA32" s="66"/>
      <c r="CB32" s="66"/>
      <c r="CC32" s="66"/>
      <c r="CD32" s="66"/>
      <c r="CE32" s="66"/>
      <c r="CF32" s="66"/>
      <c r="CG32" s="66"/>
      <c r="CH32" s="66"/>
      <c r="CI32" s="66"/>
      <c r="CJ32" s="66"/>
      <c r="CK32" s="66"/>
      <c r="CL32" s="66"/>
      <c r="CM32" s="66"/>
      <c r="CN32" s="66"/>
      <c r="CO32" s="66"/>
      <c r="CP32" s="66"/>
      <c r="CQ32" s="66"/>
      <c r="CR32" s="66"/>
      <c r="CS32" s="66"/>
      <c r="CT32" s="66"/>
      <c r="CU32" s="66"/>
      <c r="CV32" s="66"/>
      <c r="CW32" s="66"/>
      <c r="CX32" s="66"/>
      <c r="CY32" s="66"/>
      <c r="CZ32" s="66"/>
      <c r="DA32" s="66"/>
      <c r="DB32" s="66"/>
      <c r="DC32" s="66"/>
      <c r="DD32" s="66"/>
      <c r="DE32" s="66"/>
      <c r="DF32" s="66"/>
      <c r="DG32" s="66"/>
      <c r="DH32" s="66"/>
      <c r="DI32" s="66"/>
      <c r="DJ32" s="66"/>
      <c r="DK32" s="66"/>
      <c r="DL32" s="66"/>
      <c r="DM32" s="66"/>
      <c r="DN32" s="66"/>
      <c r="DO32" s="66"/>
      <c r="DP32" s="66"/>
      <c r="DQ32" s="66"/>
      <c r="DR32" s="66"/>
      <c r="DS32" s="66"/>
      <c r="DT32" s="66"/>
      <c r="DU32" s="66"/>
      <c r="DV32" s="66"/>
      <c r="DW32" s="66"/>
      <c r="DX32" s="66"/>
      <c r="DY32" s="66"/>
      <c r="DZ32" s="66"/>
      <c r="EA32" s="66"/>
      <c r="EB32" s="66"/>
      <c r="EC32" s="66"/>
      <c r="ED32" s="66"/>
      <c r="EE32" s="66"/>
      <c r="EF32" s="66"/>
      <c r="EG32" s="66"/>
      <c r="EH32" s="66"/>
      <c r="EI32" s="66"/>
      <c r="EJ32" s="66"/>
      <c r="EK32" s="66"/>
      <c r="EL32" s="66"/>
      <c r="EM32" s="66"/>
      <c r="EN32" s="66"/>
      <c r="EO32" s="66"/>
      <c r="EP32" s="66"/>
      <c r="EQ32" s="66"/>
      <c r="ER32" s="66"/>
      <c r="ES32" s="66"/>
      <c r="ET32" s="66"/>
      <c r="EU32" s="66"/>
      <c r="EV32" s="66"/>
      <c r="EW32" s="66"/>
      <c r="EX32" s="66"/>
      <c r="EY32" s="66"/>
      <c r="EZ32" s="66"/>
      <c r="FA32" s="66"/>
      <c r="FB32" s="66"/>
      <c r="FC32" s="66"/>
      <c r="FD32" s="66"/>
      <c r="FE32" s="66"/>
      <c r="FF32" s="66"/>
      <c r="FG32" s="66"/>
      <c r="FH32" s="66"/>
      <c r="FI32" s="66"/>
      <c r="FJ32" s="66"/>
      <c r="FK32" s="66"/>
      <c r="FL32" s="66"/>
      <c r="FM32" s="66"/>
      <c r="FN32" s="66"/>
      <c r="FO32" s="66"/>
      <c r="FP32" s="66"/>
      <c r="FQ32" s="66"/>
      <c r="FR32" s="66"/>
      <c r="FS32" s="66"/>
      <c r="FT32" s="66"/>
      <c r="FU32" s="66"/>
      <c r="FV32" s="66"/>
      <c r="FW32" s="66"/>
      <c r="FX32" s="66"/>
      <c r="FY32" s="66"/>
      <c r="FZ32" s="66"/>
      <c r="GA32" s="66"/>
      <c r="GB32" s="66"/>
      <c r="GC32" s="66"/>
      <c r="GD32" s="66"/>
      <c r="GE32" s="66"/>
      <c r="GF32" s="66"/>
      <c r="GG32" s="66"/>
      <c r="GH32" s="66"/>
      <c r="GI32" s="66"/>
      <c r="GJ32" s="66"/>
      <c r="GK32" s="66"/>
      <c r="GL32" s="66"/>
      <c r="GM32" s="66"/>
      <c r="GN32" s="66"/>
      <c r="GO32" s="66"/>
      <c r="GP32" s="66"/>
      <c r="GQ32" s="66"/>
      <c r="GR32" s="66"/>
      <c r="GS32" s="66"/>
      <c r="GT32" s="66"/>
      <c r="GU32" s="66"/>
      <c r="GV32" s="66"/>
      <c r="GW32" s="66"/>
      <c r="GX32" s="66"/>
      <c r="GY32" s="66"/>
      <c r="GZ32" s="66"/>
      <c r="HA32" s="66"/>
      <c r="HB32" s="66"/>
      <c r="HC32" s="66"/>
      <c r="HD32" s="66"/>
      <c r="HE32" s="66"/>
      <c r="HF32" s="66"/>
      <c r="HG32" s="66"/>
      <c r="HH32" s="66"/>
      <c r="HI32" s="66"/>
      <c r="HJ32" s="66"/>
      <c r="HK32" s="66"/>
      <c r="HL32" s="66"/>
      <c r="HM32" s="66"/>
      <c r="HN32" s="66"/>
      <c r="HO32" s="66"/>
      <c r="HP32" s="66"/>
      <c r="HQ32" s="66"/>
      <c r="HR32" s="66"/>
      <c r="HS32" s="66"/>
      <c r="HT32" s="66"/>
      <c r="HU32" s="66"/>
      <c r="HV32" s="66"/>
      <c r="HW32" s="66"/>
      <c r="HX32" s="66"/>
      <c r="HY32" s="66"/>
      <c r="HZ32" s="66"/>
      <c r="IA32" s="66"/>
      <c r="IB32" s="66"/>
      <c r="IC32" s="66"/>
      <c r="ID32" s="66"/>
      <c r="IE32" s="66"/>
      <c r="IF32" s="66"/>
      <c r="IG32" s="66"/>
      <c r="IH32" s="66"/>
      <c r="II32" s="66"/>
      <c r="IJ32" s="66"/>
      <c r="IK32" s="66"/>
      <c r="IL32" s="66"/>
      <c r="IM32" s="66"/>
      <c r="IN32" s="66"/>
      <c r="IO32" s="66"/>
      <c r="IP32" s="66"/>
      <c r="IQ32" s="66"/>
      <c r="IR32" s="66"/>
      <c r="IS32" s="66"/>
      <c r="IT32" s="66"/>
      <c r="IU32" s="66"/>
      <c r="IV32" s="66"/>
    </row>
    <row r="33" spans="1:256" s="111" customFormat="1" ht="12" customHeight="1">
      <c r="A33" s="66"/>
      <c r="B33" s="477"/>
      <c r="C33" s="477"/>
      <c r="D33" s="486"/>
      <c r="E33" s="66"/>
      <c r="F33" s="65"/>
      <c r="G33" s="66"/>
      <c r="H33" s="66"/>
      <c r="I33" s="66"/>
      <c r="J33" s="66"/>
      <c r="K33" s="486"/>
      <c r="L33" s="66"/>
      <c r="M33" s="66"/>
      <c r="N33" s="66"/>
      <c r="O33" s="66"/>
      <c r="P33" s="66"/>
      <c r="Q33" s="66"/>
      <c r="R33" s="66"/>
      <c r="S33" s="66"/>
      <c r="T33" s="66"/>
      <c r="U33" s="66"/>
      <c r="V33" s="66"/>
      <c r="W33" s="66"/>
      <c r="X33" s="66"/>
      <c r="Y33" s="66"/>
      <c r="Z33" s="66"/>
      <c r="AA33" s="66"/>
      <c r="AB33" s="66"/>
      <c r="AC33" s="66"/>
      <c r="AD33" s="66"/>
      <c r="AE33" s="66"/>
      <c r="AF33" s="66"/>
      <c r="AG33" s="66"/>
      <c r="AH33" s="66"/>
      <c r="AI33" s="66"/>
      <c r="AJ33" s="66"/>
      <c r="AK33" s="66"/>
      <c r="AL33" s="66"/>
      <c r="AM33" s="66"/>
      <c r="AN33" s="66"/>
      <c r="AO33" s="66"/>
      <c r="AP33" s="66"/>
      <c r="AQ33" s="66"/>
      <c r="AR33" s="66"/>
      <c r="AS33" s="66"/>
      <c r="AT33" s="66"/>
      <c r="AU33" s="66"/>
      <c r="AV33" s="66"/>
      <c r="AW33" s="66"/>
      <c r="AX33" s="66"/>
      <c r="AY33" s="66"/>
      <c r="AZ33" s="66"/>
      <c r="BA33" s="66"/>
      <c r="BB33" s="66"/>
      <c r="BC33" s="66"/>
      <c r="BD33" s="66"/>
      <c r="BE33" s="66"/>
      <c r="BF33" s="66"/>
      <c r="BG33" s="66"/>
      <c r="BH33" s="66"/>
      <c r="BI33" s="66"/>
      <c r="BJ33" s="66"/>
      <c r="BK33" s="66"/>
      <c r="BL33" s="66"/>
      <c r="BM33" s="66"/>
      <c r="BN33" s="66"/>
      <c r="BO33" s="66"/>
      <c r="BP33" s="66"/>
      <c r="BQ33" s="66"/>
      <c r="BR33" s="66"/>
      <c r="BS33" s="66"/>
      <c r="BT33" s="66"/>
      <c r="BU33" s="66"/>
      <c r="BV33" s="66"/>
      <c r="BW33" s="66"/>
      <c r="BX33" s="66"/>
      <c r="BY33" s="66"/>
      <c r="BZ33" s="66"/>
      <c r="CA33" s="66"/>
      <c r="CB33" s="66"/>
      <c r="CC33" s="66"/>
      <c r="CD33" s="66"/>
      <c r="CE33" s="66"/>
      <c r="CF33" s="66"/>
      <c r="CG33" s="66"/>
      <c r="CH33" s="66"/>
      <c r="CI33" s="66"/>
      <c r="CJ33" s="66"/>
      <c r="CK33" s="66"/>
      <c r="CL33" s="66"/>
      <c r="CM33" s="66"/>
      <c r="CN33" s="66"/>
      <c r="CO33" s="66"/>
      <c r="CP33" s="66"/>
      <c r="CQ33" s="66"/>
      <c r="CR33" s="66"/>
      <c r="CS33" s="66"/>
      <c r="CT33" s="66"/>
      <c r="CU33" s="66"/>
      <c r="CV33" s="66"/>
      <c r="CW33" s="66"/>
      <c r="CX33" s="66"/>
      <c r="CY33" s="66"/>
      <c r="CZ33" s="66"/>
      <c r="DA33" s="66"/>
      <c r="DB33" s="66"/>
      <c r="DC33" s="66"/>
      <c r="DD33" s="66"/>
      <c r="DE33" s="66"/>
      <c r="DF33" s="66"/>
      <c r="DG33" s="66"/>
      <c r="DH33" s="66"/>
      <c r="DI33" s="66"/>
      <c r="DJ33" s="66"/>
      <c r="DK33" s="66"/>
      <c r="DL33" s="66"/>
      <c r="DM33" s="66"/>
      <c r="DN33" s="66"/>
      <c r="DO33" s="66"/>
      <c r="DP33" s="66"/>
      <c r="DQ33" s="66"/>
      <c r="DR33" s="66"/>
      <c r="DS33" s="66"/>
      <c r="DT33" s="66"/>
      <c r="DU33" s="66"/>
      <c r="DV33" s="66"/>
      <c r="DW33" s="66"/>
      <c r="DX33" s="66"/>
      <c r="DY33" s="66"/>
      <c r="DZ33" s="66"/>
      <c r="EA33" s="66"/>
      <c r="EB33" s="66"/>
      <c r="EC33" s="66"/>
      <c r="ED33" s="66"/>
      <c r="EE33" s="66"/>
      <c r="EF33" s="66"/>
      <c r="EG33" s="66"/>
      <c r="EH33" s="66"/>
      <c r="EI33" s="66"/>
      <c r="EJ33" s="66"/>
      <c r="EK33" s="66"/>
      <c r="EL33" s="66"/>
      <c r="EM33" s="66"/>
      <c r="EN33" s="66"/>
      <c r="EO33" s="66"/>
      <c r="EP33" s="66"/>
      <c r="EQ33" s="66"/>
      <c r="ER33" s="66"/>
      <c r="ES33" s="66"/>
      <c r="ET33" s="66"/>
      <c r="EU33" s="66"/>
      <c r="EV33" s="66"/>
      <c r="EW33" s="66"/>
      <c r="EX33" s="66"/>
      <c r="EY33" s="66"/>
      <c r="EZ33" s="66"/>
      <c r="FA33" s="66"/>
      <c r="FB33" s="66"/>
      <c r="FC33" s="66"/>
      <c r="FD33" s="66"/>
      <c r="FE33" s="66"/>
      <c r="FF33" s="66"/>
      <c r="FG33" s="66"/>
      <c r="FH33" s="66"/>
      <c r="FI33" s="66"/>
      <c r="FJ33" s="66"/>
      <c r="FK33" s="66"/>
      <c r="FL33" s="66"/>
      <c r="FM33" s="66"/>
      <c r="FN33" s="66"/>
      <c r="FO33" s="66"/>
      <c r="FP33" s="66"/>
      <c r="FQ33" s="66"/>
      <c r="FR33" s="66"/>
      <c r="FS33" s="66"/>
      <c r="FT33" s="66"/>
      <c r="FU33" s="66"/>
      <c r="FV33" s="66"/>
      <c r="FW33" s="66"/>
      <c r="FX33" s="66"/>
      <c r="FY33" s="66"/>
      <c r="FZ33" s="66"/>
      <c r="GA33" s="66"/>
      <c r="GB33" s="66"/>
      <c r="GC33" s="66"/>
      <c r="GD33" s="66"/>
      <c r="GE33" s="66"/>
      <c r="GF33" s="66"/>
      <c r="GG33" s="66"/>
      <c r="GH33" s="66"/>
      <c r="GI33" s="66"/>
      <c r="GJ33" s="66"/>
      <c r="GK33" s="66"/>
      <c r="GL33" s="66"/>
      <c r="GM33" s="66"/>
      <c r="GN33" s="66"/>
      <c r="GO33" s="66"/>
      <c r="GP33" s="66"/>
      <c r="GQ33" s="66"/>
      <c r="GR33" s="66"/>
      <c r="GS33" s="66"/>
      <c r="GT33" s="66"/>
      <c r="GU33" s="66"/>
      <c r="GV33" s="66"/>
      <c r="GW33" s="66"/>
      <c r="GX33" s="66"/>
      <c r="GY33" s="66"/>
      <c r="GZ33" s="66"/>
      <c r="HA33" s="66"/>
      <c r="HB33" s="66"/>
      <c r="HC33" s="66"/>
      <c r="HD33" s="66"/>
      <c r="HE33" s="66"/>
      <c r="HF33" s="66"/>
      <c r="HG33" s="66"/>
      <c r="HH33" s="66"/>
      <c r="HI33" s="66"/>
      <c r="HJ33" s="66"/>
      <c r="HK33" s="66"/>
      <c r="HL33" s="66"/>
      <c r="HM33" s="66"/>
      <c r="HN33" s="66"/>
      <c r="HO33" s="66"/>
      <c r="HP33" s="66"/>
      <c r="HQ33" s="66"/>
      <c r="HR33" s="66"/>
      <c r="HS33" s="66"/>
      <c r="HT33" s="66"/>
      <c r="HU33" s="66"/>
      <c r="HV33" s="66"/>
      <c r="HW33" s="66"/>
      <c r="HX33" s="66"/>
      <c r="HY33" s="66"/>
      <c r="HZ33" s="66"/>
      <c r="IA33" s="66"/>
      <c r="IB33" s="66"/>
      <c r="IC33" s="66"/>
      <c r="ID33" s="66"/>
      <c r="IE33" s="66"/>
      <c r="IF33" s="66"/>
      <c r="IG33" s="66"/>
      <c r="IH33" s="66"/>
      <c r="II33" s="66"/>
      <c r="IJ33" s="66"/>
      <c r="IK33" s="66"/>
      <c r="IL33" s="66"/>
      <c r="IM33" s="66"/>
      <c r="IN33" s="66"/>
      <c r="IO33" s="66"/>
      <c r="IP33" s="66"/>
      <c r="IQ33" s="66"/>
      <c r="IR33" s="66"/>
      <c r="IS33" s="66"/>
      <c r="IT33" s="66"/>
      <c r="IU33" s="66"/>
      <c r="IV33" s="66"/>
    </row>
    <row r="34" spans="1:256" s="110" customFormat="1" ht="18" customHeight="1" thickBot="1">
      <c r="A34" s="65"/>
      <c r="B34" s="67" t="s">
        <v>240</v>
      </c>
      <c r="C34" s="67"/>
      <c r="D34" s="65"/>
      <c r="E34" s="65"/>
      <c r="F34" s="65"/>
      <c r="G34" s="66"/>
      <c r="H34" s="66"/>
      <c r="I34" s="66"/>
      <c r="J34" s="66"/>
      <c r="K34" s="65"/>
      <c r="L34" s="65"/>
      <c r="M34" s="65"/>
      <c r="N34" s="65"/>
      <c r="O34" s="65"/>
      <c r="P34" s="65"/>
      <c r="Q34" s="65"/>
      <c r="R34" s="65"/>
      <c r="S34" s="65"/>
      <c r="T34" s="65"/>
      <c r="U34" s="65"/>
      <c r="V34" s="65"/>
      <c r="W34" s="65"/>
      <c r="X34" s="65"/>
      <c r="Y34" s="65"/>
      <c r="Z34" s="65"/>
      <c r="AA34" s="65"/>
      <c r="AB34" s="65"/>
      <c r="AC34" s="65"/>
      <c r="AD34" s="65"/>
      <c r="AE34" s="65"/>
      <c r="AF34" s="65"/>
      <c r="AG34" s="65"/>
      <c r="AH34" s="65"/>
      <c r="AI34" s="65"/>
      <c r="AJ34" s="65"/>
      <c r="AK34" s="65"/>
      <c r="AL34" s="65"/>
      <c r="AM34" s="65"/>
      <c r="AN34" s="65"/>
      <c r="AO34" s="65"/>
      <c r="AP34" s="65"/>
      <c r="AQ34" s="65"/>
      <c r="AR34" s="65"/>
      <c r="AS34" s="65"/>
      <c r="AT34" s="65"/>
      <c r="AU34" s="65"/>
      <c r="AV34" s="65"/>
      <c r="AW34" s="65"/>
      <c r="AX34" s="65"/>
      <c r="AY34" s="65"/>
      <c r="AZ34" s="65"/>
      <c r="BA34" s="65"/>
      <c r="BB34" s="65"/>
      <c r="BC34" s="65"/>
      <c r="BD34" s="65"/>
      <c r="BE34" s="65"/>
      <c r="BF34" s="65"/>
      <c r="BG34" s="65"/>
      <c r="BH34" s="65"/>
      <c r="BI34" s="65"/>
      <c r="BJ34" s="65"/>
      <c r="BK34" s="65"/>
      <c r="BL34" s="65"/>
      <c r="BM34" s="65"/>
      <c r="BN34" s="65"/>
      <c r="BO34" s="65"/>
      <c r="BP34" s="65"/>
      <c r="BQ34" s="65"/>
      <c r="BR34" s="65"/>
      <c r="BS34" s="65"/>
      <c r="BT34" s="65"/>
      <c r="BU34" s="65"/>
      <c r="BV34" s="65"/>
      <c r="BW34" s="65"/>
      <c r="BX34" s="65"/>
      <c r="BY34" s="65"/>
      <c r="BZ34" s="65"/>
      <c r="CA34" s="65"/>
      <c r="CB34" s="65"/>
      <c r="CC34" s="65"/>
      <c r="CD34" s="65"/>
      <c r="CE34" s="65"/>
      <c r="CF34" s="65"/>
      <c r="CG34" s="65"/>
      <c r="CH34" s="65"/>
      <c r="CI34" s="65"/>
      <c r="CJ34" s="65"/>
      <c r="CK34" s="65"/>
      <c r="CL34" s="65"/>
      <c r="CM34" s="65"/>
      <c r="CN34" s="65"/>
      <c r="CO34" s="65"/>
      <c r="CP34" s="65"/>
      <c r="CQ34" s="65"/>
      <c r="CR34" s="65"/>
      <c r="CS34" s="65"/>
      <c r="CT34" s="65"/>
      <c r="CU34" s="65"/>
      <c r="CV34" s="65"/>
      <c r="CW34" s="65"/>
      <c r="CX34" s="65"/>
      <c r="CY34" s="65"/>
      <c r="CZ34" s="65"/>
      <c r="DA34" s="65"/>
      <c r="DB34" s="65"/>
      <c r="DC34" s="65"/>
      <c r="DD34" s="65"/>
      <c r="DE34" s="65"/>
      <c r="DF34" s="65"/>
      <c r="DG34" s="65"/>
      <c r="DH34" s="65"/>
      <c r="DI34" s="65"/>
      <c r="DJ34" s="65"/>
      <c r="DK34" s="65"/>
      <c r="DL34" s="65"/>
      <c r="DM34" s="65"/>
      <c r="DN34" s="65"/>
      <c r="DO34" s="65"/>
      <c r="DP34" s="65"/>
      <c r="DQ34" s="65"/>
      <c r="DR34" s="65"/>
      <c r="DS34" s="65"/>
      <c r="DT34" s="65"/>
      <c r="DU34" s="65"/>
      <c r="DV34" s="65"/>
      <c r="DW34" s="65"/>
      <c r="DX34" s="65"/>
      <c r="DY34" s="65"/>
      <c r="DZ34" s="65"/>
      <c r="EA34" s="65"/>
      <c r="EB34" s="65"/>
      <c r="EC34" s="65"/>
      <c r="ED34" s="65"/>
      <c r="EE34" s="65"/>
      <c r="EF34" s="65"/>
      <c r="EG34" s="65"/>
      <c r="EH34" s="65"/>
      <c r="EI34" s="65"/>
      <c r="EJ34" s="65"/>
      <c r="EK34" s="65"/>
      <c r="EL34" s="65"/>
      <c r="EM34" s="65"/>
      <c r="EN34" s="65"/>
      <c r="EO34" s="65"/>
      <c r="EP34" s="65"/>
      <c r="EQ34" s="65"/>
      <c r="ER34" s="65"/>
      <c r="ES34" s="65"/>
      <c r="ET34" s="65"/>
      <c r="EU34" s="65"/>
      <c r="EV34" s="65"/>
      <c r="EW34" s="65"/>
      <c r="EX34" s="65"/>
      <c r="EY34" s="65"/>
      <c r="EZ34" s="65"/>
      <c r="FA34" s="65"/>
      <c r="FB34" s="65"/>
      <c r="FC34" s="65"/>
      <c r="FD34" s="65"/>
      <c r="FE34" s="65"/>
      <c r="FF34" s="65"/>
      <c r="FG34" s="65"/>
      <c r="FH34" s="65"/>
      <c r="FI34" s="65"/>
      <c r="FJ34" s="65"/>
      <c r="FK34" s="65"/>
      <c r="FL34" s="65"/>
      <c r="FM34" s="65"/>
      <c r="FN34" s="65"/>
      <c r="FO34" s="65"/>
      <c r="FP34" s="65"/>
      <c r="FQ34" s="65"/>
      <c r="FR34" s="65"/>
      <c r="FS34" s="65"/>
      <c r="FT34" s="65"/>
      <c r="FU34" s="65"/>
      <c r="FV34" s="65"/>
      <c r="FW34" s="65"/>
      <c r="FX34" s="65"/>
      <c r="FY34" s="65"/>
      <c r="FZ34" s="65"/>
      <c r="GA34" s="65"/>
      <c r="GB34" s="65"/>
      <c r="GC34" s="65"/>
      <c r="GD34" s="65"/>
      <c r="GE34" s="65"/>
      <c r="GF34" s="65"/>
      <c r="GG34" s="65"/>
      <c r="GH34" s="65"/>
      <c r="GI34" s="65"/>
      <c r="GJ34" s="65"/>
      <c r="GK34" s="65"/>
      <c r="GL34" s="65"/>
      <c r="GM34" s="65"/>
      <c r="GN34" s="65"/>
      <c r="GO34" s="65"/>
      <c r="GP34" s="65"/>
      <c r="GQ34" s="65"/>
      <c r="GR34" s="65"/>
      <c r="GS34" s="65"/>
      <c r="GT34" s="65"/>
      <c r="GU34" s="65"/>
      <c r="GV34" s="65"/>
      <c r="GW34" s="65"/>
      <c r="GX34" s="65"/>
      <c r="GY34" s="65"/>
      <c r="GZ34" s="65"/>
      <c r="HA34" s="65"/>
      <c r="HB34" s="65"/>
      <c r="HC34" s="65"/>
      <c r="HD34" s="65"/>
      <c r="HE34" s="65"/>
      <c r="HF34" s="65"/>
      <c r="HG34" s="65"/>
      <c r="HH34" s="65"/>
      <c r="HI34" s="65"/>
      <c r="HJ34" s="65"/>
      <c r="HK34" s="65"/>
      <c r="HL34" s="65"/>
      <c r="HM34" s="65"/>
      <c r="HN34" s="65"/>
      <c r="HO34" s="65"/>
      <c r="HP34" s="65"/>
      <c r="HQ34" s="65"/>
      <c r="HR34" s="65"/>
      <c r="HS34" s="65"/>
      <c r="HT34" s="65"/>
      <c r="HU34" s="65"/>
      <c r="HV34" s="65"/>
      <c r="HW34" s="65"/>
      <c r="HX34" s="65"/>
      <c r="HY34" s="65"/>
      <c r="HZ34" s="65"/>
      <c r="IA34" s="65"/>
      <c r="IB34" s="65"/>
      <c r="IC34" s="65"/>
      <c r="ID34" s="65"/>
      <c r="IE34" s="65"/>
      <c r="IF34" s="65"/>
      <c r="IG34" s="65"/>
      <c r="IH34" s="65"/>
      <c r="II34" s="65"/>
      <c r="IJ34" s="65"/>
      <c r="IK34" s="65"/>
      <c r="IL34" s="65"/>
      <c r="IM34" s="65"/>
      <c r="IN34" s="65"/>
      <c r="IO34" s="65"/>
      <c r="IP34" s="65"/>
      <c r="IQ34" s="65"/>
      <c r="IR34" s="65"/>
      <c r="IS34" s="65"/>
      <c r="IT34" s="65"/>
      <c r="IU34" s="65"/>
      <c r="IV34" s="65"/>
    </row>
    <row r="35" spans="1:256" s="110" customFormat="1" ht="18" customHeight="1" thickBot="1">
      <c r="A35" s="65"/>
      <c r="B35" s="1468" t="s">
        <v>119</v>
      </c>
      <c r="C35" s="2334"/>
      <c r="D35" s="2335" t="s">
        <v>179</v>
      </c>
      <c r="E35" s="2335"/>
      <c r="F35" s="2335"/>
      <c r="G35" s="2335"/>
      <c r="H35" s="2335"/>
      <c r="I35" s="2335"/>
      <c r="J35" s="2335"/>
      <c r="K35" s="2335" t="s">
        <v>180</v>
      </c>
      <c r="L35" s="2335"/>
      <c r="M35" s="2335"/>
      <c r="N35" s="2335"/>
      <c r="O35" s="2335"/>
      <c r="P35" s="2336"/>
      <c r="Q35" s="65"/>
      <c r="R35" s="65"/>
      <c r="S35" s="65"/>
      <c r="T35" s="65"/>
      <c r="U35" s="65"/>
      <c r="V35" s="65"/>
      <c r="W35" s="65"/>
      <c r="X35" s="65"/>
      <c r="Y35" s="65"/>
      <c r="Z35" s="65"/>
      <c r="AA35" s="65"/>
      <c r="AB35" s="65"/>
      <c r="AC35" s="65"/>
      <c r="AD35" s="65"/>
      <c r="AE35" s="65"/>
      <c r="AF35" s="65"/>
      <c r="AG35" s="65"/>
      <c r="AH35" s="65"/>
      <c r="AI35" s="65"/>
      <c r="AJ35" s="65"/>
      <c r="AK35" s="65"/>
      <c r="AL35" s="65"/>
      <c r="AM35" s="65"/>
      <c r="AN35" s="65"/>
      <c r="AO35" s="65"/>
      <c r="AP35" s="65"/>
      <c r="AQ35" s="65"/>
      <c r="AR35" s="65"/>
      <c r="AS35" s="65"/>
      <c r="AT35" s="65"/>
      <c r="AU35" s="65"/>
      <c r="AV35" s="65"/>
      <c r="AW35" s="65"/>
      <c r="AX35" s="65"/>
      <c r="AY35" s="65"/>
      <c r="AZ35" s="65"/>
      <c r="BA35" s="65"/>
      <c r="BB35" s="65"/>
      <c r="BC35" s="65"/>
      <c r="BD35" s="65"/>
      <c r="BE35" s="65"/>
      <c r="BF35" s="65"/>
      <c r="BG35" s="65"/>
      <c r="BH35" s="65"/>
      <c r="BI35" s="65"/>
      <c r="BJ35" s="65"/>
      <c r="BK35" s="65"/>
      <c r="BL35" s="65"/>
      <c r="BM35" s="65"/>
      <c r="BN35" s="65"/>
      <c r="BO35" s="65"/>
      <c r="BP35" s="65"/>
      <c r="BQ35" s="65"/>
      <c r="BR35" s="65"/>
      <c r="BS35" s="65"/>
      <c r="BT35" s="65"/>
      <c r="BU35" s="65"/>
      <c r="BV35" s="65"/>
      <c r="BW35" s="65"/>
      <c r="BX35" s="65"/>
      <c r="BY35" s="65"/>
      <c r="BZ35" s="65"/>
      <c r="CA35" s="65"/>
      <c r="CB35" s="65"/>
      <c r="CC35" s="65"/>
      <c r="CD35" s="65"/>
      <c r="CE35" s="65"/>
      <c r="CF35" s="65"/>
      <c r="CG35" s="65"/>
      <c r="CH35" s="65"/>
      <c r="CI35" s="65"/>
      <c r="CJ35" s="65"/>
      <c r="CK35" s="65"/>
      <c r="CL35" s="65"/>
      <c r="CM35" s="65"/>
      <c r="CN35" s="65"/>
      <c r="CO35" s="65"/>
      <c r="CP35" s="65"/>
      <c r="CQ35" s="65"/>
      <c r="CR35" s="65"/>
      <c r="CS35" s="65"/>
      <c r="CT35" s="65"/>
      <c r="CU35" s="65"/>
      <c r="CV35" s="65"/>
      <c r="CW35" s="65"/>
      <c r="CX35" s="65"/>
      <c r="CY35" s="65"/>
      <c r="CZ35" s="65"/>
      <c r="DA35" s="65"/>
      <c r="DB35" s="65"/>
      <c r="DC35" s="65"/>
      <c r="DD35" s="65"/>
      <c r="DE35" s="65"/>
      <c r="DF35" s="65"/>
      <c r="DG35" s="65"/>
      <c r="DH35" s="65"/>
      <c r="DI35" s="65"/>
      <c r="DJ35" s="65"/>
      <c r="DK35" s="65"/>
      <c r="DL35" s="65"/>
      <c r="DM35" s="65"/>
      <c r="DN35" s="65"/>
      <c r="DO35" s="65"/>
      <c r="DP35" s="65"/>
      <c r="DQ35" s="65"/>
      <c r="DR35" s="65"/>
      <c r="DS35" s="65"/>
      <c r="DT35" s="65"/>
      <c r="DU35" s="65"/>
      <c r="DV35" s="65"/>
      <c r="DW35" s="65"/>
      <c r="DX35" s="65"/>
      <c r="DY35" s="65"/>
      <c r="DZ35" s="65"/>
      <c r="EA35" s="65"/>
      <c r="EB35" s="65"/>
      <c r="EC35" s="65"/>
      <c r="ED35" s="65"/>
      <c r="EE35" s="65"/>
      <c r="EF35" s="65"/>
      <c r="EG35" s="65"/>
      <c r="EH35" s="65"/>
      <c r="EI35" s="65"/>
      <c r="EJ35" s="65"/>
      <c r="EK35" s="65"/>
      <c r="EL35" s="65"/>
      <c r="EM35" s="65"/>
      <c r="EN35" s="65"/>
      <c r="EO35" s="65"/>
      <c r="EP35" s="65"/>
      <c r="EQ35" s="65"/>
      <c r="ER35" s="65"/>
      <c r="ES35" s="65"/>
      <c r="ET35" s="65"/>
      <c r="EU35" s="65"/>
      <c r="EV35" s="65"/>
      <c r="EW35" s="65"/>
      <c r="EX35" s="65"/>
      <c r="EY35" s="65"/>
      <c r="EZ35" s="65"/>
      <c r="FA35" s="65"/>
      <c r="FB35" s="65"/>
      <c r="FC35" s="65"/>
      <c r="FD35" s="65"/>
      <c r="FE35" s="65"/>
      <c r="FF35" s="65"/>
      <c r="FG35" s="65"/>
      <c r="FH35" s="65"/>
      <c r="FI35" s="65"/>
      <c r="FJ35" s="65"/>
      <c r="FK35" s="65"/>
      <c r="FL35" s="65"/>
      <c r="FM35" s="65"/>
      <c r="FN35" s="65"/>
      <c r="FO35" s="65"/>
      <c r="FP35" s="65"/>
      <c r="FQ35" s="65"/>
      <c r="FR35" s="65"/>
      <c r="FS35" s="65"/>
      <c r="FT35" s="65"/>
      <c r="FU35" s="65"/>
      <c r="FV35" s="65"/>
      <c r="FW35" s="65"/>
      <c r="FX35" s="65"/>
      <c r="FY35" s="65"/>
      <c r="FZ35" s="65"/>
      <c r="GA35" s="65"/>
      <c r="GB35" s="65"/>
      <c r="GC35" s="65"/>
      <c r="GD35" s="65"/>
      <c r="GE35" s="65"/>
      <c r="GF35" s="65"/>
      <c r="GG35" s="65"/>
      <c r="GH35" s="65"/>
      <c r="GI35" s="65"/>
      <c r="GJ35" s="65"/>
      <c r="GK35" s="65"/>
      <c r="GL35" s="65"/>
      <c r="GM35" s="65"/>
      <c r="GN35" s="65"/>
      <c r="GO35" s="65"/>
      <c r="GP35" s="65"/>
      <c r="GQ35" s="65"/>
      <c r="GR35" s="65"/>
      <c r="GS35" s="65"/>
      <c r="GT35" s="65"/>
      <c r="GU35" s="65"/>
      <c r="GV35" s="65"/>
      <c r="GW35" s="65"/>
      <c r="GX35" s="65"/>
      <c r="GY35" s="65"/>
      <c r="GZ35" s="65"/>
      <c r="HA35" s="65"/>
      <c r="HB35" s="65"/>
      <c r="HC35" s="65"/>
      <c r="HD35" s="65"/>
      <c r="HE35" s="65"/>
      <c r="HF35" s="65"/>
      <c r="HG35" s="65"/>
      <c r="HH35" s="65"/>
      <c r="HI35" s="65"/>
      <c r="HJ35" s="65"/>
      <c r="HK35" s="65"/>
      <c r="HL35" s="65"/>
      <c r="HM35" s="65"/>
      <c r="HN35" s="65"/>
      <c r="HO35" s="65"/>
      <c r="HP35" s="65"/>
      <c r="HQ35" s="65"/>
      <c r="HR35" s="65"/>
      <c r="HS35" s="65"/>
      <c r="HT35" s="65"/>
      <c r="HU35" s="65"/>
      <c r="HV35" s="65"/>
      <c r="HW35" s="65"/>
      <c r="HX35" s="65"/>
      <c r="HY35" s="65"/>
      <c r="HZ35" s="65"/>
      <c r="IA35" s="65"/>
      <c r="IB35" s="65"/>
      <c r="IC35" s="65"/>
      <c r="ID35" s="65"/>
      <c r="IE35" s="65"/>
      <c r="IF35" s="65"/>
      <c r="IG35" s="65"/>
      <c r="IH35" s="65"/>
      <c r="II35" s="65"/>
      <c r="IJ35" s="65"/>
      <c r="IK35" s="65"/>
      <c r="IL35" s="65"/>
      <c r="IM35" s="65"/>
      <c r="IN35" s="65"/>
      <c r="IO35" s="65"/>
      <c r="IP35" s="65"/>
      <c r="IQ35" s="65"/>
      <c r="IR35" s="65"/>
      <c r="IS35" s="65"/>
      <c r="IT35" s="65"/>
      <c r="IU35" s="65"/>
      <c r="IV35" s="65"/>
    </row>
    <row r="36" spans="1:256" s="110" customFormat="1" ht="18" customHeight="1">
      <c r="A36" s="65"/>
      <c r="B36" s="1468" t="s">
        <v>414</v>
      </c>
      <c r="C36" s="2334"/>
      <c r="D36" s="2339" t="s">
        <v>46</v>
      </c>
      <c r="E36" s="2340"/>
      <c r="F36" s="2340"/>
      <c r="G36" s="2340"/>
      <c r="H36" s="2340"/>
      <c r="I36" s="2340"/>
      <c r="J36" s="2341"/>
      <c r="K36" s="2337" t="s">
        <v>415</v>
      </c>
      <c r="L36" s="2337"/>
      <c r="M36" s="2337"/>
      <c r="N36" s="2337"/>
      <c r="O36" s="2337"/>
      <c r="P36" s="2338"/>
      <c r="Q36" s="65"/>
      <c r="R36" s="65"/>
      <c r="S36" s="65"/>
      <c r="T36" s="65"/>
      <c r="U36" s="65"/>
      <c r="V36" s="65"/>
      <c r="W36" s="65"/>
      <c r="X36" s="65"/>
      <c r="Y36" s="65"/>
      <c r="Z36" s="65"/>
      <c r="AA36" s="65"/>
      <c r="AB36" s="65"/>
      <c r="AC36" s="65"/>
      <c r="AD36" s="65"/>
      <c r="AE36" s="65"/>
      <c r="AF36" s="65"/>
      <c r="AG36" s="65"/>
      <c r="AH36" s="65"/>
      <c r="AI36" s="65"/>
      <c r="AJ36" s="65"/>
      <c r="AK36" s="65"/>
      <c r="AL36" s="65"/>
      <c r="AM36" s="65"/>
      <c r="AN36" s="65"/>
      <c r="AO36" s="65"/>
      <c r="AP36" s="65"/>
      <c r="AQ36" s="65"/>
      <c r="AR36" s="65"/>
      <c r="AS36" s="65"/>
      <c r="AT36" s="65"/>
      <c r="AU36" s="65"/>
      <c r="AV36" s="65"/>
      <c r="AW36" s="65"/>
      <c r="AX36" s="65"/>
      <c r="AY36" s="65"/>
      <c r="AZ36" s="65"/>
      <c r="BA36" s="65"/>
      <c r="BB36" s="65"/>
      <c r="BC36" s="65"/>
      <c r="BD36" s="65"/>
      <c r="BE36" s="65"/>
      <c r="BF36" s="65"/>
      <c r="BG36" s="65"/>
      <c r="BH36" s="65"/>
      <c r="BI36" s="65"/>
      <c r="BJ36" s="65"/>
      <c r="BK36" s="65"/>
      <c r="BL36" s="65"/>
      <c r="BM36" s="65"/>
      <c r="BN36" s="65"/>
      <c r="BO36" s="65"/>
      <c r="BP36" s="65"/>
      <c r="BQ36" s="65"/>
      <c r="BR36" s="65"/>
      <c r="BS36" s="65"/>
      <c r="BT36" s="65"/>
      <c r="BU36" s="65"/>
      <c r="BV36" s="65"/>
      <c r="BW36" s="65"/>
      <c r="BX36" s="65"/>
      <c r="BY36" s="65"/>
      <c r="BZ36" s="65"/>
      <c r="CA36" s="65"/>
      <c r="CB36" s="65"/>
      <c r="CC36" s="65"/>
      <c r="CD36" s="65"/>
      <c r="CE36" s="65"/>
      <c r="CF36" s="65"/>
      <c r="CG36" s="65"/>
      <c r="CH36" s="65"/>
      <c r="CI36" s="65"/>
      <c r="CJ36" s="65"/>
      <c r="CK36" s="65"/>
      <c r="CL36" s="65"/>
      <c r="CM36" s="65"/>
      <c r="CN36" s="65"/>
      <c r="CO36" s="65"/>
      <c r="CP36" s="65"/>
      <c r="CQ36" s="65"/>
      <c r="CR36" s="65"/>
      <c r="CS36" s="65"/>
      <c r="CT36" s="65"/>
      <c r="CU36" s="65"/>
      <c r="CV36" s="65"/>
      <c r="CW36" s="65"/>
      <c r="CX36" s="65"/>
      <c r="CY36" s="65"/>
      <c r="CZ36" s="65"/>
      <c r="DA36" s="65"/>
      <c r="DB36" s="65"/>
      <c r="DC36" s="65"/>
      <c r="DD36" s="65"/>
      <c r="DE36" s="65"/>
      <c r="DF36" s="65"/>
      <c r="DG36" s="65"/>
      <c r="DH36" s="65"/>
      <c r="DI36" s="65"/>
      <c r="DJ36" s="65"/>
      <c r="DK36" s="65"/>
      <c r="DL36" s="65"/>
      <c r="DM36" s="65"/>
      <c r="DN36" s="65"/>
      <c r="DO36" s="65"/>
      <c r="DP36" s="65"/>
      <c r="DQ36" s="65"/>
      <c r="DR36" s="65"/>
      <c r="DS36" s="65"/>
      <c r="DT36" s="65"/>
      <c r="DU36" s="65"/>
      <c r="DV36" s="65"/>
      <c r="DW36" s="65"/>
      <c r="DX36" s="65"/>
      <c r="DY36" s="65"/>
      <c r="DZ36" s="65"/>
      <c r="EA36" s="65"/>
      <c r="EB36" s="65"/>
      <c r="EC36" s="65"/>
      <c r="ED36" s="65"/>
      <c r="EE36" s="65"/>
      <c r="EF36" s="65"/>
      <c r="EG36" s="65"/>
      <c r="EH36" s="65"/>
      <c r="EI36" s="65"/>
      <c r="EJ36" s="65"/>
      <c r="EK36" s="65"/>
      <c r="EL36" s="65"/>
      <c r="EM36" s="65"/>
      <c r="EN36" s="65"/>
      <c r="EO36" s="65"/>
      <c r="EP36" s="65"/>
      <c r="EQ36" s="65"/>
      <c r="ER36" s="65"/>
      <c r="ES36" s="65"/>
      <c r="ET36" s="65"/>
      <c r="EU36" s="65"/>
      <c r="EV36" s="65"/>
      <c r="EW36" s="65"/>
      <c r="EX36" s="65"/>
      <c r="EY36" s="65"/>
      <c r="EZ36" s="65"/>
      <c r="FA36" s="65"/>
      <c r="FB36" s="65"/>
      <c r="FC36" s="65"/>
      <c r="FD36" s="65"/>
      <c r="FE36" s="65"/>
      <c r="FF36" s="65"/>
      <c r="FG36" s="65"/>
      <c r="FH36" s="65"/>
      <c r="FI36" s="65"/>
      <c r="FJ36" s="65"/>
      <c r="FK36" s="65"/>
      <c r="FL36" s="65"/>
      <c r="FM36" s="65"/>
      <c r="FN36" s="65"/>
      <c r="FO36" s="65"/>
      <c r="FP36" s="65"/>
      <c r="FQ36" s="65"/>
      <c r="FR36" s="65"/>
      <c r="FS36" s="65"/>
      <c r="FT36" s="65"/>
      <c r="FU36" s="65"/>
      <c r="FV36" s="65"/>
      <c r="FW36" s="65"/>
      <c r="FX36" s="65"/>
      <c r="FY36" s="65"/>
      <c r="FZ36" s="65"/>
      <c r="GA36" s="65"/>
      <c r="GB36" s="65"/>
      <c r="GC36" s="65"/>
      <c r="GD36" s="65"/>
      <c r="GE36" s="65"/>
      <c r="GF36" s="65"/>
      <c r="GG36" s="65"/>
      <c r="GH36" s="65"/>
      <c r="GI36" s="65"/>
      <c r="GJ36" s="65"/>
      <c r="GK36" s="65"/>
      <c r="GL36" s="65"/>
      <c r="GM36" s="65"/>
      <c r="GN36" s="65"/>
      <c r="GO36" s="65"/>
      <c r="GP36" s="65"/>
      <c r="GQ36" s="65"/>
      <c r="GR36" s="65"/>
      <c r="GS36" s="65"/>
      <c r="GT36" s="65"/>
      <c r="GU36" s="65"/>
      <c r="GV36" s="65"/>
      <c r="GW36" s="65"/>
      <c r="GX36" s="65"/>
      <c r="GY36" s="65"/>
      <c r="GZ36" s="65"/>
      <c r="HA36" s="65"/>
      <c r="HB36" s="65"/>
      <c r="HC36" s="65"/>
      <c r="HD36" s="65"/>
      <c r="HE36" s="65"/>
      <c r="HF36" s="65"/>
      <c r="HG36" s="65"/>
      <c r="HH36" s="65"/>
      <c r="HI36" s="65"/>
      <c r="HJ36" s="65"/>
      <c r="HK36" s="65"/>
      <c r="HL36" s="65"/>
      <c r="HM36" s="65"/>
      <c r="HN36" s="65"/>
      <c r="HO36" s="65"/>
      <c r="HP36" s="65"/>
      <c r="HQ36" s="65"/>
      <c r="HR36" s="65"/>
      <c r="HS36" s="65"/>
      <c r="HT36" s="65"/>
      <c r="HU36" s="65"/>
      <c r="HV36" s="65"/>
      <c r="HW36" s="65"/>
      <c r="HX36" s="65"/>
      <c r="HY36" s="65"/>
      <c r="HZ36" s="65"/>
      <c r="IA36" s="65"/>
      <c r="IB36" s="65"/>
      <c r="IC36" s="65"/>
      <c r="ID36" s="65"/>
      <c r="IE36" s="65"/>
      <c r="IF36" s="65"/>
      <c r="IG36" s="65"/>
      <c r="IH36" s="65"/>
      <c r="II36" s="65"/>
      <c r="IJ36" s="65"/>
      <c r="IK36" s="65"/>
      <c r="IL36" s="65"/>
      <c r="IM36" s="65"/>
      <c r="IN36" s="65"/>
      <c r="IO36" s="65"/>
      <c r="IP36" s="65"/>
      <c r="IQ36" s="65"/>
      <c r="IR36" s="65"/>
      <c r="IS36" s="65"/>
      <c r="IT36" s="65"/>
      <c r="IU36" s="65"/>
      <c r="IV36" s="65"/>
    </row>
    <row r="37" spans="1:256" s="110" customFormat="1" ht="18" customHeight="1">
      <c r="A37" s="65"/>
      <c r="B37" s="1267"/>
      <c r="C37" s="1268"/>
      <c r="D37" s="2319"/>
      <c r="E37" s="2320"/>
      <c r="F37" s="2320"/>
      <c r="G37" s="2320"/>
      <c r="H37" s="2320"/>
      <c r="I37" s="2320"/>
      <c r="J37" s="2321"/>
      <c r="K37" s="2172" t="s">
        <v>433</v>
      </c>
      <c r="L37" s="2172"/>
      <c r="M37" s="2172"/>
      <c r="N37" s="2172"/>
      <c r="O37" s="2172"/>
      <c r="P37" s="2173"/>
      <c r="Q37" s="65"/>
      <c r="R37" s="65"/>
      <c r="S37" s="65"/>
      <c r="T37" s="65"/>
      <c r="U37" s="65"/>
      <c r="V37" s="65"/>
      <c r="W37" s="65"/>
      <c r="X37" s="65"/>
      <c r="Y37" s="65"/>
      <c r="Z37" s="65"/>
      <c r="AA37" s="65"/>
      <c r="AB37" s="65"/>
      <c r="AC37" s="65"/>
      <c r="AD37" s="65"/>
      <c r="AE37" s="65"/>
      <c r="AF37" s="65"/>
      <c r="AG37" s="65"/>
      <c r="AH37" s="65"/>
      <c r="AI37" s="65"/>
      <c r="AJ37" s="65"/>
      <c r="AK37" s="65"/>
      <c r="AL37" s="65"/>
      <c r="AM37" s="65"/>
      <c r="AN37" s="65"/>
      <c r="AO37" s="65"/>
      <c r="AP37" s="65"/>
      <c r="AQ37" s="65"/>
      <c r="AR37" s="65"/>
      <c r="AS37" s="65"/>
      <c r="AT37" s="65"/>
      <c r="AU37" s="65"/>
      <c r="AV37" s="65"/>
      <c r="AW37" s="65"/>
      <c r="AX37" s="65"/>
      <c r="AY37" s="65"/>
      <c r="AZ37" s="65"/>
      <c r="BA37" s="65"/>
      <c r="BB37" s="65"/>
      <c r="BC37" s="65"/>
      <c r="BD37" s="65"/>
      <c r="BE37" s="65"/>
      <c r="BF37" s="65"/>
      <c r="BG37" s="65"/>
      <c r="BH37" s="65"/>
      <c r="BI37" s="65"/>
      <c r="BJ37" s="65"/>
      <c r="BK37" s="65"/>
      <c r="BL37" s="65"/>
      <c r="BM37" s="65"/>
      <c r="BN37" s="65"/>
      <c r="BO37" s="65"/>
      <c r="BP37" s="65"/>
      <c r="BQ37" s="65"/>
      <c r="BR37" s="65"/>
      <c r="BS37" s="65"/>
      <c r="BT37" s="65"/>
      <c r="BU37" s="65"/>
      <c r="BV37" s="65"/>
      <c r="BW37" s="65"/>
      <c r="BX37" s="65"/>
      <c r="BY37" s="65"/>
      <c r="BZ37" s="65"/>
      <c r="CA37" s="65"/>
      <c r="CB37" s="65"/>
      <c r="CC37" s="65"/>
      <c r="CD37" s="65"/>
      <c r="CE37" s="65"/>
      <c r="CF37" s="65"/>
      <c r="CG37" s="65"/>
      <c r="CH37" s="65"/>
      <c r="CI37" s="65"/>
      <c r="CJ37" s="65"/>
      <c r="CK37" s="65"/>
      <c r="CL37" s="65"/>
      <c r="CM37" s="65"/>
      <c r="CN37" s="65"/>
      <c r="CO37" s="65"/>
      <c r="CP37" s="65"/>
      <c r="CQ37" s="65"/>
      <c r="CR37" s="65"/>
      <c r="CS37" s="65"/>
      <c r="CT37" s="65"/>
      <c r="CU37" s="65"/>
      <c r="CV37" s="65"/>
      <c r="CW37" s="65"/>
      <c r="CX37" s="65"/>
      <c r="CY37" s="65"/>
      <c r="CZ37" s="65"/>
      <c r="DA37" s="65"/>
      <c r="DB37" s="65"/>
      <c r="DC37" s="65"/>
      <c r="DD37" s="65"/>
      <c r="DE37" s="65"/>
      <c r="DF37" s="65"/>
      <c r="DG37" s="65"/>
      <c r="DH37" s="65"/>
      <c r="DI37" s="65"/>
      <c r="DJ37" s="65"/>
      <c r="DK37" s="65"/>
      <c r="DL37" s="65"/>
      <c r="DM37" s="65"/>
      <c r="DN37" s="65"/>
      <c r="DO37" s="65"/>
      <c r="DP37" s="65"/>
      <c r="DQ37" s="65"/>
      <c r="DR37" s="65"/>
      <c r="DS37" s="65"/>
      <c r="DT37" s="65"/>
      <c r="DU37" s="65"/>
      <c r="DV37" s="65"/>
      <c r="DW37" s="65"/>
      <c r="DX37" s="65"/>
      <c r="DY37" s="65"/>
      <c r="DZ37" s="65"/>
      <c r="EA37" s="65"/>
      <c r="EB37" s="65"/>
      <c r="EC37" s="65"/>
      <c r="ED37" s="65"/>
      <c r="EE37" s="65"/>
      <c r="EF37" s="65"/>
      <c r="EG37" s="65"/>
      <c r="EH37" s="65"/>
      <c r="EI37" s="65"/>
      <c r="EJ37" s="65"/>
      <c r="EK37" s="65"/>
      <c r="EL37" s="65"/>
      <c r="EM37" s="65"/>
      <c r="EN37" s="65"/>
      <c r="EO37" s="65"/>
      <c r="EP37" s="65"/>
      <c r="EQ37" s="65"/>
      <c r="ER37" s="65"/>
      <c r="ES37" s="65"/>
      <c r="ET37" s="65"/>
      <c r="EU37" s="65"/>
      <c r="EV37" s="65"/>
      <c r="EW37" s="65"/>
      <c r="EX37" s="65"/>
      <c r="EY37" s="65"/>
      <c r="EZ37" s="65"/>
      <c r="FA37" s="65"/>
      <c r="FB37" s="65"/>
      <c r="FC37" s="65"/>
      <c r="FD37" s="65"/>
      <c r="FE37" s="65"/>
      <c r="FF37" s="65"/>
      <c r="FG37" s="65"/>
      <c r="FH37" s="65"/>
      <c r="FI37" s="65"/>
      <c r="FJ37" s="65"/>
      <c r="FK37" s="65"/>
      <c r="FL37" s="65"/>
      <c r="FM37" s="65"/>
      <c r="FN37" s="65"/>
      <c r="FO37" s="65"/>
      <c r="FP37" s="65"/>
      <c r="FQ37" s="65"/>
      <c r="FR37" s="65"/>
      <c r="FS37" s="65"/>
      <c r="FT37" s="65"/>
      <c r="FU37" s="65"/>
      <c r="FV37" s="65"/>
      <c r="FW37" s="65"/>
      <c r="FX37" s="65"/>
      <c r="FY37" s="65"/>
      <c r="FZ37" s="65"/>
      <c r="GA37" s="65"/>
      <c r="GB37" s="65"/>
      <c r="GC37" s="65"/>
      <c r="GD37" s="65"/>
      <c r="GE37" s="65"/>
      <c r="GF37" s="65"/>
      <c r="GG37" s="65"/>
      <c r="GH37" s="65"/>
      <c r="GI37" s="65"/>
      <c r="GJ37" s="65"/>
      <c r="GK37" s="65"/>
      <c r="GL37" s="65"/>
      <c r="GM37" s="65"/>
      <c r="GN37" s="65"/>
      <c r="GO37" s="65"/>
      <c r="GP37" s="65"/>
      <c r="GQ37" s="65"/>
      <c r="GR37" s="65"/>
      <c r="GS37" s="65"/>
      <c r="GT37" s="65"/>
      <c r="GU37" s="65"/>
      <c r="GV37" s="65"/>
      <c r="GW37" s="65"/>
      <c r="GX37" s="65"/>
      <c r="GY37" s="65"/>
      <c r="GZ37" s="65"/>
      <c r="HA37" s="65"/>
      <c r="HB37" s="65"/>
      <c r="HC37" s="65"/>
      <c r="HD37" s="65"/>
      <c r="HE37" s="65"/>
      <c r="HF37" s="65"/>
      <c r="HG37" s="65"/>
      <c r="HH37" s="65"/>
      <c r="HI37" s="65"/>
      <c r="HJ37" s="65"/>
      <c r="HK37" s="65"/>
      <c r="HL37" s="65"/>
      <c r="HM37" s="65"/>
      <c r="HN37" s="65"/>
      <c r="HO37" s="65"/>
      <c r="HP37" s="65"/>
      <c r="HQ37" s="65"/>
      <c r="HR37" s="65"/>
      <c r="HS37" s="65"/>
      <c r="HT37" s="65"/>
      <c r="HU37" s="65"/>
      <c r="HV37" s="65"/>
      <c r="HW37" s="65"/>
      <c r="HX37" s="65"/>
      <c r="HY37" s="65"/>
      <c r="HZ37" s="65"/>
      <c r="IA37" s="65"/>
      <c r="IB37" s="65"/>
      <c r="IC37" s="65"/>
      <c r="ID37" s="65"/>
      <c r="IE37" s="65"/>
      <c r="IF37" s="65"/>
      <c r="IG37" s="65"/>
      <c r="IH37" s="65"/>
      <c r="II37" s="65"/>
      <c r="IJ37" s="65"/>
      <c r="IK37" s="65"/>
      <c r="IL37" s="65"/>
      <c r="IM37" s="65"/>
      <c r="IN37" s="65"/>
      <c r="IO37" s="65"/>
      <c r="IP37" s="65"/>
      <c r="IQ37" s="65"/>
      <c r="IR37" s="65"/>
      <c r="IS37" s="65"/>
      <c r="IT37" s="65"/>
      <c r="IU37" s="65"/>
      <c r="IV37" s="65"/>
    </row>
    <row r="38" spans="1:256" s="110" customFormat="1" ht="18" customHeight="1">
      <c r="A38" s="65"/>
      <c r="B38" s="1454"/>
      <c r="C38" s="1455"/>
      <c r="D38" s="2342"/>
      <c r="E38" s="2343"/>
      <c r="F38" s="2343"/>
      <c r="G38" s="2343"/>
      <c r="H38" s="2343"/>
      <c r="I38" s="2343"/>
      <c r="J38" s="2344"/>
      <c r="K38" s="2172" t="s">
        <v>241</v>
      </c>
      <c r="L38" s="2172"/>
      <c r="M38" s="2172"/>
      <c r="N38" s="2172"/>
      <c r="O38" s="2172"/>
      <c r="P38" s="2173"/>
      <c r="Q38" s="65"/>
      <c r="R38" s="65"/>
      <c r="S38" s="65"/>
      <c r="T38" s="65"/>
      <c r="U38" s="65"/>
      <c r="V38" s="65"/>
      <c r="W38" s="65"/>
      <c r="X38" s="65"/>
      <c r="Y38" s="65"/>
      <c r="Z38" s="65"/>
      <c r="AA38" s="65"/>
      <c r="AB38" s="65"/>
      <c r="AC38" s="65"/>
      <c r="AD38" s="65"/>
      <c r="AE38" s="65"/>
      <c r="AF38" s="65"/>
      <c r="AG38" s="65"/>
      <c r="AH38" s="65"/>
      <c r="AI38" s="65"/>
      <c r="AJ38" s="65"/>
      <c r="AK38" s="65"/>
      <c r="AL38" s="65"/>
      <c r="AM38" s="65"/>
      <c r="AN38" s="65"/>
      <c r="AO38" s="65"/>
      <c r="AP38" s="65"/>
      <c r="AQ38" s="65"/>
      <c r="AR38" s="65"/>
      <c r="AS38" s="65"/>
      <c r="AT38" s="65"/>
      <c r="AU38" s="65"/>
      <c r="AV38" s="65"/>
      <c r="AW38" s="65"/>
      <c r="AX38" s="65"/>
      <c r="AY38" s="65"/>
      <c r="AZ38" s="65"/>
      <c r="BA38" s="65"/>
      <c r="BB38" s="65"/>
      <c r="BC38" s="65"/>
      <c r="BD38" s="65"/>
      <c r="BE38" s="65"/>
      <c r="BF38" s="65"/>
      <c r="BG38" s="65"/>
      <c r="BH38" s="65"/>
      <c r="BI38" s="65"/>
      <c r="BJ38" s="65"/>
      <c r="BK38" s="65"/>
      <c r="BL38" s="65"/>
      <c r="BM38" s="65"/>
      <c r="BN38" s="65"/>
      <c r="BO38" s="65"/>
      <c r="BP38" s="65"/>
      <c r="BQ38" s="65"/>
      <c r="BR38" s="65"/>
      <c r="BS38" s="65"/>
      <c r="BT38" s="65"/>
      <c r="BU38" s="65"/>
      <c r="BV38" s="65"/>
      <c r="BW38" s="65"/>
      <c r="BX38" s="65"/>
      <c r="BY38" s="65"/>
      <c r="BZ38" s="65"/>
      <c r="CA38" s="65"/>
      <c r="CB38" s="65"/>
      <c r="CC38" s="65"/>
      <c r="CD38" s="65"/>
      <c r="CE38" s="65"/>
      <c r="CF38" s="65"/>
      <c r="CG38" s="65"/>
      <c r="CH38" s="65"/>
      <c r="CI38" s="65"/>
      <c r="CJ38" s="65"/>
      <c r="CK38" s="65"/>
      <c r="CL38" s="65"/>
      <c r="CM38" s="65"/>
      <c r="CN38" s="65"/>
      <c r="CO38" s="65"/>
      <c r="CP38" s="65"/>
      <c r="CQ38" s="65"/>
      <c r="CR38" s="65"/>
      <c r="CS38" s="65"/>
      <c r="CT38" s="65"/>
      <c r="CU38" s="65"/>
      <c r="CV38" s="65"/>
      <c r="CW38" s="65"/>
      <c r="CX38" s="65"/>
      <c r="CY38" s="65"/>
      <c r="CZ38" s="65"/>
      <c r="DA38" s="65"/>
      <c r="DB38" s="65"/>
      <c r="DC38" s="65"/>
      <c r="DD38" s="65"/>
      <c r="DE38" s="65"/>
      <c r="DF38" s="65"/>
      <c r="DG38" s="65"/>
      <c r="DH38" s="65"/>
      <c r="DI38" s="65"/>
      <c r="DJ38" s="65"/>
      <c r="DK38" s="65"/>
      <c r="DL38" s="65"/>
      <c r="DM38" s="65"/>
      <c r="DN38" s="65"/>
      <c r="DO38" s="65"/>
      <c r="DP38" s="65"/>
      <c r="DQ38" s="65"/>
      <c r="DR38" s="65"/>
      <c r="DS38" s="65"/>
      <c r="DT38" s="65"/>
      <c r="DU38" s="65"/>
      <c r="DV38" s="65"/>
      <c r="DW38" s="65"/>
      <c r="DX38" s="65"/>
      <c r="DY38" s="65"/>
      <c r="DZ38" s="65"/>
      <c r="EA38" s="65"/>
      <c r="EB38" s="65"/>
      <c r="EC38" s="65"/>
      <c r="ED38" s="65"/>
      <c r="EE38" s="65"/>
      <c r="EF38" s="65"/>
      <c r="EG38" s="65"/>
      <c r="EH38" s="65"/>
      <c r="EI38" s="65"/>
      <c r="EJ38" s="65"/>
      <c r="EK38" s="65"/>
      <c r="EL38" s="65"/>
      <c r="EM38" s="65"/>
      <c r="EN38" s="65"/>
      <c r="EO38" s="65"/>
      <c r="EP38" s="65"/>
      <c r="EQ38" s="65"/>
      <c r="ER38" s="65"/>
      <c r="ES38" s="65"/>
      <c r="ET38" s="65"/>
      <c r="EU38" s="65"/>
      <c r="EV38" s="65"/>
      <c r="EW38" s="65"/>
      <c r="EX38" s="65"/>
      <c r="EY38" s="65"/>
      <c r="EZ38" s="65"/>
      <c r="FA38" s="65"/>
      <c r="FB38" s="65"/>
      <c r="FC38" s="65"/>
      <c r="FD38" s="65"/>
      <c r="FE38" s="65"/>
      <c r="FF38" s="65"/>
      <c r="FG38" s="65"/>
      <c r="FH38" s="65"/>
      <c r="FI38" s="65"/>
      <c r="FJ38" s="65"/>
      <c r="FK38" s="65"/>
      <c r="FL38" s="65"/>
      <c r="FM38" s="65"/>
      <c r="FN38" s="65"/>
      <c r="FO38" s="65"/>
      <c r="FP38" s="65"/>
      <c r="FQ38" s="65"/>
      <c r="FR38" s="65"/>
      <c r="FS38" s="65"/>
      <c r="FT38" s="65"/>
      <c r="FU38" s="65"/>
      <c r="FV38" s="65"/>
      <c r="FW38" s="65"/>
      <c r="FX38" s="65"/>
      <c r="FY38" s="65"/>
      <c r="FZ38" s="65"/>
      <c r="GA38" s="65"/>
      <c r="GB38" s="65"/>
      <c r="GC38" s="65"/>
      <c r="GD38" s="65"/>
      <c r="GE38" s="65"/>
      <c r="GF38" s="65"/>
      <c r="GG38" s="65"/>
      <c r="GH38" s="65"/>
      <c r="GI38" s="65"/>
      <c r="GJ38" s="65"/>
      <c r="GK38" s="65"/>
      <c r="GL38" s="65"/>
      <c r="GM38" s="65"/>
      <c r="GN38" s="65"/>
      <c r="GO38" s="65"/>
      <c r="GP38" s="65"/>
      <c r="GQ38" s="65"/>
      <c r="GR38" s="65"/>
      <c r="GS38" s="65"/>
      <c r="GT38" s="65"/>
      <c r="GU38" s="65"/>
      <c r="GV38" s="65"/>
      <c r="GW38" s="65"/>
      <c r="GX38" s="65"/>
      <c r="GY38" s="65"/>
      <c r="GZ38" s="65"/>
      <c r="HA38" s="65"/>
      <c r="HB38" s="65"/>
      <c r="HC38" s="65"/>
      <c r="HD38" s="65"/>
      <c r="HE38" s="65"/>
      <c r="HF38" s="65"/>
      <c r="HG38" s="65"/>
      <c r="HH38" s="65"/>
      <c r="HI38" s="65"/>
      <c r="HJ38" s="65"/>
      <c r="HK38" s="65"/>
      <c r="HL38" s="65"/>
      <c r="HM38" s="65"/>
      <c r="HN38" s="65"/>
      <c r="HO38" s="65"/>
      <c r="HP38" s="65"/>
      <c r="HQ38" s="65"/>
      <c r="HR38" s="65"/>
      <c r="HS38" s="65"/>
      <c r="HT38" s="65"/>
      <c r="HU38" s="65"/>
      <c r="HV38" s="65"/>
      <c r="HW38" s="65"/>
      <c r="HX38" s="65"/>
      <c r="HY38" s="65"/>
      <c r="HZ38" s="65"/>
      <c r="IA38" s="65"/>
      <c r="IB38" s="65"/>
      <c r="IC38" s="65"/>
      <c r="ID38" s="65"/>
      <c r="IE38" s="65"/>
      <c r="IF38" s="65"/>
      <c r="IG38" s="65"/>
      <c r="IH38" s="65"/>
      <c r="II38" s="65"/>
      <c r="IJ38" s="65"/>
      <c r="IK38" s="65"/>
      <c r="IL38" s="65"/>
      <c r="IM38" s="65"/>
      <c r="IN38" s="65"/>
      <c r="IO38" s="65"/>
      <c r="IP38" s="65"/>
      <c r="IQ38" s="65"/>
      <c r="IR38" s="65"/>
      <c r="IS38" s="65"/>
      <c r="IT38" s="65"/>
      <c r="IU38" s="65"/>
      <c r="IV38" s="65"/>
    </row>
    <row r="39" spans="1:256" s="110" customFormat="1" ht="18" customHeight="1">
      <c r="A39" s="65"/>
      <c r="B39" s="1265" t="s">
        <v>181</v>
      </c>
      <c r="C39" s="1266"/>
      <c r="D39" s="2316" t="s">
        <v>236</v>
      </c>
      <c r="E39" s="2317"/>
      <c r="F39" s="2317"/>
      <c r="G39" s="2317"/>
      <c r="H39" s="2317"/>
      <c r="I39" s="2317"/>
      <c r="J39" s="2318"/>
      <c r="K39" s="1521"/>
      <c r="L39" s="1522"/>
      <c r="M39" s="1522"/>
      <c r="N39" s="1522"/>
      <c r="O39" s="1522"/>
      <c r="P39" s="1523"/>
      <c r="Q39" s="65"/>
      <c r="R39" s="65"/>
      <c r="S39" s="65"/>
      <c r="T39" s="65"/>
      <c r="U39" s="65"/>
      <c r="V39" s="65"/>
      <c r="W39" s="65"/>
      <c r="X39" s="65"/>
      <c r="Y39" s="65"/>
      <c r="Z39" s="65"/>
      <c r="AA39" s="65"/>
      <c r="AB39" s="65"/>
      <c r="AC39" s="65"/>
      <c r="AD39" s="65"/>
      <c r="AE39" s="65"/>
      <c r="AF39" s="65"/>
      <c r="AG39" s="65"/>
      <c r="AH39" s="65"/>
      <c r="AI39" s="65"/>
      <c r="AJ39" s="65"/>
      <c r="AK39" s="65"/>
      <c r="AL39" s="65"/>
      <c r="AM39" s="65"/>
      <c r="AN39" s="65"/>
      <c r="AO39" s="65"/>
      <c r="AP39" s="65"/>
      <c r="AQ39" s="65"/>
      <c r="AR39" s="65"/>
      <c r="AS39" s="65"/>
      <c r="AT39" s="65"/>
      <c r="AU39" s="65"/>
      <c r="AV39" s="65"/>
      <c r="AW39" s="65"/>
      <c r="AX39" s="65"/>
      <c r="AY39" s="65"/>
      <c r="AZ39" s="65"/>
      <c r="BA39" s="65"/>
      <c r="BB39" s="65"/>
      <c r="BC39" s="65"/>
      <c r="BD39" s="65"/>
      <c r="BE39" s="65"/>
      <c r="BF39" s="65"/>
      <c r="BG39" s="65"/>
      <c r="BH39" s="65"/>
      <c r="BI39" s="65"/>
      <c r="BJ39" s="65"/>
      <c r="BK39" s="65"/>
      <c r="BL39" s="65"/>
      <c r="BM39" s="65"/>
      <c r="BN39" s="65"/>
      <c r="BO39" s="65"/>
      <c r="BP39" s="65"/>
      <c r="BQ39" s="65"/>
      <c r="BR39" s="65"/>
      <c r="BS39" s="65"/>
      <c r="BT39" s="65"/>
      <c r="BU39" s="65"/>
      <c r="BV39" s="65"/>
      <c r="BW39" s="65"/>
      <c r="BX39" s="65"/>
      <c r="BY39" s="65"/>
      <c r="BZ39" s="65"/>
      <c r="CA39" s="65"/>
      <c r="CB39" s="65"/>
      <c r="CC39" s="65"/>
      <c r="CD39" s="65"/>
      <c r="CE39" s="65"/>
      <c r="CF39" s="65"/>
      <c r="CG39" s="65"/>
      <c r="CH39" s="65"/>
      <c r="CI39" s="65"/>
      <c r="CJ39" s="65"/>
      <c r="CK39" s="65"/>
      <c r="CL39" s="65"/>
      <c r="CM39" s="65"/>
      <c r="CN39" s="65"/>
      <c r="CO39" s="65"/>
      <c r="CP39" s="65"/>
      <c r="CQ39" s="65"/>
      <c r="CR39" s="65"/>
      <c r="CS39" s="65"/>
      <c r="CT39" s="65"/>
      <c r="CU39" s="65"/>
      <c r="CV39" s="65"/>
      <c r="CW39" s="65"/>
      <c r="CX39" s="65"/>
      <c r="CY39" s="65"/>
      <c r="CZ39" s="65"/>
      <c r="DA39" s="65"/>
      <c r="DB39" s="65"/>
      <c r="DC39" s="65"/>
      <c r="DD39" s="65"/>
      <c r="DE39" s="65"/>
      <c r="DF39" s="65"/>
      <c r="DG39" s="65"/>
      <c r="DH39" s="65"/>
      <c r="DI39" s="65"/>
      <c r="DJ39" s="65"/>
      <c r="DK39" s="65"/>
      <c r="DL39" s="65"/>
      <c r="DM39" s="65"/>
      <c r="DN39" s="65"/>
      <c r="DO39" s="65"/>
      <c r="DP39" s="65"/>
      <c r="DQ39" s="65"/>
      <c r="DR39" s="65"/>
      <c r="DS39" s="65"/>
      <c r="DT39" s="65"/>
      <c r="DU39" s="65"/>
      <c r="DV39" s="65"/>
      <c r="DW39" s="65"/>
      <c r="DX39" s="65"/>
      <c r="DY39" s="65"/>
      <c r="DZ39" s="65"/>
      <c r="EA39" s="65"/>
      <c r="EB39" s="65"/>
      <c r="EC39" s="65"/>
      <c r="ED39" s="65"/>
      <c r="EE39" s="65"/>
      <c r="EF39" s="65"/>
      <c r="EG39" s="65"/>
      <c r="EH39" s="65"/>
      <c r="EI39" s="65"/>
      <c r="EJ39" s="65"/>
      <c r="EK39" s="65"/>
      <c r="EL39" s="65"/>
      <c r="EM39" s="65"/>
      <c r="EN39" s="65"/>
      <c r="EO39" s="65"/>
      <c r="EP39" s="65"/>
      <c r="EQ39" s="65"/>
      <c r="ER39" s="65"/>
      <c r="ES39" s="65"/>
      <c r="ET39" s="65"/>
      <c r="EU39" s="65"/>
      <c r="EV39" s="65"/>
      <c r="EW39" s="65"/>
      <c r="EX39" s="65"/>
      <c r="EY39" s="65"/>
      <c r="EZ39" s="65"/>
      <c r="FA39" s="65"/>
      <c r="FB39" s="65"/>
      <c r="FC39" s="65"/>
      <c r="FD39" s="65"/>
      <c r="FE39" s="65"/>
      <c r="FF39" s="65"/>
      <c r="FG39" s="65"/>
      <c r="FH39" s="65"/>
      <c r="FI39" s="65"/>
      <c r="FJ39" s="65"/>
      <c r="FK39" s="65"/>
      <c r="FL39" s="65"/>
      <c r="FM39" s="65"/>
      <c r="FN39" s="65"/>
      <c r="FO39" s="65"/>
      <c r="FP39" s="65"/>
      <c r="FQ39" s="65"/>
      <c r="FR39" s="65"/>
      <c r="FS39" s="65"/>
      <c r="FT39" s="65"/>
      <c r="FU39" s="65"/>
      <c r="FV39" s="65"/>
      <c r="FW39" s="65"/>
      <c r="FX39" s="65"/>
      <c r="FY39" s="65"/>
      <c r="FZ39" s="65"/>
      <c r="GA39" s="65"/>
      <c r="GB39" s="65"/>
      <c r="GC39" s="65"/>
      <c r="GD39" s="65"/>
      <c r="GE39" s="65"/>
      <c r="GF39" s="65"/>
      <c r="GG39" s="65"/>
      <c r="GH39" s="65"/>
      <c r="GI39" s="65"/>
      <c r="GJ39" s="65"/>
      <c r="GK39" s="65"/>
      <c r="GL39" s="65"/>
      <c r="GM39" s="65"/>
      <c r="GN39" s="65"/>
      <c r="GO39" s="65"/>
      <c r="GP39" s="65"/>
      <c r="GQ39" s="65"/>
      <c r="GR39" s="65"/>
      <c r="GS39" s="65"/>
      <c r="GT39" s="65"/>
      <c r="GU39" s="65"/>
      <c r="GV39" s="65"/>
      <c r="GW39" s="65"/>
      <c r="GX39" s="65"/>
      <c r="GY39" s="65"/>
      <c r="GZ39" s="65"/>
      <c r="HA39" s="65"/>
      <c r="HB39" s="65"/>
      <c r="HC39" s="65"/>
      <c r="HD39" s="65"/>
      <c r="HE39" s="65"/>
      <c r="HF39" s="65"/>
      <c r="HG39" s="65"/>
      <c r="HH39" s="65"/>
      <c r="HI39" s="65"/>
      <c r="HJ39" s="65"/>
      <c r="HK39" s="65"/>
      <c r="HL39" s="65"/>
      <c r="HM39" s="65"/>
      <c r="HN39" s="65"/>
      <c r="HO39" s="65"/>
      <c r="HP39" s="65"/>
      <c r="HQ39" s="65"/>
      <c r="HR39" s="65"/>
      <c r="HS39" s="65"/>
      <c r="HT39" s="65"/>
      <c r="HU39" s="65"/>
      <c r="HV39" s="65"/>
      <c r="HW39" s="65"/>
      <c r="HX39" s="65"/>
      <c r="HY39" s="65"/>
      <c r="HZ39" s="65"/>
      <c r="IA39" s="65"/>
      <c r="IB39" s="65"/>
      <c r="IC39" s="65"/>
      <c r="ID39" s="65"/>
      <c r="IE39" s="65"/>
      <c r="IF39" s="65"/>
      <c r="IG39" s="65"/>
      <c r="IH39" s="65"/>
      <c r="II39" s="65"/>
      <c r="IJ39" s="65"/>
      <c r="IK39" s="65"/>
      <c r="IL39" s="65"/>
      <c r="IM39" s="65"/>
      <c r="IN39" s="65"/>
      <c r="IO39" s="65"/>
      <c r="IP39" s="65"/>
      <c r="IQ39" s="65"/>
      <c r="IR39" s="65"/>
      <c r="IS39" s="65"/>
      <c r="IT39" s="65"/>
      <c r="IU39" s="65"/>
      <c r="IV39" s="65"/>
    </row>
    <row r="40" spans="1:256" s="110" customFormat="1" ht="18" customHeight="1">
      <c r="A40" s="65"/>
      <c r="B40" s="1265" t="s">
        <v>182</v>
      </c>
      <c r="C40" s="1266"/>
      <c r="D40" s="2316" t="s">
        <v>47</v>
      </c>
      <c r="E40" s="2317"/>
      <c r="F40" s="2317"/>
      <c r="G40" s="2317"/>
      <c r="H40" s="2317"/>
      <c r="I40" s="2317"/>
      <c r="J40" s="2318"/>
      <c r="K40" s="1765" t="s">
        <v>244</v>
      </c>
      <c r="L40" s="1766"/>
      <c r="M40" s="1766"/>
      <c r="N40" s="1766"/>
      <c r="O40" s="1766"/>
      <c r="P40" s="1767"/>
      <c r="Q40" s="65"/>
      <c r="R40" s="65"/>
      <c r="S40" s="65"/>
      <c r="T40" s="65"/>
      <c r="U40" s="65"/>
      <c r="V40" s="65"/>
      <c r="W40" s="65"/>
      <c r="X40" s="65"/>
      <c r="Y40" s="65"/>
      <c r="Z40" s="65"/>
      <c r="AA40" s="65"/>
      <c r="AB40" s="65"/>
      <c r="AC40" s="65"/>
      <c r="AD40" s="65"/>
      <c r="AE40" s="65"/>
      <c r="AF40" s="65"/>
      <c r="AG40" s="65"/>
      <c r="AH40" s="65"/>
      <c r="AI40" s="65"/>
      <c r="AJ40" s="65"/>
      <c r="AK40" s="65"/>
      <c r="AL40" s="65"/>
      <c r="AM40" s="65"/>
      <c r="AN40" s="65"/>
      <c r="AO40" s="65"/>
      <c r="AP40" s="65"/>
      <c r="AQ40" s="65"/>
      <c r="AR40" s="65"/>
      <c r="AS40" s="65"/>
      <c r="AT40" s="65"/>
      <c r="AU40" s="65"/>
      <c r="AV40" s="65"/>
      <c r="AW40" s="65"/>
      <c r="AX40" s="65"/>
      <c r="AY40" s="65"/>
      <c r="AZ40" s="65"/>
      <c r="BA40" s="65"/>
      <c r="BB40" s="65"/>
      <c r="BC40" s="65"/>
      <c r="BD40" s="65"/>
      <c r="BE40" s="65"/>
      <c r="BF40" s="65"/>
      <c r="BG40" s="65"/>
      <c r="BH40" s="65"/>
      <c r="BI40" s="65"/>
      <c r="BJ40" s="65"/>
      <c r="BK40" s="65"/>
      <c r="BL40" s="65"/>
      <c r="BM40" s="65"/>
      <c r="BN40" s="65"/>
      <c r="BO40" s="65"/>
      <c r="BP40" s="65"/>
      <c r="BQ40" s="65"/>
      <c r="BR40" s="65"/>
      <c r="BS40" s="65"/>
      <c r="BT40" s="65"/>
      <c r="BU40" s="65"/>
      <c r="BV40" s="65"/>
      <c r="BW40" s="65"/>
      <c r="BX40" s="65"/>
      <c r="BY40" s="65"/>
      <c r="BZ40" s="65"/>
      <c r="CA40" s="65"/>
      <c r="CB40" s="65"/>
      <c r="CC40" s="65"/>
      <c r="CD40" s="65"/>
      <c r="CE40" s="65"/>
      <c r="CF40" s="65"/>
      <c r="CG40" s="65"/>
      <c r="CH40" s="65"/>
      <c r="CI40" s="65"/>
      <c r="CJ40" s="65"/>
      <c r="CK40" s="65"/>
      <c r="CL40" s="65"/>
      <c r="CM40" s="65"/>
      <c r="CN40" s="65"/>
      <c r="CO40" s="65"/>
      <c r="CP40" s="65"/>
      <c r="CQ40" s="65"/>
      <c r="CR40" s="65"/>
      <c r="CS40" s="65"/>
      <c r="CT40" s="65"/>
      <c r="CU40" s="65"/>
      <c r="CV40" s="65"/>
      <c r="CW40" s="65"/>
      <c r="CX40" s="65"/>
      <c r="CY40" s="65"/>
      <c r="CZ40" s="65"/>
      <c r="DA40" s="65"/>
      <c r="DB40" s="65"/>
      <c r="DC40" s="65"/>
      <c r="DD40" s="65"/>
      <c r="DE40" s="65"/>
      <c r="DF40" s="65"/>
      <c r="DG40" s="65"/>
      <c r="DH40" s="65"/>
      <c r="DI40" s="65"/>
      <c r="DJ40" s="65"/>
      <c r="DK40" s="65"/>
      <c r="DL40" s="65"/>
      <c r="DM40" s="65"/>
      <c r="DN40" s="65"/>
      <c r="DO40" s="65"/>
      <c r="DP40" s="65"/>
      <c r="DQ40" s="65"/>
      <c r="DR40" s="65"/>
      <c r="DS40" s="65"/>
      <c r="DT40" s="65"/>
      <c r="DU40" s="65"/>
      <c r="DV40" s="65"/>
      <c r="DW40" s="65"/>
      <c r="DX40" s="65"/>
      <c r="DY40" s="65"/>
      <c r="DZ40" s="65"/>
      <c r="EA40" s="65"/>
      <c r="EB40" s="65"/>
      <c r="EC40" s="65"/>
      <c r="ED40" s="65"/>
      <c r="EE40" s="65"/>
      <c r="EF40" s="65"/>
      <c r="EG40" s="65"/>
      <c r="EH40" s="65"/>
      <c r="EI40" s="65"/>
      <c r="EJ40" s="65"/>
      <c r="EK40" s="65"/>
      <c r="EL40" s="65"/>
      <c r="EM40" s="65"/>
      <c r="EN40" s="65"/>
      <c r="EO40" s="65"/>
      <c r="EP40" s="65"/>
      <c r="EQ40" s="65"/>
      <c r="ER40" s="65"/>
      <c r="ES40" s="65"/>
      <c r="ET40" s="65"/>
      <c r="EU40" s="65"/>
      <c r="EV40" s="65"/>
      <c r="EW40" s="65"/>
      <c r="EX40" s="65"/>
      <c r="EY40" s="65"/>
      <c r="EZ40" s="65"/>
      <c r="FA40" s="65"/>
      <c r="FB40" s="65"/>
      <c r="FC40" s="65"/>
      <c r="FD40" s="65"/>
      <c r="FE40" s="65"/>
      <c r="FF40" s="65"/>
      <c r="FG40" s="65"/>
      <c r="FH40" s="65"/>
      <c r="FI40" s="65"/>
      <c r="FJ40" s="65"/>
      <c r="FK40" s="65"/>
      <c r="FL40" s="65"/>
      <c r="FM40" s="65"/>
      <c r="FN40" s="65"/>
      <c r="FO40" s="65"/>
      <c r="FP40" s="65"/>
      <c r="FQ40" s="65"/>
      <c r="FR40" s="65"/>
      <c r="FS40" s="65"/>
      <c r="FT40" s="65"/>
      <c r="FU40" s="65"/>
      <c r="FV40" s="65"/>
      <c r="FW40" s="65"/>
      <c r="FX40" s="65"/>
      <c r="FY40" s="65"/>
      <c r="FZ40" s="65"/>
      <c r="GA40" s="65"/>
      <c r="GB40" s="65"/>
      <c r="GC40" s="65"/>
      <c r="GD40" s="65"/>
      <c r="GE40" s="65"/>
      <c r="GF40" s="65"/>
      <c r="GG40" s="65"/>
      <c r="GH40" s="65"/>
      <c r="GI40" s="65"/>
      <c r="GJ40" s="65"/>
      <c r="GK40" s="65"/>
      <c r="GL40" s="65"/>
      <c r="GM40" s="65"/>
      <c r="GN40" s="65"/>
      <c r="GO40" s="65"/>
      <c r="GP40" s="65"/>
      <c r="GQ40" s="65"/>
      <c r="GR40" s="65"/>
      <c r="GS40" s="65"/>
      <c r="GT40" s="65"/>
      <c r="GU40" s="65"/>
      <c r="GV40" s="65"/>
      <c r="GW40" s="65"/>
      <c r="GX40" s="65"/>
      <c r="GY40" s="65"/>
      <c r="GZ40" s="65"/>
      <c r="HA40" s="65"/>
      <c r="HB40" s="65"/>
      <c r="HC40" s="65"/>
      <c r="HD40" s="65"/>
      <c r="HE40" s="65"/>
      <c r="HF40" s="65"/>
      <c r="HG40" s="65"/>
      <c r="HH40" s="65"/>
      <c r="HI40" s="65"/>
      <c r="HJ40" s="65"/>
      <c r="HK40" s="65"/>
      <c r="HL40" s="65"/>
      <c r="HM40" s="65"/>
      <c r="HN40" s="65"/>
      <c r="HO40" s="65"/>
      <c r="HP40" s="65"/>
      <c r="HQ40" s="65"/>
      <c r="HR40" s="65"/>
      <c r="HS40" s="65"/>
      <c r="HT40" s="65"/>
      <c r="HU40" s="65"/>
      <c r="HV40" s="65"/>
      <c r="HW40" s="65"/>
      <c r="HX40" s="65"/>
      <c r="HY40" s="65"/>
      <c r="HZ40" s="65"/>
      <c r="IA40" s="65"/>
      <c r="IB40" s="65"/>
      <c r="IC40" s="65"/>
      <c r="ID40" s="65"/>
      <c r="IE40" s="65"/>
      <c r="IF40" s="65"/>
      <c r="IG40" s="65"/>
      <c r="IH40" s="65"/>
      <c r="II40" s="65"/>
      <c r="IJ40" s="65"/>
      <c r="IK40" s="65"/>
      <c r="IL40" s="65"/>
      <c r="IM40" s="65"/>
      <c r="IN40" s="65"/>
      <c r="IO40" s="65"/>
      <c r="IP40" s="65"/>
      <c r="IQ40" s="65"/>
      <c r="IR40" s="65"/>
      <c r="IS40" s="65"/>
      <c r="IT40" s="65"/>
      <c r="IU40" s="65"/>
      <c r="IV40" s="65"/>
    </row>
    <row r="41" spans="1:256" s="110" customFormat="1" ht="18" customHeight="1">
      <c r="A41" s="65"/>
      <c r="B41" s="1267"/>
      <c r="C41" s="1268"/>
      <c r="D41" s="2319"/>
      <c r="E41" s="2320"/>
      <c r="F41" s="2320"/>
      <c r="G41" s="2320"/>
      <c r="H41" s="2320"/>
      <c r="I41" s="2320"/>
      <c r="J41" s="2321"/>
      <c r="K41" s="1724" t="s">
        <v>237</v>
      </c>
      <c r="L41" s="1725"/>
      <c r="M41" s="1725"/>
      <c r="N41" s="1725"/>
      <c r="O41" s="1725"/>
      <c r="P41" s="1733"/>
      <c r="Q41" s="65"/>
      <c r="R41" s="65"/>
      <c r="S41" s="65"/>
      <c r="T41" s="65"/>
      <c r="U41" s="65"/>
      <c r="V41" s="65"/>
      <c r="W41" s="65"/>
      <c r="X41" s="65"/>
      <c r="Y41" s="65"/>
      <c r="Z41" s="65"/>
      <c r="AA41" s="65"/>
      <c r="AB41" s="65"/>
      <c r="AC41" s="65"/>
      <c r="AD41" s="65"/>
      <c r="AE41" s="65"/>
      <c r="AF41" s="65"/>
      <c r="AG41" s="65"/>
      <c r="AH41" s="65"/>
      <c r="AI41" s="65"/>
      <c r="AJ41" s="65"/>
      <c r="AK41" s="65"/>
      <c r="AL41" s="65"/>
      <c r="AM41" s="65"/>
      <c r="AN41" s="65"/>
      <c r="AO41" s="65"/>
      <c r="AP41" s="65"/>
      <c r="AQ41" s="65"/>
      <c r="AR41" s="65"/>
      <c r="AS41" s="65"/>
      <c r="AT41" s="65"/>
      <c r="AU41" s="65"/>
      <c r="AV41" s="65"/>
      <c r="AW41" s="65"/>
      <c r="AX41" s="65"/>
      <c r="AY41" s="65"/>
      <c r="AZ41" s="65"/>
      <c r="BA41" s="65"/>
      <c r="BB41" s="65"/>
      <c r="BC41" s="65"/>
      <c r="BD41" s="65"/>
      <c r="BE41" s="65"/>
      <c r="BF41" s="65"/>
      <c r="BG41" s="65"/>
      <c r="BH41" s="65"/>
      <c r="BI41" s="65"/>
      <c r="BJ41" s="65"/>
      <c r="BK41" s="65"/>
      <c r="BL41" s="65"/>
      <c r="BM41" s="65"/>
      <c r="BN41" s="65"/>
      <c r="BO41" s="65"/>
      <c r="BP41" s="65"/>
      <c r="BQ41" s="65"/>
      <c r="BR41" s="65"/>
      <c r="BS41" s="65"/>
      <c r="BT41" s="65"/>
      <c r="BU41" s="65"/>
      <c r="BV41" s="65"/>
      <c r="BW41" s="65"/>
      <c r="BX41" s="65"/>
      <c r="BY41" s="65"/>
      <c r="BZ41" s="65"/>
      <c r="CA41" s="65"/>
      <c r="CB41" s="65"/>
      <c r="CC41" s="65"/>
      <c r="CD41" s="65"/>
      <c r="CE41" s="65"/>
      <c r="CF41" s="65"/>
      <c r="CG41" s="65"/>
      <c r="CH41" s="65"/>
      <c r="CI41" s="65"/>
      <c r="CJ41" s="65"/>
      <c r="CK41" s="65"/>
      <c r="CL41" s="65"/>
      <c r="CM41" s="65"/>
      <c r="CN41" s="65"/>
      <c r="CO41" s="65"/>
      <c r="CP41" s="65"/>
      <c r="CQ41" s="65"/>
      <c r="CR41" s="65"/>
      <c r="CS41" s="65"/>
      <c r="CT41" s="65"/>
      <c r="CU41" s="65"/>
      <c r="CV41" s="65"/>
      <c r="CW41" s="65"/>
      <c r="CX41" s="65"/>
      <c r="CY41" s="65"/>
      <c r="CZ41" s="65"/>
      <c r="DA41" s="65"/>
      <c r="DB41" s="65"/>
      <c r="DC41" s="65"/>
      <c r="DD41" s="65"/>
      <c r="DE41" s="65"/>
      <c r="DF41" s="65"/>
      <c r="DG41" s="65"/>
      <c r="DH41" s="65"/>
      <c r="DI41" s="65"/>
      <c r="DJ41" s="65"/>
      <c r="DK41" s="65"/>
      <c r="DL41" s="65"/>
      <c r="DM41" s="65"/>
      <c r="DN41" s="65"/>
      <c r="DO41" s="65"/>
      <c r="DP41" s="65"/>
      <c r="DQ41" s="65"/>
      <c r="DR41" s="65"/>
      <c r="DS41" s="65"/>
      <c r="DT41" s="65"/>
      <c r="DU41" s="65"/>
      <c r="DV41" s="65"/>
      <c r="DW41" s="65"/>
      <c r="DX41" s="65"/>
      <c r="DY41" s="65"/>
      <c r="DZ41" s="65"/>
      <c r="EA41" s="65"/>
      <c r="EB41" s="65"/>
      <c r="EC41" s="65"/>
      <c r="ED41" s="65"/>
      <c r="EE41" s="65"/>
      <c r="EF41" s="65"/>
      <c r="EG41" s="65"/>
      <c r="EH41" s="65"/>
      <c r="EI41" s="65"/>
      <c r="EJ41" s="65"/>
      <c r="EK41" s="65"/>
      <c r="EL41" s="65"/>
      <c r="EM41" s="65"/>
      <c r="EN41" s="65"/>
      <c r="EO41" s="65"/>
      <c r="EP41" s="65"/>
      <c r="EQ41" s="65"/>
      <c r="ER41" s="65"/>
      <c r="ES41" s="65"/>
      <c r="ET41" s="65"/>
      <c r="EU41" s="65"/>
      <c r="EV41" s="65"/>
      <c r="EW41" s="65"/>
      <c r="EX41" s="65"/>
      <c r="EY41" s="65"/>
      <c r="EZ41" s="65"/>
      <c r="FA41" s="65"/>
      <c r="FB41" s="65"/>
      <c r="FC41" s="65"/>
      <c r="FD41" s="65"/>
      <c r="FE41" s="65"/>
      <c r="FF41" s="65"/>
      <c r="FG41" s="65"/>
      <c r="FH41" s="65"/>
      <c r="FI41" s="65"/>
      <c r="FJ41" s="65"/>
      <c r="FK41" s="65"/>
      <c r="FL41" s="65"/>
      <c r="FM41" s="65"/>
      <c r="FN41" s="65"/>
      <c r="FO41" s="65"/>
      <c r="FP41" s="65"/>
      <c r="FQ41" s="65"/>
      <c r="FR41" s="65"/>
      <c r="FS41" s="65"/>
      <c r="FT41" s="65"/>
      <c r="FU41" s="65"/>
      <c r="FV41" s="65"/>
      <c r="FW41" s="65"/>
      <c r="FX41" s="65"/>
      <c r="FY41" s="65"/>
      <c r="FZ41" s="65"/>
      <c r="GA41" s="65"/>
      <c r="GB41" s="65"/>
      <c r="GC41" s="65"/>
      <c r="GD41" s="65"/>
      <c r="GE41" s="65"/>
      <c r="GF41" s="65"/>
      <c r="GG41" s="65"/>
      <c r="GH41" s="65"/>
      <c r="GI41" s="65"/>
      <c r="GJ41" s="65"/>
      <c r="GK41" s="65"/>
      <c r="GL41" s="65"/>
      <c r="GM41" s="65"/>
      <c r="GN41" s="65"/>
      <c r="GO41" s="65"/>
      <c r="GP41" s="65"/>
      <c r="GQ41" s="65"/>
      <c r="GR41" s="65"/>
      <c r="GS41" s="65"/>
      <c r="GT41" s="65"/>
      <c r="GU41" s="65"/>
      <c r="GV41" s="65"/>
      <c r="GW41" s="65"/>
      <c r="GX41" s="65"/>
      <c r="GY41" s="65"/>
      <c r="GZ41" s="65"/>
      <c r="HA41" s="65"/>
      <c r="HB41" s="65"/>
      <c r="HC41" s="65"/>
      <c r="HD41" s="65"/>
      <c r="HE41" s="65"/>
      <c r="HF41" s="65"/>
      <c r="HG41" s="65"/>
      <c r="HH41" s="65"/>
      <c r="HI41" s="65"/>
      <c r="HJ41" s="65"/>
      <c r="HK41" s="65"/>
      <c r="HL41" s="65"/>
      <c r="HM41" s="65"/>
      <c r="HN41" s="65"/>
      <c r="HO41" s="65"/>
      <c r="HP41" s="65"/>
      <c r="HQ41" s="65"/>
      <c r="HR41" s="65"/>
      <c r="HS41" s="65"/>
      <c r="HT41" s="65"/>
      <c r="HU41" s="65"/>
      <c r="HV41" s="65"/>
      <c r="HW41" s="65"/>
      <c r="HX41" s="65"/>
      <c r="HY41" s="65"/>
      <c r="HZ41" s="65"/>
      <c r="IA41" s="65"/>
      <c r="IB41" s="65"/>
      <c r="IC41" s="65"/>
      <c r="ID41" s="65"/>
      <c r="IE41" s="65"/>
      <c r="IF41" s="65"/>
      <c r="IG41" s="65"/>
      <c r="IH41" s="65"/>
      <c r="II41" s="65"/>
      <c r="IJ41" s="65"/>
      <c r="IK41" s="65"/>
      <c r="IL41" s="65"/>
      <c r="IM41" s="65"/>
      <c r="IN41" s="65"/>
      <c r="IO41" s="65"/>
      <c r="IP41" s="65"/>
      <c r="IQ41" s="65"/>
      <c r="IR41" s="65"/>
      <c r="IS41" s="65"/>
      <c r="IT41" s="65"/>
      <c r="IU41" s="65"/>
      <c r="IV41" s="65"/>
    </row>
    <row r="42" spans="1:256" s="110" customFormat="1" ht="18" customHeight="1" thickBot="1">
      <c r="A42" s="65"/>
      <c r="B42" s="1269"/>
      <c r="C42" s="1270"/>
      <c r="D42" s="2322"/>
      <c r="E42" s="2323"/>
      <c r="F42" s="2323"/>
      <c r="G42" s="2323"/>
      <c r="H42" s="2323"/>
      <c r="I42" s="2323"/>
      <c r="J42" s="2324"/>
      <c r="K42" s="2314" t="s">
        <v>238</v>
      </c>
      <c r="L42" s="2315"/>
      <c r="M42" s="2315"/>
      <c r="N42" s="2315"/>
      <c r="O42" s="2315"/>
      <c r="P42" s="1722"/>
      <c r="Q42" s="65"/>
      <c r="R42" s="65"/>
      <c r="S42" s="65"/>
      <c r="T42" s="65"/>
      <c r="U42" s="65"/>
      <c r="V42" s="65"/>
      <c r="W42" s="65"/>
      <c r="X42" s="65"/>
      <c r="Y42" s="65"/>
      <c r="Z42" s="65"/>
      <c r="AA42" s="65"/>
      <c r="AB42" s="65"/>
      <c r="AC42" s="65"/>
      <c r="AD42" s="65"/>
      <c r="AE42" s="65"/>
      <c r="AF42" s="65"/>
      <c r="AG42" s="65"/>
      <c r="AH42" s="65"/>
      <c r="AI42" s="65"/>
      <c r="AJ42" s="65"/>
      <c r="AK42" s="65"/>
      <c r="AL42" s="65"/>
      <c r="AM42" s="65"/>
      <c r="AN42" s="65"/>
      <c r="AO42" s="65"/>
      <c r="AP42" s="65"/>
      <c r="AQ42" s="65"/>
      <c r="AR42" s="65"/>
      <c r="AS42" s="65"/>
      <c r="AT42" s="65"/>
      <c r="AU42" s="65"/>
      <c r="AV42" s="65"/>
      <c r="AW42" s="65"/>
      <c r="AX42" s="65"/>
      <c r="AY42" s="65"/>
      <c r="AZ42" s="65"/>
      <c r="BA42" s="65"/>
      <c r="BB42" s="65"/>
      <c r="BC42" s="65"/>
      <c r="BD42" s="65"/>
      <c r="BE42" s="65"/>
      <c r="BF42" s="65"/>
      <c r="BG42" s="65"/>
      <c r="BH42" s="65"/>
      <c r="BI42" s="65"/>
      <c r="BJ42" s="65"/>
      <c r="BK42" s="65"/>
      <c r="BL42" s="65"/>
      <c r="BM42" s="65"/>
      <c r="BN42" s="65"/>
      <c r="BO42" s="65"/>
      <c r="BP42" s="65"/>
      <c r="BQ42" s="65"/>
      <c r="BR42" s="65"/>
      <c r="BS42" s="65"/>
      <c r="BT42" s="65"/>
      <c r="BU42" s="65"/>
      <c r="BV42" s="65"/>
      <c r="BW42" s="65"/>
      <c r="BX42" s="65"/>
      <c r="BY42" s="65"/>
      <c r="BZ42" s="65"/>
      <c r="CA42" s="65"/>
      <c r="CB42" s="65"/>
      <c r="CC42" s="65"/>
      <c r="CD42" s="65"/>
      <c r="CE42" s="65"/>
      <c r="CF42" s="65"/>
      <c r="CG42" s="65"/>
      <c r="CH42" s="65"/>
      <c r="CI42" s="65"/>
      <c r="CJ42" s="65"/>
      <c r="CK42" s="65"/>
      <c r="CL42" s="65"/>
      <c r="CM42" s="65"/>
      <c r="CN42" s="65"/>
      <c r="CO42" s="65"/>
      <c r="CP42" s="65"/>
      <c r="CQ42" s="65"/>
      <c r="CR42" s="65"/>
      <c r="CS42" s="65"/>
      <c r="CT42" s="65"/>
      <c r="CU42" s="65"/>
      <c r="CV42" s="65"/>
      <c r="CW42" s="65"/>
      <c r="CX42" s="65"/>
      <c r="CY42" s="65"/>
      <c r="CZ42" s="65"/>
      <c r="DA42" s="65"/>
      <c r="DB42" s="65"/>
      <c r="DC42" s="65"/>
      <c r="DD42" s="65"/>
      <c r="DE42" s="65"/>
      <c r="DF42" s="65"/>
      <c r="DG42" s="65"/>
      <c r="DH42" s="65"/>
      <c r="DI42" s="65"/>
      <c r="DJ42" s="65"/>
      <c r="DK42" s="65"/>
      <c r="DL42" s="65"/>
      <c r="DM42" s="65"/>
      <c r="DN42" s="65"/>
      <c r="DO42" s="65"/>
      <c r="DP42" s="65"/>
      <c r="DQ42" s="65"/>
      <c r="DR42" s="65"/>
      <c r="DS42" s="65"/>
      <c r="DT42" s="65"/>
      <c r="DU42" s="65"/>
      <c r="DV42" s="65"/>
      <c r="DW42" s="65"/>
      <c r="DX42" s="65"/>
      <c r="DY42" s="65"/>
      <c r="DZ42" s="65"/>
      <c r="EA42" s="65"/>
      <c r="EB42" s="65"/>
      <c r="EC42" s="65"/>
      <c r="ED42" s="65"/>
      <c r="EE42" s="65"/>
      <c r="EF42" s="65"/>
      <c r="EG42" s="65"/>
      <c r="EH42" s="65"/>
      <c r="EI42" s="65"/>
      <c r="EJ42" s="65"/>
      <c r="EK42" s="65"/>
      <c r="EL42" s="65"/>
      <c r="EM42" s="65"/>
      <c r="EN42" s="65"/>
      <c r="EO42" s="65"/>
      <c r="EP42" s="65"/>
      <c r="EQ42" s="65"/>
      <c r="ER42" s="65"/>
      <c r="ES42" s="65"/>
      <c r="ET42" s="65"/>
      <c r="EU42" s="65"/>
      <c r="EV42" s="65"/>
      <c r="EW42" s="65"/>
      <c r="EX42" s="65"/>
      <c r="EY42" s="65"/>
      <c r="EZ42" s="65"/>
      <c r="FA42" s="65"/>
      <c r="FB42" s="65"/>
      <c r="FC42" s="65"/>
      <c r="FD42" s="65"/>
      <c r="FE42" s="65"/>
      <c r="FF42" s="65"/>
      <c r="FG42" s="65"/>
      <c r="FH42" s="65"/>
      <c r="FI42" s="65"/>
      <c r="FJ42" s="65"/>
      <c r="FK42" s="65"/>
      <c r="FL42" s="65"/>
      <c r="FM42" s="65"/>
      <c r="FN42" s="65"/>
      <c r="FO42" s="65"/>
      <c r="FP42" s="65"/>
      <c r="FQ42" s="65"/>
      <c r="FR42" s="65"/>
      <c r="FS42" s="65"/>
      <c r="FT42" s="65"/>
      <c r="FU42" s="65"/>
      <c r="FV42" s="65"/>
      <c r="FW42" s="65"/>
      <c r="FX42" s="65"/>
      <c r="FY42" s="65"/>
      <c r="FZ42" s="65"/>
      <c r="GA42" s="65"/>
      <c r="GB42" s="65"/>
      <c r="GC42" s="65"/>
      <c r="GD42" s="65"/>
      <c r="GE42" s="65"/>
      <c r="GF42" s="65"/>
      <c r="GG42" s="65"/>
      <c r="GH42" s="65"/>
      <c r="GI42" s="65"/>
      <c r="GJ42" s="65"/>
      <c r="GK42" s="65"/>
      <c r="GL42" s="65"/>
      <c r="GM42" s="65"/>
      <c r="GN42" s="65"/>
      <c r="GO42" s="65"/>
      <c r="GP42" s="65"/>
      <c r="GQ42" s="65"/>
      <c r="GR42" s="65"/>
      <c r="GS42" s="65"/>
      <c r="GT42" s="65"/>
      <c r="GU42" s="65"/>
      <c r="GV42" s="65"/>
      <c r="GW42" s="65"/>
      <c r="GX42" s="65"/>
      <c r="GY42" s="65"/>
      <c r="GZ42" s="65"/>
      <c r="HA42" s="65"/>
      <c r="HB42" s="65"/>
      <c r="HC42" s="65"/>
      <c r="HD42" s="65"/>
      <c r="HE42" s="65"/>
      <c r="HF42" s="65"/>
      <c r="HG42" s="65"/>
      <c r="HH42" s="65"/>
      <c r="HI42" s="65"/>
      <c r="HJ42" s="65"/>
      <c r="HK42" s="65"/>
      <c r="HL42" s="65"/>
      <c r="HM42" s="65"/>
      <c r="HN42" s="65"/>
      <c r="HO42" s="65"/>
      <c r="HP42" s="65"/>
      <c r="HQ42" s="65"/>
      <c r="HR42" s="65"/>
      <c r="HS42" s="65"/>
      <c r="HT42" s="65"/>
      <c r="HU42" s="65"/>
      <c r="HV42" s="65"/>
      <c r="HW42" s="65"/>
      <c r="HX42" s="65"/>
      <c r="HY42" s="65"/>
      <c r="HZ42" s="65"/>
      <c r="IA42" s="65"/>
      <c r="IB42" s="65"/>
      <c r="IC42" s="65"/>
      <c r="ID42" s="65"/>
      <c r="IE42" s="65"/>
      <c r="IF42" s="65"/>
      <c r="IG42" s="65"/>
      <c r="IH42" s="65"/>
      <c r="II42" s="65"/>
      <c r="IJ42" s="65"/>
      <c r="IK42" s="65"/>
      <c r="IL42" s="65"/>
      <c r="IM42" s="65"/>
      <c r="IN42" s="65"/>
      <c r="IO42" s="65"/>
      <c r="IP42" s="65"/>
      <c r="IQ42" s="65"/>
      <c r="IR42" s="65"/>
      <c r="IS42" s="65"/>
      <c r="IT42" s="65"/>
      <c r="IU42" s="65"/>
      <c r="IV42" s="65"/>
    </row>
  </sheetData>
  <mergeCells count="73">
    <mergeCell ref="B35:C35"/>
    <mergeCell ref="D35:J35"/>
    <mergeCell ref="K35:P35"/>
    <mergeCell ref="D39:J39"/>
    <mergeCell ref="K39:P39"/>
    <mergeCell ref="B36:C38"/>
    <mergeCell ref="K36:P36"/>
    <mergeCell ref="K37:P37"/>
    <mergeCell ref="K38:P38"/>
    <mergeCell ref="D36:J38"/>
    <mergeCell ref="B31:C31"/>
    <mergeCell ref="D31:L31"/>
    <mergeCell ref="M31:P32"/>
    <mergeCell ref="B32:C32"/>
    <mergeCell ref="D32:L32"/>
    <mergeCell ref="K40:P40"/>
    <mergeCell ref="K41:P41"/>
    <mergeCell ref="B39:C39"/>
    <mergeCell ref="B40:C42"/>
    <mergeCell ref="K42:P42"/>
    <mergeCell ref="D40:J42"/>
    <mergeCell ref="B26:C27"/>
    <mergeCell ref="D26:J26"/>
    <mergeCell ref="K26:P27"/>
    <mergeCell ref="D27:J27"/>
    <mergeCell ref="B30:C30"/>
    <mergeCell ref="D30:L30"/>
    <mergeCell ref="M30:P30"/>
    <mergeCell ref="B24:C24"/>
    <mergeCell ref="D24:J24"/>
    <mergeCell ref="K24:P24"/>
    <mergeCell ref="B25:C25"/>
    <mergeCell ref="D25:J25"/>
    <mergeCell ref="K25:P25"/>
    <mergeCell ref="B18:C18"/>
    <mergeCell ref="B19:C19"/>
    <mergeCell ref="B20:C20"/>
    <mergeCell ref="B23:C23"/>
    <mergeCell ref="D23:J23"/>
    <mergeCell ref="K23:P23"/>
    <mergeCell ref="K18:L18"/>
    <mergeCell ref="K19:L19"/>
    <mergeCell ref="D20:J20"/>
    <mergeCell ref="K20:L20"/>
    <mergeCell ref="B17:C17"/>
    <mergeCell ref="D17:J17"/>
    <mergeCell ref="K17:P17"/>
    <mergeCell ref="B13:C13"/>
    <mergeCell ref="D13:J13"/>
    <mergeCell ref="K13:P13"/>
    <mergeCell ref="B14:C14"/>
    <mergeCell ref="D14:J14"/>
    <mergeCell ref="K14:P14"/>
    <mergeCell ref="B9:C9"/>
    <mergeCell ref="D9:J9"/>
    <mergeCell ref="K9:P9"/>
    <mergeCell ref="B12:C12"/>
    <mergeCell ref="D12:J12"/>
    <mergeCell ref="K12:P12"/>
    <mergeCell ref="B6:C8"/>
    <mergeCell ref="D6:J6"/>
    <mergeCell ref="K6:P6"/>
    <mergeCell ref="D7:J7"/>
    <mergeCell ref="K7:P7"/>
    <mergeCell ref="D8:J8"/>
    <mergeCell ref="K8:P8"/>
    <mergeCell ref="B1:P1"/>
    <mergeCell ref="B4:C4"/>
    <mergeCell ref="D4:J4"/>
    <mergeCell ref="K4:P4"/>
    <mergeCell ref="B5:C5"/>
    <mergeCell ref="D5:J5"/>
    <mergeCell ref="K5:P5"/>
  </mergeCells>
  <phoneticPr fontId="35" type="noConversion"/>
  <printOptions horizontalCentered="1"/>
  <pageMargins left="0.31496062992125984" right="0.31496062992125984" top="0.39370078740157483" bottom="0" header="0" footer="0"/>
  <pageSetup paperSize="9" scale="87" orientation="landscape" r:id="rId1"/>
  <rowBreaks count="1" manualBreakCount="1">
    <brk id="27" max="16383" man="1"/>
  </rowBreaks>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F48"/>
  <sheetViews>
    <sheetView zoomScaleNormal="100" workbookViewId="0">
      <selection activeCell="B1" sqref="B1:AD1"/>
    </sheetView>
  </sheetViews>
  <sheetFormatPr defaultColWidth="9.625" defaultRowHeight="18" customHeight="1"/>
  <cols>
    <col min="1" max="1" width="1.125" style="145" customWidth="1"/>
    <col min="2" max="2" width="26.75" style="146" customWidth="1"/>
    <col min="3" max="3" width="9.5" style="146" customWidth="1"/>
    <col min="4" max="4" width="12.25" style="146" customWidth="1"/>
    <col min="5" max="6" width="7" style="146" customWidth="1"/>
    <col min="7" max="8" width="7" style="145" customWidth="1"/>
    <col min="9" max="9" width="8.75" style="145" customWidth="1"/>
    <col min="10" max="12" width="7" style="145" customWidth="1"/>
    <col min="13" max="13" width="9.75" style="145" bestFit="1" customWidth="1"/>
    <col min="14" max="21" width="7.625" style="145" customWidth="1"/>
    <col min="22" max="27" width="7.75" style="145" customWidth="1"/>
    <col min="28" max="29" width="7.75" style="147" customWidth="1"/>
    <col min="30" max="30" width="7.75" style="145" customWidth="1"/>
    <col min="31" max="16384" width="9.625" style="145"/>
  </cols>
  <sheetData>
    <row r="1" spans="1:32" ht="30" customHeight="1" thickBot="1">
      <c r="A1" s="144"/>
      <c r="B1" s="1201" t="s">
        <v>1700</v>
      </c>
      <c r="C1" s="1201"/>
      <c r="D1" s="1201"/>
      <c r="E1" s="1201"/>
      <c r="F1" s="1201"/>
      <c r="G1" s="1201"/>
      <c r="H1" s="1201"/>
      <c r="I1" s="1201"/>
      <c r="J1" s="1201"/>
      <c r="K1" s="1201"/>
      <c r="L1" s="1201"/>
      <c r="M1" s="1201"/>
      <c r="N1" s="1201"/>
      <c r="O1" s="1201"/>
      <c r="P1" s="1201"/>
      <c r="Q1" s="1201"/>
      <c r="R1" s="1201"/>
      <c r="S1" s="1201"/>
      <c r="T1" s="1201"/>
      <c r="U1" s="1201"/>
      <c r="V1" s="1201"/>
      <c r="W1" s="1201"/>
      <c r="X1" s="1201"/>
      <c r="Y1" s="1201"/>
      <c r="Z1" s="1201"/>
      <c r="AA1" s="1201"/>
      <c r="AB1" s="1201"/>
      <c r="AC1" s="1201"/>
      <c r="AD1" s="1201"/>
    </row>
    <row r="2" spans="1:32" s="2" customFormat="1" ht="6" customHeight="1" thickTop="1">
      <c r="A2" s="5"/>
      <c r="B2" s="35"/>
      <c r="C2" s="35"/>
      <c r="D2" s="35"/>
      <c r="E2" s="35"/>
      <c r="F2" s="35"/>
      <c r="G2" s="35"/>
      <c r="H2" s="5"/>
      <c r="I2" s="5"/>
      <c r="J2" s="6"/>
      <c r="K2" s="6"/>
      <c r="L2" s="6"/>
      <c r="M2" s="5"/>
      <c r="N2" s="5"/>
      <c r="O2" s="5"/>
      <c r="P2" s="5"/>
      <c r="Q2" s="5"/>
      <c r="R2" s="5"/>
      <c r="S2" s="5"/>
      <c r="T2" s="5"/>
      <c r="U2" s="5"/>
      <c r="V2" s="5"/>
      <c r="W2" s="5"/>
      <c r="X2" s="5"/>
      <c r="Y2" s="5"/>
      <c r="Z2" s="5"/>
      <c r="AA2" s="5"/>
      <c r="AB2" s="5"/>
      <c r="AC2" s="5"/>
      <c r="AD2" s="5"/>
      <c r="AE2" s="5"/>
      <c r="AF2" s="5"/>
    </row>
    <row r="3" spans="1:32" s="262" customFormat="1" ht="18" customHeight="1">
      <c r="B3" s="350" t="s">
        <v>749</v>
      </c>
      <c r="C3" s="261"/>
      <c r="D3" s="261"/>
      <c r="E3" s="261"/>
      <c r="F3" s="261"/>
      <c r="G3" s="261"/>
    </row>
    <row r="4" spans="1:32" s="2" customFormat="1" ht="6" customHeight="1" thickBot="1">
      <c r="A4" s="5"/>
      <c r="B4" s="35"/>
      <c r="C4" s="35"/>
      <c r="D4" s="35"/>
      <c r="E4" s="35"/>
      <c r="F4" s="35"/>
      <c r="G4" s="35"/>
      <c r="H4" s="5"/>
      <c r="I4" s="5"/>
      <c r="J4" s="6"/>
      <c r="K4" s="6"/>
      <c r="L4" s="6"/>
      <c r="M4" s="5"/>
      <c r="N4" s="5"/>
      <c r="O4" s="5"/>
      <c r="P4" s="5"/>
      <c r="Q4" s="5"/>
      <c r="R4" s="5"/>
      <c r="S4" s="5"/>
      <c r="T4" s="5"/>
      <c r="U4" s="5"/>
      <c r="V4" s="5"/>
      <c r="W4" s="5"/>
      <c r="X4" s="5"/>
      <c r="Y4" s="5"/>
      <c r="Z4" s="5"/>
      <c r="AA4" s="5"/>
      <c r="AB4" s="5"/>
      <c r="AC4" s="5"/>
      <c r="AD4" s="5"/>
      <c r="AE4" s="5"/>
      <c r="AF4" s="5"/>
    </row>
    <row r="5" spans="1:32" ht="18" customHeight="1">
      <c r="A5" s="15"/>
      <c r="B5" s="1202" t="s">
        <v>66</v>
      </c>
      <c r="C5" s="1204"/>
      <c r="D5" s="1691" t="s">
        <v>67</v>
      </c>
      <c r="E5" s="478" t="s">
        <v>183</v>
      </c>
      <c r="F5" s="478" t="s">
        <v>184</v>
      </c>
      <c r="G5" s="479">
        <v>1.4</v>
      </c>
      <c r="H5" s="283">
        <v>0.21</v>
      </c>
      <c r="I5" s="1546" t="s">
        <v>185</v>
      </c>
      <c r="J5" s="1547"/>
      <c r="K5" s="1547"/>
      <c r="L5" s="2369"/>
      <c r="M5" s="1960" t="s">
        <v>68</v>
      </c>
      <c r="N5" s="1953"/>
      <c r="O5" s="1956"/>
      <c r="P5" s="1959" t="s">
        <v>69</v>
      </c>
      <c r="Q5" s="1958"/>
      <c r="R5" s="482">
        <v>0.93</v>
      </c>
      <c r="S5" s="1959" t="s">
        <v>311</v>
      </c>
      <c r="T5" s="1958"/>
      <c r="U5" s="607">
        <v>0.86</v>
      </c>
      <c r="V5" s="1959" t="s">
        <v>253</v>
      </c>
      <c r="W5" s="1958"/>
      <c r="X5" s="483">
        <v>0.83</v>
      </c>
      <c r="Y5" s="1959" t="s">
        <v>186</v>
      </c>
      <c r="Z5" s="1958"/>
      <c r="AA5" s="482">
        <v>0.75</v>
      </c>
      <c r="AB5" s="1960" t="s">
        <v>187</v>
      </c>
      <c r="AC5" s="1961"/>
      <c r="AD5" s="483">
        <v>0.7</v>
      </c>
    </row>
    <row r="6" spans="1:32" ht="24.95" customHeight="1" thickBot="1">
      <c r="A6" s="15"/>
      <c r="B6" s="232" t="s">
        <v>188</v>
      </c>
      <c r="C6" s="57" t="s">
        <v>189</v>
      </c>
      <c r="D6" s="2368"/>
      <c r="E6" s="177" t="s">
        <v>190</v>
      </c>
      <c r="F6" s="177" t="s">
        <v>191</v>
      </c>
      <c r="G6" s="177" t="s">
        <v>192</v>
      </c>
      <c r="H6" s="177" t="s">
        <v>193</v>
      </c>
      <c r="I6" s="548" t="s">
        <v>243</v>
      </c>
      <c r="J6" s="177" t="s">
        <v>194</v>
      </c>
      <c r="K6" s="177" t="s">
        <v>195</v>
      </c>
      <c r="L6" s="177" t="s">
        <v>196</v>
      </c>
      <c r="M6" s="203" t="s">
        <v>197</v>
      </c>
      <c r="N6" s="295" t="s">
        <v>198</v>
      </c>
      <c r="O6" s="204" t="s">
        <v>199</v>
      </c>
      <c r="P6" s="203" t="s">
        <v>200</v>
      </c>
      <c r="Q6" s="295" t="s">
        <v>201</v>
      </c>
      <c r="R6" s="204" t="s">
        <v>202</v>
      </c>
      <c r="S6" s="203" t="s">
        <v>197</v>
      </c>
      <c r="T6" s="295" t="s">
        <v>52</v>
      </c>
      <c r="U6" s="204" t="s">
        <v>202</v>
      </c>
      <c r="V6" s="203" t="s">
        <v>203</v>
      </c>
      <c r="W6" s="295" t="s">
        <v>198</v>
      </c>
      <c r="X6" s="204" t="s">
        <v>204</v>
      </c>
      <c r="Y6" s="203" t="s">
        <v>200</v>
      </c>
      <c r="Z6" s="295" t="s">
        <v>201</v>
      </c>
      <c r="AA6" s="204" t="s">
        <v>202</v>
      </c>
      <c r="AB6" s="203" t="s">
        <v>197</v>
      </c>
      <c r="AC6" s="295" t="s">
        <v>198</v>
      </c>
      <c r="AD6" s="204" t="s">
        <v>199</v>
      </c>
    </row>
    <row r="7" spans="1:32" ht="18" customHeight="1">
      <c r="A7" s="15"/>
      <c r="B7" s="2358" t="s">
        <v>205</v>
      </c>
      <c r="C7" s="2359"/>
      <c r="D7" s="2360">
        <v>1000</v>
      </c>
      <c r="E7" s="2362">
        <f>D7*C8</f>
        <v>760</v>
      </c>
      <c r="F7" s="2362">
        <f>E7*1</f>
        <v>760</v>
      </c>
      <c r="G7" s="2362">
        <f>F7*$G$5</f>
        <v>1064</v>
      </c>
      <c r="H7" s="2350">
        <f>E7*$H$5</f>
        <v>159.6</v>
      </c>
      <c r="I7" s="2350">
        <f>E7*21%*8</f>
        <v>1276.8</v>
      </c>
      <c r="J7" s="2350">
        <f>E7*21%*11</f>
        <v>1755.6</v>
      </c>
      <c r="K7" s="2350">
        <f>E7*13%*12</f>
        <v>1185.5999999999999</v>
      </c>
      <c r="L7" s="2347">
        <f>E7*10.5%*12</f>
        <v>957.59999999999991</v>
      </c>
      <c r="M7" s="148">
        <f>G7+H7+I7</f>
        <v>2500.3999999999996</v>
      </c>
      <c r="N7" s="149">
        <f>G7+H7+J7</f>
        <v>2979.2</v>
      </c>
      <c r="O7" s="150">
        <f>G7+H7+J7+K7+L7</f>
        <v>5122.3999999999996</v>
      </c>
      <c r="P7" s="149">
        <f>M7*$R$5</f>
        <v>2325.3719999999998</v>
      </c>
      <c r="Q7" s="151">
        <f>N7*$R$5</f>
        <v>2770.6559999999999</v>
      </c>
      <c r="R7" s="152">
        <f>O7*$R$5</f>
        <v>4763.8320000000003</v>
      </c>
      <c r="S7" s="148">
        <f>M7*$U$5</f>
        <v>2150.3439999999996</v>
      </c>
      <c r="T7" s="151">
        <f>N7*$U$5</f>
        <v>2562.1119999999996</v>
      </c>
      <c r="U7" s="150">
        <f>O7*$U$5</f>
        <v>4405.2639999999992</v>
      </c>
      <c r="V7" s="148">
        <f>M7*$X$5</f>
        <v>2075.3319999999994</v>
      </c>
      <c r="W7" s="151">
        <f>N7*$X$5</f>
        <v>2472.7359999999999</v>
      </c>
      <c r="X7" s="150">
        <f>O7*$X$5</f>
        <v>4251.5919999999996</v>
      </c>
      <c r="Y7" s="149">
        <f>M7*$AA$5</f>
        <v>1875.2999999999997</v>
      </c>
      <c r="Z7" s="152">
        <f>N7*$AA$5</f>
        <v>2234.3999999999996</v>
      </c>
      <c r="AA7" s="152">
        <f>O7*$AA$5</f>
        <v>3841.7999999999997</v>
      </c>
      <c r="AB7" s="148">
        <f>M7*$AD$5</f>
        <v>1750.2799999999997</v>
      </c>
      <c r="AC7" s="152">
        <f>N7*$AD$5</f>
        <v>2085.4399999999996</v>
      </c>
      <c r="AD7" s="150">
        <f>O7*$AD$5</f>
        <v>3585.6799999999994</v>
      </c>
    </row>
    <row r="8" spans="1:32" ht="18" customHeight="1">
      <c r="A8" s="15"/>
      <c r="B8" s="72" t="s">
        <v>206</v>
      </c>
      <c r="C8" s="281">
        <v>0.76</v>
      </c>
      <c r="D8" s="2361"/>
      <c r="E8" s="2357"/>
      <c r="F8" s="2357"/>
      <c r="G8" s="2357"/>
      <c r="H8" s="2349"/>
      <c r="I8" s="2349"/>
      <c r="J8" s="2349"/>
      <c r="K8" s="2349"/>
      <c r="L8" s="2348"/>
      <c r="M8" s="180">
        <f>M7/D7</f>
        <v>2.5003999999999995</v>
      </c>
      <c r="N8" s="181">
        <f>N7/D7</f>
        <v>2.9791999999999996</v>
      </c>
      <c r="O8" s="182">
        <f>O7/D7</f>
        <v>5.1223999999999998</v>
      </c>
      <c r="P8" s="181">
        <f>P7/D7</f>
        <v>2.3253719999999998</v>
      </c>
      <c r="Q8" s="183">
        <f>Q7/D7</f>
        <v>2.7706559999999998</v>
      </c>
      <c r="R8" s="184">
        <f>R7/D7</f>
        <v>4.7638320000000007</v>
      </c>
      <c r="S8" s="180">
        <f>S7/D7</f>
        <v>2.1503439999999996</v>
      </c>
      <c r="T8" s="183">
        <f>T7/D7</f>
        <v>2.5621119999999995</v>
      </c>
      <c r="U8" s="182">
        <f>U7/D7</f>
        <v>4.405263999999999</v>
      </c>
      <c r="V8" s="180">
        <f>V7/D7</f>
        <v>2.0753319999999995</v>
      </c>
      <c r="W8" s="183">
        <f>W7/D7</f>
        <v>2.4727359999999998</v>
      </c>
      <c r="X8" s="182">
        <f>X7/D7</f>
        <v>4.2515919999999996</v>
      </c>
      <c r="Y8" s="181">
        <f>Y7/D7</f>
        <v>1.8752999999999997</v>
      </c>
      <c r="Z8" s="184">
        <f>Z7/D7</f>
        <v>2.2343999999999995</v>
      </c>
      <c r="AA8" s="184">
        <f>AA7/D7</f>
        <v>3.8417999999999997</v>
      </c>
      <c r="AB8" s="180">
        <f>AB7/D7</f>
        <v>1.7502799999999998</v>
      </c>
      <c r="AC8" s="184">
        <f>AC7/D7</f>
        <v>2.0854399999999997</v>
      </c>
      <c r="AD8" s="182">
        <f>AD7/D7</f>
        <v>3.5856799999999995</v>
      </c>
    </row>
    <row r="9" spans="1:32" ht="18" customHeight="1">
      <c r="A9" s="15"/>
      <c r="B9" s="1341" t="s">
        <v>207</v>
      </c>
      <c r="C9" s="1343"/>
      <c r="D9" s="2365">
        <v>1000</v>
      </c>
      <c r="E9" s="2355">
        <f>D9*C10</f>
        <v>850</v>
      </c>
      <c r="F9" s="2355">
        <f>E9*1</f>
        <v>850</v>
      </c>
      <c r="G9" s="2355">
        <f>F9*$G$5</f>
        <v>1190</v>
      </c>
      <c r="H9" s="2345">
        <f>E9*$H$5</f>
        <v>178.5</v>
      </c>
      <c r="I9" s="2345">
        <f t="shared" ref="I9" si="0">E9*21%*8</f>
        <v>1428</v>
      </c>
      <c r="J9" s="2345">
        <f t="shared" ref="J9" si="1">E9*21%*11</f>
        <v>1963.5</v>
      </c>
      <c r="K9" s="2345">
        <f t="shared" ref="K9" si="2">E9*13%*12</f>
        <v>1326</v>
      </c>
      <c r="L9" s="2345">
        <f t="shared" ref="L9" si="3">E9*10.5%*12</f>
        <v>1071</v>
      </c>
      <c r="M9" s="23">
        <f>G9+H9+I9</f>
        <v>2796.5</v>
      </c>
      <c r="N9" s="34">
        <f>G9+H9+J9</f>
        <v>3332</v>
      </c>
      <c r="O9" s="25">
        <f>G9+H9+J9+K9+L9</f>
        <v>5729</v>
      </c>
      <c r="P9" s="34">
        <f>M9*$R$5</f>
        <v>2600.7450000000003</v>
      </c>
      <c r="Q9" s="24">
        <f>N9*$R$5</f>
        <v>3098.76</v>
      </c>
      <c r="R9" s="106">
        <f>O9*$R$5</f>
        <v>5327.97</v>
      </c>
      <c r="S9" s="23">
        <f t="shared" ref="S9" si="4">M9*$U$5</f>
        <v>2404.9899999999998</v>
      </c>
      <c r="T9" s="24">
        <f t="shared" ref="T9" si="5">N9*$U$5</f>
        <v>2865.52</v>
      </c>
      <c r="U9" s="25">
        <f t="shared" ref="U9" si="6">O9*$U$5</f>
        <v>4926.9399999999996</v>
      </c>
      <c r="V9" s="23">
        <f>M9*$X$5</f>
        <v>2321.0949999999998</v>
      </c>
      <c r="W9" s="24">
        <f>N9*$X$5</f>
        <v>2765.56</v>
      </c>
      <c r="X9" s="25">
        <f>O9*$X$5</f>
        <v>4755.07</v>
      </c>
      <c r="Y9" s="34">
        <f>M9*$AA$5</f>
        <v>2097.375</v>
      </c>
      <c r="Z9" s="106">
        <f>N9*$AA$5</f>
        <v>2499</v>
      </c>
      <c r="AA9" s="106">
        <f>O9*$AA$5</f>
        <v>4296.75</v>
      </c>
      <c r="AB9" s="23">
        <f>M9*$AD$5</f>
        <v>1957.55</v>
      </c>
      <c r="AC9" s="106">
        <f>N9*$AD$5</f>
        <v>2332.3999999999996</v>
      </c>
      <c r="AD9" s="25">
        <f>O9*$AD$5</f>
        <v>4010.2999999999997</v>
      </c>
    </row>
    <row r="10" spans="1:32" ht="18" customHeight="1">
      <c r="A10" s="15"/>
      <c r="B10" s="72" t="s">
        <v>208</v>
      </c>
      <c r="C10" s="281">
        <v>0.85</v>
      </c>
      <c r="D10" s="2361"/>
      <c r="E10" s="2357"/>
      <c r="F10" s="2357"/>
      <c r="G10" s="2357"/>
      <c r="H10" s="2349"/>
      <c r="I10" s="2349"/>
      <c r="J10" s="2349"/>
      <c r="K10" s="2349"/>
      <c r="L10" s="2349"/>
      <c r="M10" s="180">
        <f>M9/D9</f>
        <v>2.7965</v>
      </c>
      <c r="N10" s="181">
        <f>N9/D9</f>
        <v>3.3319999999999999</v>
      </c>
      <c r="O10" s="182">
        <f>O9/D9</f>
        <v>5.7290000000000001</v>
      </c>
      <c r="P10" s="181">
        <f>P9/D9</f>
        <v>2.6007450000000003</v>
      </c>
      <c r="Q10" s="183">
        <f>Q9/D9</f>
        <v>3.0987600000000004</v>
      </c>
      <c r="R10" s="184">
        <f>R9/D9</f>
        <v>5.3279700000000005</v>
      </c>
      <c r="S10" s="180">
        <f t="shared" ref="S10" si="7">S9/D9</f>
        <v>2.4049899999999997</v>
      </c>
      <c r="T10" s="183">
        <f t="shared" ref="T10" si="8">T9/D9</f>
        <v>2.8655200000000001</v>
      </c>
      <c r="U10" s="182">
        <f t="shared" ref="U10" si="9">U9/D9</f>
        <v>4.9269399999999992</v>
      </c>
      <c r="V10" s="180">
        <f>V9/D9</f>
        <v>2.3210949999999997</v>
      </c>
      <c r="W10" s="183">
        <f>W9/D9</f>
        <v>2.7655599999999998</v>
      </c>
      <c r="X10" s="182">
        <f>X9/D9</f>
        <v>4.7550699999999999</v>
      </c>
      <c r="Y10" s="181">
        <f>Y9/D9</f>
        <v>2.097375</v>
      </c>
      <c r="Z10" s="184">
        <f>Z9/D9</f>
        <v>2.4990000000000001</v>
      </c>
      <c r="AA10" s="184">
        <f>AA9/D9</f>
        <v>4.2967500000000003</v>
      </c>
      <c r="AB10" s="180">
        <f>AB9/D9</f>
        <v>1.9575499999999999</v>
      </c>
      <c r="AC10" s="184">
        <f>AC9/D9</f>
        <v>2.3323999999999998</v>
      </c>
      <c r="AD10" s="182">
        <f>AD9/D9</f>
        <v>4.0103</v>
      </c>
    </row>
    <row r="11" spans="1:32" ht="18" customHeight="1">
      <c r="A11" s="15"/>
      <c r="B11" s="1341" t="s">
        <v>209</v>
      </c>
      <c r="C11" s="1343"/>
      <c r="D11" s="2365">
        <v>1000</v>
      </c>
      <c r="E11" s="2355">
        <f>D11*C12</f>
        <v>470</v>
      </c>
      <c r="F11" s="2355">
        <f>E11*1</f>
        <v>470</v>
      </c>
      <c r="G11" s="2355">
        <f>F11*$G$5</f>
        <v>658</v>
      </c>
      <c r="H11" s="2345">
        <f>E11*$H$5</f>
        <v>98.7</v>
      </c>
      <c r="I11" s="2345">
        <f t="shared" ref="I11" si="10">E11*21%*8</f>
        <v>789.6</v>
      </c>
      <c r="J11" s="2345">
        <f t="shared" ref="J11" si="11">E11*21%*11</f>
        <v>1085.7</v>
      </c>
      <c r="K11" s="2345">
        <f t="shared" ref="K11" si="12">E11*13%*12</f>
        <v>733.2</v>
      </c>
      <c r="L11" s="2345">
        <f t="shared" ref="L11" si="13">E11*10.5%*12</f>
        <v>592.20000000000005</v>
      </c>
      <c r="M11" s="23">
        <f>G11+H11+I11</f>
        <v>1546.3000000000002</v>
      </c>
      <c r="N11" s="34">
        <f>G11+H11+J11</f>
        <v>1842.4</v>
      </c>
      <c r="O11" s="25">
        <f>G11+H11+J11+K11+L11</f>
        <v>3167.8</v>
      </c>
      <c r="P11" s="34">
        <f>M11*$R$5</f>
        <v>1438.0590000000002</v>
      </c>
      <c r="Q11" s="24">
        <f>N11*$R$5</f>
        <v>1713.4320000000002</v>
      </c>
      <c r="R11" s="106">
        <f>O11*$R$5</f>
        <v>2946.0540000000005</v>
      </c>
      <c r="S11" s="23">
        <f t="shared" ref="S11" si="14">M11*$U$5</f>
        <v>1329.8180000000002</v>
      </c>
      <c r="T11" s="24">
        <f t="shared" ref="T11" si="15">N11*$U$5</f>
        <v>1584.4639999999999</v>
      </c>
      <c r="U11" s="25">
        <f t="shared" ref="U11" si="16">O11*$U$5</f>
        <v>2724.308</v>
      </c>
      <c r="V11" s="23">
        <f>M11*$X$5</f>
        <v>1283.4290000000001</v>
      </c>
      <c r="W11" s="24">
        <f>N11*$X$5</f>
        <v>1529.192</v>
      </c>
      <c r="X11" s="25">
        <f>O11*$X$5</f>
        <v>2629.2739999999999</v>
      </c>
      <c r="Y11" s="34">
        <f>M11*$AA$5</f>
        <v>1159.7250000000001</v>
      </c>
      <c r="Z11" s="106">
        <f>N11*$AA$5</f>
        <v>1381.8000000000002</v>
      </c>
      <c r="AA11" s="106">
        <f>O11*$AA$5</f>
        <v>2375.8500000000004</v>
      </c>
      <c r="AB11" s="23">
        <f>M11*$AD$5</f>
        <v>1082.4100000000001</v>
      </c>
      <c r="AC11" s="106">
        <f>N11*$AD$5</f>
        <v>1289.68</v>
      </c>
      <c r="AD11" s="25">
        <f>O11*$AD$5</f>
        <v>2217.46</v>
      </c>
    </row>
    <row r="12" spans="1:32" ht="18" customHeight="1">
      <c r="A12" s="15"/>
      <c r="B12" s="72" t="s">
        <v>210</v>
      </c>
      <c r="C12" s="281">
        <v>0.47</v>
      </c>
      <c r="D12" s="2361"/>
      <c r="E12" s="2357"/>
      <c r="F12" s="2357"/>
      <c r="G12" s="2357"/>
      <c r="H12" s="2349"/>
      <c r="I12" s="2349"/>
      <c r="J12" s="2349"/>
      <c r="K12" s="2349"/>
      <c r="L12" s="2349"/>
      <c r="M12" s="180">
        <f>M11/D11</f>
        <v>1.5463000000000002</v>
      </c>
      <c r="N12" s="181">
        <f>N11/D11</f>
        <v>1.8424</v>
      </c>
      <c r="O12" s="182">
        <f>O11/D11</f>
        <v>3.1678000000000002</v>
      </c>
      <c r="P12" s="181">
        <f>P11/D11</f>
        <v>1.4380590000000002</v>
      </c>
      <c r="Q12" s="183">
        <f>Q11/D11</f>
        <v>1.7134320000000003</v>
      </c>
      <c r="R12" s="184">
        <f>R11/D11</f>
        <v>2.9460540000000006</v>
      </c>
      <c r="S12" s="180">
        <f t="shared" ref="S12" si="17">S11/D11</f>
        <v>1.3298180000000002</v>
      </c>
      <c r="T12" s="183">
        <f t="shared" ref="T12" si="18">T11/D11</f>
        <v>1.5844639999999999</v>
      </c>
      <c r="U12" s="182">
        <f t="shared" ref="U12" si="19">U11/D11</f>
        <v>2.7243080000000002</v>
      </c>
      <c r="V12" s="180">
        <f>V11/D11</f>
        <v>1.2834290000000002</v>
      </c>
      <c r="W12" s="183">
        <f>W11/D11</f>
        <v>1.5291920000000001</v>
      </c>
      <c r="X12" s="182">
        <f>X11/D11</f>
        <v>2.6292739999999997</v>
      </c>
      <c r="Y12" s="181">
        <f>Y11/D11</f>
        <v>1.1597250000000001</v>
      </c>
      <c r="Z12" s="184">
        <f>Z11/D11</f>
        <v>1.3818000000000001</v>
      </c>
      <c r="AA12" s="184">
        <f>AA11/D11</f>
        <v>2.3758500000000002</v>
      </c>
      <c r="AB12" s="180">
        <f>AB11/D11</f>
        <v>1.0824100000000001</v>
      </c>
      <c r="AC12" s="184">
        <f>AC11/D11</f>
        <v>1.2896800000000002</v>
      </c>
      <c r="AD12" s="182">
        <f>AD11/D11</f>
        <v>2.21746</v>
      </c>
    </row>
    <row r="13" spans="1:32" ht="18" customHeight="1">
      <c r="A13" s="15"/>
      <c r="B13" s="1341" t="s">
        <v>211</v>
      </c>
      <c r="C13" s="1343"/>
      <c r="D13" s="2365">
        <v>1000</v>
      </c>
      <c r="E13" s="2355">
        <f>D13*C14</f>
        <v>850</v>
      </c>
      <c r="F13" s="2355">
        <f>E13*1</f>
        <v>850</v>
      </c>
      <c r="G13" s="2355">
        <f>F13*$G$5</f>
        <v>1190</v>
      </c>
      <c r="H13" s="2345">
        <f>E13*$H$5</f>
        <v>178.5</v>
      </c>
      <c r="I13" s="2345">
        <f t="shared" ref="I13" si="20">E13*21%*8</f>
        <v>1428</v>
      </c>
      <c r="J13" s="2345">
        <f t="shared" ref="J13" si="21">E13*21%*11</f>
        <v>1963.5</v>
      </c>
      <c r="K13" s="2345">
        <f t="shared" ref="K13" si="22">E13*13%*12</f>
        <v>1326</v>
      </c>
      <c r="L13" s="2345">
        <f t="shared" ref="L13" si="23">E13*10.5%*12</f>
        <v>1071</v>
      </c>
      <c r="M13" s="23">
        <f>G13+H13+I13</f>
        <v>2796.5</v>
      </c>
      <c r="N13" s="34">
        <f>G13+H13+J13</f>
        <v>3332</v>
      </c>
      <c r="O13" s="25">
        <f>G13+H13+J13+K13+L13</f>
        <v>5729</v>
      </c>
      <c r="P13" s="34">
        <f>M13*$R$5</f>
        <v>2600.7450000000003</v>
      </c>
      <c r="Q13" s="24">
        <f>N13*$R$5</f>
        <v>3098.76</v>
      </c>
      <c r="R13" s="106">
        <f>O13*$R$5</f>
        <v>5327.97</v>
      </c>
      <c r="S13" s="23">
        <f t="shared" ref="S13" si="24">M13*$U$5</f>
        <v>2404.9899999999998</v>
      </c>
      <c r="T13" s="24">
        <f t="shared" ref="T13" si="25">N13*$U$5</f>
        <v>2865.52</v>
      </c>
      <c r="U13" s="25">
        <f t="shared" ref="U13" si="26">O13*$U$5</f>
        <v>4926.9399999999996</v>
      </c>
      <c r="V13" s="23">
        <f>M13*$X$5</f>
        <v>2321.0949999999998</v>
      </c>
      <c r="W13" s="24">
        <f>N13*$X$5</f>
        <v>2765.56</v>
      </c>
      <c r="X13" s="25">
        <f>O13*$X$5</f>
        <v>4755.07</v>
      </c>
      <c r="Y13" s="34">
        <f>M13*$AA$5</f>
        <v>2097.375</v>
      </c>
      <c r="Z13" s="106">
        <f>N13*$AA$5</f>
        <v>2499</v>
      </c>
      <c r="AA13" s="106">
        <f>O13*$AA$5</f>
        <v>4296.75</v>
      </c>
      <c r="AB13" s="23">
        <f>M13*$AD$5</f>
        <v>1957.55</v>
      </c>
      <c r="AC13" s="106">
        <f>N13*$AD$5</f>
        <v>2332.3999999999996</v>
      </c>
      <c r="AD13" s="25">
        <f>O13*$AD$5</f>
        <v>4010.2999999999997</v>
      </c>
    </row>
    <row r="14" spans="1:32" ht="18" customHeight="1">
      <c r="A14" s="15"/>
      <c r="B14" s="72" t="s">
        <v>212</v>
      </c>
      <c r="C14" s="281">
        <v>0.85</v>
      </c>
      <c r="D14" s="2361"/>
      <c r="E14" s="2357"/>
      <c r="F14" s="2357"/>
      <c r="G14" s="2357"/>
      <c r="H14" s="2349"/>
      <c r="I14" s="2349"/>
      <c r="J14" s="2349"/>
      <c r="K14" s="2349"/>
      <c r="L14" s="2349"/>
      <c r="M14" s="180">
        <f>M13/D13</f>
        <v>2.7965</v>
      </c>
      <c r="N14" s="181">
        <f>N13/D13</f>
        <v>3.3319999999999999</v>
      </c>
      <c r="O14" s="182">
        <f>O13/D13</f>
        <v>5.7290000000000001</v>
      </c>
      <c r="P14" s="181">
        <f>P13/D13</f>
        <v>2.6007450000000003</v>
      </c>
      <c r="Q14" s="183">
        <f>Q13/D13</f>
        <v>3.0987600000000004</v>
      </c>
      <c r="R14" s="184">
        <f>R13/D13</f>
        <v>5.3279700000000005</v>
      </c>
      <c r="S14" s="180">
        <f t="shared" ref="S14" si="27">S13/D13</f>
        <v>2.4049899999999997</v>
      </c>
      <c r="T14" s="183">
        <f t="shared" ref="T14" si="28">T13/D13</f>
        <v>2.8655200000000001</v>
      </c>
      <c r="U14" s="182">
        <f t="shared" ref="U14" si="29">U13/D13</f>
        <v>4.9269399999999992</v>
      </c>
      <c r="V14" s="180">
        <f>V13/D13</f>
        <v>2.3210949999999997</v>
      </c>
      <c r="W14" s="183">
        <f>W13/D13</f>
        <v>2.7655599999999998</v>
      </c>
      <c r="X14" s="182">
        <f>X13/D13</f>
        <v>4.7550699999999999</v>
      </c>
      <c r="Y14" s="181">
        <f>Y13/D13</f>
        <v>2.097375</v>
      </c>
      <c r="Z14" s="184">
        <f>Z13/D13</f>
        <v>2.4990000000000001</v>
      </c>
      <c r="AA14" s="184">
        <f>AA13/D13</f>
        <v>4.2967500000000003</v>
      </c>
      <c r="AB14" s="180">
        <f>AB13/D13</f>
        <v>1.9575499999999999</v>
      </c>
      <c r="AC14" s="184">
        <f>AC13/D13</f>
        <v>2.3323999999999998</v>
      </c>
      <c r="AD14" s="182">
        <f>AD13/D13</f>
        <v>4.0103</v>
      </c>
    </row>
    <row r="15" spans="1:32" ht="18" customHeight="1">
      <c r="A15" s="15"/>
      <c r="B15" s="2366" t="s">
        <v>447</v>
      </c>
      <c r="C15" s="2367"/>
      <c r="D15" s="2365">
        <v>1000</v>
      </c>
      <c r="E15" s="2355">
        <f>D15*C16</f>
        <v>680</v>
      </c>
      <c r="F15" s="2355">
        <f>E15*1</f>
        <v>680</v>
      </c>
      <c r="G15" s="2355">
        <f>F15*$G$5</f>
        <v>951.99999999999989</v>
      </c>
      <c r="H15" s="2345">
        <f>E15*$H$5</f>
        <v>142.79999999999998</v>
      </c>
      <c r="I15" s="2345">
        <f t="shared" ref="I15" si="30">E15*21%*8</f>
        <v>1142.3999999999999</v>
      </c>
      <c r="J15" s="2345">
        <f t="shared" ref="J15" si="31">E15*21%*11</f>
        <v>1570.7999999999997</v>
      </c>
      <c r="K15" s="2345">
        <f t="shared" ref="K15" si="32">E15*13%*12</f>
        <v>1060.8000000000002</v>
      </c>
      <c r="L15" s="2345">
        <f t="shared" ref="L15" si="33">E15*10.5%*12</f>
        <v>856.8</v>
      </c>
      <c r="M15" s="23">
        <f>G15+H15+I15</f>
        <v>2237.1999999999998</v>
      </c>
      <c r="N15" s="34">
        <f>G15+H15+J15</f>
        <v>2665.5999999999995</v>
      </c>
      <c r="O15" s="25">
        <f>G15+H15+J15+K15+L15</f>
        <v>4583.2</v>
      </c>
      <c r="P15" s="34">
        <f>M15*$R$5</f>
        <v>2080.596</v>
      </c>
      <c r="Q15" s="24">
        <f>N15*$R$5</f>
        <v>2479.0079999999998</v>
      </c>
      <c r="R15" s="106">
        <f>O15*$R$5</f>
        <v>4262.3760000000002</v>
      </c>
      <c r="S15" s="23">
        <f t="shared" ref="S15" si="34">M15*$U$5</f>
        <v>1923.9919999999997</v>
      </c>
      <c r="T15" s="24">
        <f t="shared" ref="T15" si="35">N15*$U$5</f>
        <v>2292.4159999999997</v>
      </c>
      <c r="U15" s="25">
        <f t="shared" ref="U15" si="36">O15*$U$5</f>
        <v>3941.5519999999997</v>
      </c>
      <c r="V15" s="23">
        <f>M15*$X$5</f>
        <v>1856.8759999999997</v>
      </c>
      <c r="W15" s="24">
        <f>N15*$X$5</f>
        <v>2212.4479999999994</v>
      </c>
      <c r="X15" s="25">
        <f>O15*$X$5</f>
        <v>3804.0559999999996</v>
      </c>
      <c r="Y15" s="34">
        <f>M15*$AA$5</f>
        <v>1677.8999999999999</v>
      </c>
      <c r="Z15" s="106">
        <f>N15*$AA$5</f>
        <v>1999.1999999999996</v>
      </c>
      <c r="AA15" s="106">
        <f>O15*$AA$5</f>
        <v>3437.3999999999996</v>
      </c>
      <c r="AB15" s="23">
        <f>M15*$AD$5</f>
        <v>1566.0399999999997</v>
      </c>
      <c r="AC15" s="106">
        <f>N15*$AD$5</f>
        <v>1865.9199999999994</v>
      </c>
      <c r="AD15" s="25">
        <f>O15*$AD$5</f>
        <v>3208.24</v>
      </c>
    </row>
    <row r="16" spans="1:32" ht="18" customHeight="1">
      <c r="A16" s="15"/>
      <c r="B16" s="72" t="s">
        <v>448</v>
      </c>
      <c r="C16" s="281">
        <v>0.68</v>
      </c>
      <c r="D16" s="2361"/>
      <c r="E16" s="2357"/>
      <c r="F16" s="2357"/>
      <c r="G16" s="2357"/>
      <c r="H16" s="2349"/>
      <c r="I16" s="2349"/>
      <c r="J16" s="2349"/>
      <c r="K16" s="2349"/>
      <c r="L16" s="2349"/>
      <c r="M16" s="180">
        <f>M15/D15</f>
        <v>2.2371999999999996</v>
      </c>
      <c r="N16" s="181">
        <f>N15/D15</f>
        <v>2.6655999999999995</v>
      </c>
      <c r="O16" s="182">
        <f>O15/D15</f>
        <v>4.5831999999999997</v>
      </c>
      <c r="P16" s="181">
        <f>P15/D15</f>
        <v>2.0805959999999999</v>
      </c>
      <c r="Q16" s="183">
        <f>Q15/D15</f>
        <v>2.4790079999999999</v>
      </c>
      <c r="R16" s="184">
        <f>R15/D15</f>
        <v>4.2623760000000006</v>
      </c>
      <c r="S16" s="180">
        <f t="shared" ref="S16" si="37">S15/D15</f>
        <v>1.9239919999999997</v>
      </c>
      <c r="T16" s="183">
        <f t="shared" ref="T16" si="38">T15/D15</f>
        <v>2.2924159999999998</v>
      </c>
      <c r="U16" s="182">
        <f t="shared" ref="U16" si="39">U15/D15</f>
        <v>3.9415519999999997</v>
      </c>
      <c r="V16" s="180">
        <f>V15/D15</f>
        <v>1.8568759999999997</v>
      </c>
      <c r="W16" s="183">
        <f>W15/D15</f>
        <v>2.2124479999999993</v>
      </c>
      <c r="X16" s="182">
        <f>X15/D15</f>
        <v>3.8040559999999997</v>
      </c>
      <c r="Y16" s="181">
        <f>Y15/D15</f>
        <v>1.6778999999999999</v>
      </c>
      <c r="Z16" s="184">
        <f>Z15/D15</f>
        <v>1.9991999999999996</v>
      </c>
      <c r="AA16" s="184">
        <f>AA15/D15</f>
        <v>3.4373999999999998</v>
      </c>
      <c r="AB16" s="180">
        <f>AB15/D15</f>
        <v>1.5660399999999997</v>
      </c>
      <c r="AC16" s="184">
        <f>AC15/D15</f>
        <v>1.8659199999999994</v>
      </c>
      <c r="AD16" s="182">
        <f>AD15/D15</f>
        <v>3.20824</v>
      </c>
    </row>
    <row r="17" spans="1:30" ht="18" customHeight="1">
      <c r="A17" s="15"/>
      <c r="B17" s="1341" t="s">
        <v>213</v>
      </c>
      <c r="C17" s="1343"/>
      <c r="D17" s="2365">
        <v>1000</v>
      </c>
      <c r="E17" s="2355">
        <f>D17*C18</f>
        <v>710</v>
      </c>
      <c r="F17" s="2355">
        <f>E17*0.8</f>
        <v>568</v>
      </c>
      <c r="G17" s="2355">
        <f>F17*$G$5</f>
        <v>795.19999999999993</v>
      </c>
      <c r="H17" s="2345">
        <f>E17*$H$5</f>
        <v>149.1</v>
      </c>
      <c r="I17" s="2345">
        <f t="shared" ref="I17" si="40">E17*21%*8</f>
        <v>1192.8</v>
      </c>
      <c r="J17" s="2345">
        <f t="shared" ref="J17" si="41">E17*21%*11</f>
        <v>1640.1</v>
      </c>
      <c r="K17" s="2345">
        <f t="shared" ref="K17" si="42">E17*13%*12</f>
        <v>1107.5999999999999</v>
      </c>
      <c r="L17" s="2345">
        <f t="shared" ref="L17" si="43">E17*10.5%*12</f>
        <v>894.59999999999991</v>
      </c>
      <c r="M17" s="23">
        <f>G17+H17+I17</f>
        <v>2137.1</v>
      </c>
      <c r="N17" s="34">
        <f>G17+H17+J17</f>
        <v>2584.3999999999996</v>
      </c>
      <c r="O17" s="25">
        <f>G17+H17+J17+K17+L17</f>
        <v>4586.5999999999995</v>
      </c>
      <c r="P17" s="34">
        <f>M17*$R$5</f>
        <v>1987.5029999999999</v>
      </c>
      <c r="Q17" s="24">
        <f>N17*$R$5</f>
        <v>2403.4919999999997</v>
      </c>
      <c r="R17" s="106">
        <f>O17*$R$5</f>
        <v>4265.5379999999996</v>
      </c>
      <c r="S17" s="23">
        <f t="shared" ref="S17" si="44">M17*$U$5</f>
        <v>1837.9059999999999</v>
      </c>
      <c r="T17" s="24">
        <f t="shared" ref="T17" si="45">N17*$U$5</f>
        <v>2222.5839999999998</v>
      </c>
      <c r="U17" s="25">
        <f t="shared" ref="U17" si="46">O17*$U$5</f>
        <v>3944.4759999999997</v>
      </c>
      <c r="V17" s="23">
        <f>M17*$X$5</f>
        <v>1773.7929999999999</v>
      </c>
      <c r="W17" s="24">
        <f>N17*$X$5</f>
        <v>2145.0519999999997</v>
      </c>
      <c r="X17" s="25">
        <f>O17*$X$5</f>
        <v>3806.8779999999992</v>
      </c>
      <c r="Y17" s="34">
        <f>M17*$AA$5</f>
        <v>1602.8249999999998</v>
      </c>
      <c r="Z17" s="106">
        <f>N17*$AA$5</f>
        <v>1938.2999999999997</v>
      </c>
      <c r="AA17" s="106">
        <f>O17*$AA$5</f>
        <v>3439.95</v>
      </c>
      <c r="AB17" s="23">
        <f>M17*$AD$5</f>
        <v>1495.9699999999998</v>
      </c>
      <c r="AC17" s="106">
        <f>N17*$AD$5</f>
        <v>1809.0799999999997</v>
      </c>
      <c r="AD17" s="25">
        <f>O17*$AD$5</f>
        <v>3210.6199999999994</v>
      </c>
    </row>
    <row r="18" spans="1:30" ht="18" customHeight="1">
      <c r="A18" s="15"/>
      <c r="B18" s="72" t="s">
        <v>206</v>
      </c>
      <c r="C18" s="281">
        <v>0.71</v>
      </c>
      <c r="D18" s="2361"/>
      <c r="E18" s="2357"/>
      <c r="F18" s="2357"/>
      <c r="G18" s="2357"/>
      <c r="H18" s="2349"/>
      <c r="I18" s="2349"/>
      <c r="J18" s="2349"/>
      <c r="K18" s="2349"/>
      <c r="L18" s="2349"/>
      <c r="M18" s="180">
        <f>M17/D17</f>
        <v>2.1370999999999998</v>
      </c>
      <c r="N18" s="181">
        <f>N17/D17</f>
        <v>2.5843999999999996</v>
      </c>
      <c r="O18" s="182">
        <f>O17/D17</f>
        <v>4.5865999999999998</v>
      </c>
      <c r="P18" s="181">
        <f>P17/D17</f>
        <v>1.987503</v>
      </c>
      <c r="Q18" s="183">
        <f>Q17/D17</f>
        <v>2.4034919999999995</v>
      </c>
      <c r="R18" s="184">
        <f>R17/D17</f>
        <v>4.2655379999999994</v>
      </c>
      <c r="S18" s="180">
        <f t="shared" ref="S18" si="47">S17/D17</f>
        <v>1.837906</v>
      </c>
      <c r="T18" s="183">
        <f t="shared" ref="T18" si="48">T17/D17</f>
        <v>2.2225839999999999</v>
      </c>
      <c r="U18" s="182">
        <f t="shared" ref="U18" si="49">U17/D17</f>
        <v>3.9444759999999999</v>
      </c>
      <c r="V18" s="180">
        <f>V17/D17</f>
        <v>1.773793</v>
      </c>
      <c r="W18" s="183">
        <f>W17/D17</f>
        <v>2.1450519999999997</v>
      </c>
      <c r="X18" s="182">
        <f>X17/D17</f>
        <v>3.8068779999999993</v>
      </c>
      <c r="Y18" s="181">
        <f>Y17/D17</f>
        <v>1.6028249999999997</v>
      </c>
      <c r="Z18" s="184">
        <f>Z17/D17</f>
        <v>1.9382999999999997</v>
      </c>
      <c r="AA18" s="184">
        <f>AA17/D17</f>
        <v>3.4399499999999996</v>
      </c>
      <c r="AB18" s="180">
        <f>AB17/D17</f>
        <v>1.4959699999999998</v>
      </c>
      <c r="AC18" s="184">
        <f>AC17/D17</f>
        <v>1.8090799999999998</v>
      </c>
      <c r="AD18" s="182">
        <f>AD17/D17</f>
        <v>3.2106199999999996</v>
      </c>
    </row>
    <row r="19" spans="1:30" ht="18" customHeight="1">
      <c r="A19" s="15"/>
      <c r="B19" s="1341" t="s">
        <v>214</v>
      </c>
      <c r="C19" s="1343"/>
      <c r="D19" s="2365">
        <v>1000</v>
      </c>
      <c r="E19" s="2355">
        <f>D19*C20</f>
        <v>1950</v>
      </c>
      <c r="F19" s="2355">
        <f>E19*1.1</f>
        <v>2145</v>
      </c>
      <c r="G19" s="2355">
        <f>F19*$G$5</f>
        <v>3003</v>
      </c>
      <c r="H19" s="2345">
        <f>E19*$H$5</f>
        <v>409.5</v>
      </c>
      <c r="I19" s="2345">
        <f t="shared" ref="I19" si="50">E19*21%*8</f>
        <v>3276</v>
      </c>
      <c r="J19" s="2345">
        <f t="shared" ref="J19" si="51">E19*21%*11</f>
        <v>4504.5</v>
      </c>
      <c r="K19" s="2345">
        <f t="shared" ref="K19" si="52">E19*13%*12</f>
        <v>3042</v>
      </c>
      <c r="L19" s="2345">
        <f t="shared" ref="L19" si="53">E19*10.5%*12</f>
        <v>2457</v>
      </c>
      <c r="M19" s="23">
        <f>G19+H19+I19</f>
        <v>6688.5</v>
      </c>
      <c r="N19" s="34">
        <f>G19+H19+J19</f>
        <v>7917</v>
      </c>
      <c r="O19" s="25">
        <f>G19+H19+J19+K19+L19</f>
        <v>13416</v>
      </c>
      <c r="P19" s="34">
        <f>M19*$R$5</f>
        <v>6220.3050000000003</v>
      </c>
      <c r="Q19" s="24">
        <f>N19*$R$5</f>
        <v>7362.81</v>
      </c>
      <c r="R19" s="106">
        <f>O19*$R$5</f>
        <v>12476.880000000001</v>
      </c>
      <c r="S19" s="23">
        <f t="shared" ref="S19" si="54">M19*$U$5</f>
        <v>5752.11</v>
      </c>
      <c r="T19" s="24">
        <f t="shared" ref="T19" si="55">N19*$U$5</f>
        <v>6808.62</v>
      </c>
      <c r="U19" s="25">
        <f t="shared" ref="U19" si="56">O19*$U$5</f>
        <v>11537.76</v>
      </c>
      <c r="V19" s="23">
        <f>M19*$X$5</f>
        <v>5551.4549999999999</v>
      </c>
      <c r="W19" s="24">
        <f>N19*$X$5</f>
        <v>6571.11</v>
      </c>
      <c r="X19" s="25">
        <f>O19*$X$5</f>
        <v>11135.279999999999</v>
      </c>
      <c r="Y19" s="34">
        <f>M19*$AA$5</f>
        <v>5016.375</v>
      </c>
      <c r="Z19" s="106">
        <f>N19*$AA$5</f>
        <v>5937.75</v>
      </c>
      <c r="AA19" s="106">
        <f>O19*$AA$5</f>
        <v>10062</v>
      </c>
      <c r="AB19" s="23">
        <f>M19*$AD$5</f>
        <v>4681.95</v>
      </c>
      <c r="AC19" s="106">
        <f>N19*$AD$5</f>
        <v>5541.9</v>
      </c>
      <c r="AD19" s="25">
        <f>O19*$AD$5</f>
        <v>9391.1999999999989</v>
      </c>
    </row>
    <row r="20" spans="1:30" ht="18" customHeight="1">
      <c r="A20" s="15"/>
      <c r="B20" s="72" t="s">
        <v>229</v>
      </c>
      <c r="C20" s="281">
        <v>1.95</v>
      </c>
      <c r="D20" s="2361"/>
      <c r="E20" s="2357"/>
      <c r="F20" s="2357"/>
      <c r="G20" s="2357"/>
      <c r="H20" s="2349"/>
      <c r="I20" s="2349"/>
      <c r="J20" s="2349"/>
      <c r="K20" s="2349"/>
      <c r="L20" s="2349"/>
      <c r="M20" s="180">
        <f>M19/D19</f>
        <v>6.6885000000000003</v>
      </c>
      <c r="N20" s="181">
        <f>N19/D19</f>
        <v>7.9169999999999998</v>
      </c>
      <c r="O20" s="182">
        <f>O19/D19</f>
        <v>13.416</v>
      </c>
      <c r="P20" s="181">
        <f>P19/D19</f>
        <v>6.2203050000000006</v>
      </c>
      <c r="Q20" s="183">
        <f>Q19/D19</f>
        <v>7.3628100000000005</v>
      </c>
      <c r="R20" s="184">
        <f>R19/D19</f>
        <v>12.476880000000001</v>
      </c>
      <c r="S20" s="180">
        <f t="shared" ref="S20" si="57">S19/D19</f>
        <v>5.7521100000000001</v>
      </c>
      <c r="T20" s="183">
        <f t="shared" ref="T20" si="58">T19/D19</f>
        <v>6.8086199999999995</v>
      </c>
      <c r="U20" s="182">
        <f t="shared" ref="U20" si="59">U19/D19</f>
        <v>11.53776</v>
      </c>
      <c r="V20" s="180">
        <f>V19/D19</f>
        <v>5.5514549999999998</v>
      </c>
      <c r="W20" s="183">
        <f>W19/D19</f>
        <v>6.57111</v>
      </c>
      <c r="X20" s="182">
        <f>X19/D19</f>
        <v>11.135279999999998</v>
      </c>
      <c r="Y20" s="181">
        <f>Y19/D19</f>
        <v>5.016375</v>
      </c>
      <c r="Z20" s="184">
        <f>Z19/D19</f>
        <v>5.9377500000000003</v>
      </c>
      <c r="AA20" s="184">
        <f>AA19/D19</f>
        <v>10.061999999999999</v>
      </c>
      <c r="AB20" s="180">
        <f>AB19/D19</f>
        <v>4.6819499999999996</v>
      </c>
      <c r="AC20" s="184">
        <f>AC19/D19</f>
        <v>5.5419</v>
      </c>
      <c r="AD20" s="182">
        <f>AD19/D19</f>
        <v>9.3911999999999995</v>
      </c>
    </row>
    <row r="21" spans="1:30" ht="18" customHeight="1">
      <c r="A21" s="15"/>
      <c r="B21" s="2351" t="s">
        <v>215</v>
      </c>
      <c r="C21" s="2352"/>
      <c r="D21" s="2365">
        <v>1000</v>
      </c>
      <c r="E21" s="2355">
        <f>D21*C22</f>
        <v>1950</v>
      </c>
      <c r="F21" s="2355">
        <f>E21*1.1</f>
        <v>2145</v>
      </c>
      <c r="G21" s="2355">
        <f>F21*$G$5</f>
        <v>3003</v>
      </c>
      <c r="H21" s="2345">
        <f>E21*$H$5</f>
        <v>409.5</v>
      </c>
      <c r="I21" s="2345">
        <f>E21*21%*8</f>
        <v>3276</v>
      </c>
      <c r="J21" s="2345">
        <f t="shared" ref="J21" si="60">E21*21%*11</f>
        <v>4504.5</v>
      </c>
      <c r="K21" s="2345">
        <f t="shared" ref="K21" si="61">E21*13%*12</f>
        <v>3042</v>
      </c>
      <c r="L21" s="2345">
        <f t="shared" ref="L21" si="62">E21*10.5%*12</f>
        <v>2457</v>
      </c>
      <c r="M21" s="23">
        <f>G21+H21+I21</f>
        <v>6688.5</v>
      </c>
      <c r="N21" s="34">
        <f>G21+H21+J21</f>
        <v>7917</v>
      </c>
      <c r="O21" s="25">
        <f>G21+H21+J21+K21+L21</f>
        <v>13416</v>
      </c>
      <c r="P21" s="34">
        <f>M21*$R$5</f>
        <v>6220.3050000000003</v>
      </c>
      <c r="Q21" s="24">
        <f>N21*$R$5</f>
        <v>7362.81</v>
      </c>
      <c r="R21" s="106">
        <f>O21*$R$5</f>
        <v>12476.880000000001</v>
      </c>
      <c r="S21" s="23">
        <f t="shared" ref="S21" si="63">M21*$U$5</f>
        <v>5752.11</v>
      </c>
      <c r="T21" s="24">
        <f t="shared" ref="T21" si="64">N21*$U$5</f>
        <v>6808.62</v>
      </c>
      <c r="U21" s="25">
        <f t="shared" ref="U21" si="65">O21*$U$5</f>
        <v>11537.76</v>
      </c>
      <c r="V21" s="23">
        <f>M21*$X$5</f>
        <v>5551.4549999999999</v>
      </c>
      <c r="W21" s="24">
        <f>N21*$X$5</f>
        <v>6571.11</v>
      </c>
      <c r="X21" s="25">
        <f>O21*$X$5</f>
        <v>11135.279999999999</v>
      </c>
      <c r="Y21" s="34">
        <f>M21*$AA$5</f>
        <v>5016.375</v>
      </c>
      <c r="Z21" s="106">
        <f>N21*$AA$5</f>
        <v>5937.75</v>
      </c>
      <c r="AA21" s="106">
        <f>O21*$AA$5</f>
        <v>10062</v>
      </c>
      <c r="AB21" s="23">
        <f>M21*$AD$5</f>
        <v>4681.95</v>
      </c>
      <c r="AC21" s="106">
        <f>N21*$AD$5</f>
        <v>5541.9</v>
      </c>
      <c r="AD21" s="25">
        <f>O21*$AD$5</f>
        <v>9391.1999999999989</v>
      </c>
    </row>
    <row r="22" spans="1:30" ht="18" customHeight="1" thickBot="1">
      <c r="A22" s="15"/>
      <c r="B22" s="73" t="s">
        <v>216</v>
      </c>
      <c r="C22" s="282">
        <v>1.95</v>
      </c>
      <c r="D22" s="2354"/>
      <c r="E22" s="2356"/>
      <c r="F22" s="2356"/>
      <c r="G22" s="2356"/>
      <c r="H22" s="2346"/>
      <c r="I22" s="2346"/>
      <c r="J22" s="2346"/>
      <c r="K22" s="2346"/>
      <c r="L22" s="2346"/>
      <c r="M22" s="170">
        <f>M21/D21</f>
        <v>6.6885000000000003</v>
      </c>
      <c r="N22" s="186">
        <f>N21/D21</f>
        <v>7.9169999999999998</v>
      </c>
      <c r="O22" s="172">
        <f>O21/D21</f>
        <v>13.416</v>
      </c>
      <c r="P22" s="186">
        <f>P21/D21</f>
        <v>6.2203050000000006</v>
      </c>
      <c r="Q22" s="171">
        <f>Q21/D21</f>
        <v>7.3628100000000005</v>
      </c>
      <c r="R22" s="187">
        <f>R21/D21</f>
        <v>12.476880000000001</v>
      </c>
      <c r="S22" s="170">
        <f t="shared" ref="S22" si="66">S21/D21</f>
        <v>5.7521100000000001</v>
      </c>
      <c r="T22" s="171">
        <f t="shared" ref="T22" si="67">T21/D21</f>
        <v>6.8086199999999995</v>
      </c>
      <c r="U22" s="172">
        <f t="shared" ref="U22" si="68">U21/D21</f>
        <v>11.53776</v>
      </c>
      <c r="V22" s="170">
        <f>V21/D21</f>
        <v>5.5514549999999998</v>
      </c>
      <c r="W22" s="171">
        <f>W21/D21</f>
        <v>6.57111</v>
      </c>
      <c r="X22" s="172">
        <f>X21/D21</f>
        <v>11.135279999999998</v>
      </c>
      <c r="Y22" s="186">
        <f>Y21/D21</f>
        <v>5.016375</v>
      </c>
      <c r="Z22" s="187">
        <f>Z21/D21</f>
        <v>5.9377500000000003</v>
      </c>
      <c r="AA22" s="187">
        <f>AA21/D21</f>
        <v>10.061999999999999</v>
      </c>
      <c r="AB22" s="170">
        <f>AB21/D21</f>
        <v>4.6819499999999996</v>
      </c>
      <c r="AC22" s="187">
        <f>AC21/D21</f>
        <v>5.5419</v>
      </c>
      <c r="AD22" s="172">
        <f>AD21/D21</f>
        <v>9.3911999999999995</v>
      </c>
    </row>
    <row r="23" spans="1:30" ht="18" customHeight="1">
      <c r="A23" s="15"/>
      <c r="B23" s="2358" t="s">
        <v>217</v>
      </c>
      <c r="C23" s="2359"/>
      <c r="D23" s="2360">
        <v>100000</v>
      </c>
      <c r="E23" s="2362">
        <f>D23*C24</f>
        <v>600</v>
      </c>
      <c r="F23" s="2363">
        <f>E23*1</f>
        <v>600</v>
      </c>
      <c r="G23" s="2362">
        <f>F23*$G$5</f>
        <v>840</v>
      </c>
      <c r="H23" s="2347">
        <f>E23*420%</f>
        <v>2520</v>
      </c>
      <c r="I23" s="2347">
        <v>0</v>
      </c>
      <c r="J23" s="2350">
        <v>0</v>
      </c>
      <c r="K23" s="2350">
        <v>0</v>
      </c>
      <c r="L23" s="2350">
        <v>0</v>
      </c>
      <c r="M23" s="148">
        <f>G23+H23</f>
        <v>3360</v>
      </c>
      <c r="N23" s="34">
        <f>G23+H23+J23</f>
        <v>3360</v>
      </c>
      <c r="O23" s="25">
        <f>G23+H23+J23+K23+L23</f>
        <v>3360</v>
      </c>
      <c r="P23" s="149">
        <f>M23*$R$5</f>
        <v>3124.8</v>
      </c>
      <c r="Q23" s="151">
        <f>N23*$R$5</f>
        <v>3124.8</v>
      </c>
      <c r="R23" s="152">
        <f>O23*$R$5</f>
        <v>3124.8</v>
      </c>
      <c r="S23" s="148">
        <f t="shared" ref="S23" si="69">M23*$U$5</f>
        <v>2889.6</v>
      </c>
      <c r="T23" s="151">
        <f t="shared" ref="T23" si="70">N23*$U$5</f>
        <v>2889.6</v>
      </c>
      <c r="U23" s="150">
        <f t="shared" ref="U23" si="71">O23*$U$5</f>
        <v>2889.6</v>
      </c>
      <c r="V23" s="148">
        <f>M23*$X$5</f>
        <v>2788.7999999999997</v>
      </c>
      <c r="W23" s="151">
        <f>N23*$X$5</f>
        <v>2788.7999999999997</v>
      </c>
      <c r="X23" s="150">
        <f>O23*$X$5</f>
        <v>2788.7999999999997</v>
      </c>
      <c r="Y23" s="149">
        <f>M23*$AA$5</f>
        <v>2520</v>
      </c>
      <c r="Z23" s="152">
        <f>N23*$AA$5</f>
        <v>2520</v>
      </c>
      <c r="AA23" s="152">
        <f>O23*$AA$5</f>
        <v>2520</v>
      </c>
      <c r="AB23" s="148">
        <f>M23*$AD$5</f>
        <v>2352</v>
      </c>
      <c r="AC23" s="152">
        <f>N23*$AD$5</f>
        <v>2352</v>
      </c>
      <c r="AD23" s="150">
        <f>O23*$AD$5</f>
        <v>2352</v>
      </c>
    </row>
    <row r="24" spans="1:30" ht="18" customHeight="1">
      <c r="A24" s="15"/>
      <c r="B24" s="418" t="s">
        <v>218</v>
      </c>
      <c r="C24" s="485">
        <v>6.0000000000000001E-3</v>
      </c>
      <c r="D24" s="2361"/>
      <c r="E24" s="2357"/>
      <c r="F24" s="2364"/>
      <c r="G24" s="2357"/>
      <c r="H24" s="2348"/>
      <c r="I24" s="2348"/>
      <c r="J24" s="2349"/>
      <c r="K24" s="2349"/>
      <c r="L24" s="2349"/>
      <c r="M24" s="180">
        <f>M23/D23</f>
        <v>3.3599999999999998E-2</v>
      </c>
      <c r="N24" s="181">
        <f>N23/D23</f>
        <v>3.3599999999999998E-2</v>
      </c>
      <c r="O24" s="182">
        <f>O23/D23</f>
        <v>3.3599999999999998E-2</v>
      </c>
      <c r="P24" s="181">
        <f>P23/D23</f>
        <v>3.1248000000000001E-2</v>
      </c>
      <c r="Q24" s="183">
        <f>Q23/D23</f>
        <v>3.1248000000000001E-2</v>
      </c>
      <c r="R24" s="184">
        <f>R23/D23</f>
        <v>3.1248000000000001E-2</v>
      </c>
      <c r="S24" s="180">
        <f t="shared" ref="S24" si="72">S23/D23</f>
        <v>2.8895999999999998E-2</v>
      </c>
      <c r="T24" s="183">
        <f t="shared" ref="T24" si="73">T23/D23</f>
        <v>2.8895999999999998E-2</v>
      </c>
      <c r="U24" s="182">
        <f t="shared" ref="U24" si="74">U23/D23</f>
        <v>2.8895999999999998E-2</v>
      </c>
      <c r="V24" s="180">
        <f>V23/D23</f>
        <v>2.7887999999999996E-2</v>
      </c>
      <c r="W24" s="183">
        <f>W23/D23</f>
        <v>2.7887999999999996E-2</v>
      </c>
      <c r="X24" s="182">
        <f>X23/D23</f>
        <v>2.7887999999999996E-2</v>
      </c>
      <c r="Y24" s="181">
        <f>Y23/D23</f>
        <v>2.52E-2</v>
      </c>
      <c r="Z24" s="184">
        <f>Z23/D23</f>
        <v>2.52E-2</v>
      </c>
      <c r="AA24" s="184">
        <f>AA23/D23</f>
        <v>2.52E-2</v>
      </c>
      <c r="AB24" s="180">
        <f>AB23/D23</f>
        <v>2.3519999999999999E-2</v>
      </c>
      <c r="AC24" s="184">
        <f>AC23/D23</f>
        <v>2.3519999999999999E-2</v>
      </c>
      <c r="AD24" s="182">
        <f>AD23/D23</f>
        <v>2.3519999999999999E-2</v>
      </c>
    </row>
    <row r="25" spans="1:30" ht="18" customHeight="1">
      <c r="A25" s="15"/>
      <c r="B25" s="2351" t="s">
        <v>219</v>
      </c>
      <c r="C25" s="2352"/>
      <c r="D25" s="2353">
        <v>100000</v>
      </c>
      <c r="E25" s="2355">
        <f>D25*C26</f>
        <v>0</v>
      </c>
      <c r="F25" s="2355">
        <f>E25*0.8</f>
        <v>0</v>
      </c>
      <c r="G25" s="2355">
        <f>F25*$G$5</f>
        <v>0</v>
      </c>
      <c r="H25" s="2345">
        <f>D25*2.7%</f>
        <v>2700.0000000000005</v>
      </c>
      <c r="I25" s="2345">
        <f t="shared" ref="I25" si="75">E25*21%*8</f>
        <v>0</v>
      </c>
      <c r="J25" s="2345">
        <f>E25*20%*11</f>
        <v>0</v>
      </c>
      <c r="K25" s="2345">
        <f>E25*10%*12</f>
        <v>0</v>
      </c>
      <c r="L25" s="2345">
        <f>E25*5%*12</f>
        <v>0</v>
      </c>
      <c r="M25" s="23">
        <f>G25+H25</f>
        <v>2700.0000000000005</v>
      </c>
      <c r="N25" s="34">
        <f>G25+H25+J25</f>
        <v>2700.0000000000005</v>
      </c>
      <c r="O25" s="25">
        <f>G25+H25+J25+K25+L25</f>
        <v>2700.0000000000005</v>
      </c>
      <c r="P25" s="34">
        <f>M25*$R$5</f>
        <v>2511.0000000000005</v>
      </c>
      <c r="Q25" s="24">
        <f>N25*$R$5</f>
        <v>2511.0000000000005</v>
      </c>
      <c r="R25" s="106">
        <f>O25*$R$5</f>
        <v>2511.0000000000005</v>
      </c>
      <c r="S25" s="23">
        <f t="shared" ref="S25" si="76">M25*$U$5</f>
        <v>2322.0000000000005</v>
      </c>
      <c r="T25" s="24">
        <f t="shared" ref="T25" si="77">N25*$U$5</f>
        <v>2322.0000000000005</v>
      </c>
      <c r="U25" s="25">
        <f t="shared" ref="U25" si="78">O25*$U$5</f>
        <v>2322.0000000000005</v>
      </c>
      <c r="V25" s="23">
        <f>M25*$X$5</f>
        <v>2241.0000000000005</v>
      </c>
      <c r="W25" s="24">
        <f>N25*$X$5</f>
        <v>2241.0000000000005</v>
      </c>
      <c r="X25" s="25">
        <f>O25*$X$5</f>
        <v>2241.0000000000005</v>
      </c>
      <c r="Y25" s="34">
        <f>M25*$AA$5</f>
        <v>2025.0000000000005</v>
      </c>
      <c r="Z25" s="106">
        <f>N25*$AA$5</f>
        <v>2025.0000000000005</v>
      </c>
      <c r="AA25" s="106">
        <f>O25*$AA$5</f>
        <v>2025.0000000000005</v>
      </c>
      <c r="AB25" s="23">
        <f>M25*$AD$5</f>
        <v>1890.0000000000002</v>
      </c>
      <c r="AC25" s="106">
        <f>N25*$AD$5</f>
        <v>1890.0000000000002</v>
      </c>
      <c r="AD25" s="25">
        <f>O25*$AD$5</f>
        <v>1890.0000000000002</v>
      </c>
    </row>
    <row r="26" spans="1:30" ht="18" customHeight="1" thickBot="1">
      <c r="A26" s="15"/>
      <c r="B26" s="419" t="s">
        <v>220</v>
      </c>
      <c r="C26" s="282">
        <v>0</v>
      </c>
      <c r="D26" s="2354"/>
      <c r="E26" s="2356"/>
      <c r="F26" s="2356"/>
      <c r="G26" s="2356"/>
      <c r="H26" s="2346"/>
      <c r="I26" s="2346"/>
      <c r="J26" s="2346"/>
      <c r="K26" s="2346"/>
      <c r="L26" s="2346"/>
      <c r="M26" s="284">
        <f>M25/D25</f>
        <v>2.7000000000000003E-2</v>
      </c>
      <c r="N26" s="285">
        <f>N25/D25</f>
        <v>2.7000000000000003E-2</v>
      </c>
      <c r="O26" s="286">
        <f>O25/D25</f>
        <v>2.7000000000000003E-2</v>
      </c>
      <c r="P26" s="285">
        <f>P25/D25</f>
        <v>2.5110000000000004E-2</v>
      </c>
      <c r="Q26" s="287">
        <f>Q25/D25</f>
        <v>2.5110000000000004E-2</v>
      </c>
      <c r="R26" s="288">
        <f>R25/D25</f>
        <v>2.5110000000000004E-2</v>
      </c>
      <c r="S26" s="284">
        <f t="shared" ref="S26" si="79">S25/D25</f>
        <v>2.3220000000000005E-2</v>
      </c>
      <c r="T26" s="287">
        <f t="shared" ref="T26" si="80">T25/D25</f>
        <v>2.3220000000000005E-2</v>
      </c>
      <c r="U26" s="286">
        <f t="shared" ref="U26" si="81">U25/D25</f>
        <v>2.3220000000000005E-2</v>
      </c>
      <c r="V26" s="284">
        <f>V25/D25</f>
        <v>2.2410000000000003E-2</v>
      </c>
      <c r="W26" s="287">
        <f>W25/D25</f>
        <v>2.2410000000000003E-2</v>
      </c>
      <c r="X26" s="286">
        <f>X25/D25</f>
        <v>2.2410000000000003E-2</v>
      </c>
      <c r="Y26" s="285">
        <f>Y25/D25</f>
        <v>2.0250000000000004E-2</v>
      </c>
      <c r="Z26" s="288">
        <f>Z25/D25</f>
        <v>2.0250000000000004E-2</v>
      </c>
      <c r="AA26" s="288">
        <f>AA25/D25</f>
        <v>2.0250000000000004E-2</v>
      </c>
      <c r="AB26" s="284">
        <f>AB25/D25</f>
        <v>1.8900000000000004E-2</v>
      </c>
      <c r="AC26" s="288">
        <f>AC25/D25</f>
        <v>1.8900000000000004E-2</v>
      </c>
      <c r="AD26" s="286">
        <f>AD25/D25</f>
        <v>1.8900000000000004E-2</v>
      </c>
    </row>
    <row r="27" spans="1:30" ht="18" customHeight="1">
      <c r="A27" s="15"/>
      <c r="B27" s="26"/>
      <c r="C27" s="26"/>
      <c r="D27" s="26"/>
      <c r="E27" s="26"/>
      <c r="F27" s="27"/>
      <c r="G27" s="27"/>
      <c r="H27" s="27"/>
      <c r="I27" s="27"/>
      <c r="J27" s="27"/>
      <c r="K27" s="27"/>
      <c r="L27" s="27"/>
      <c r="M27" s="27"/>
      <c r="N27" s="27"/>
      <c r="O27" s="27"/>
      <c r="P27" s="27"/>
      <c r="Q27" s="27"/>
      <c r="R27" s="27"/>
      <c r="S27" s="27"/>
      <c r="T27" s="27"/>
      <c r="U27" s="27"/>
      <c r="V27" s="27"/>
      <c r="W27" s="27"/>
      <c r="X27" s="27"/>
      <c r="Y27" s="27"/>
      <c r="Z27" s="27"/>
      <c r="AA27" s="27"/>
      <c r="AB27" s="27"/>
      <c r="AC27" s="27"/>
      <c r="AD27" s="27"/>
    </row>
    <row r="28" spans="1:30" s="3" customFormat="1" ht="18" customHeight="1">
      <c r="A28" s="6"/>
      <c r="B28" s="4" t="s">
        <v>221</v>
      </c>
      <c r="C28" s="5"/>
      <c r="D28" s="5"/>
      <c r="E28" s="5"/>
      <c r="F28" s="6"/>
      <c r="G28" s="6"/>
      <c r="H28" s="6"/>
      <c r="I28" s="6"/>
      <c r="J28" s="6"/>
      <c r="K28" s="36"/>
      <c r="L28" s="6"/>
      <c r="M28" s="6"/>
      <c r="N28" s="36"/>
      <c r="O28" s="6"/>
      <c r="P28" s="6"/>
      <c r="Q28" s="6"/>
      <c r="R28" s="6"/>
      <c r="S28" s="6"/>
      <c r="T28" s="6"/>
      <c r="U28" s="6"/>
      <c r="V28" s="6"/>
      <c r="W28" s="6"/>
      <c r="X28" s="6"/>
      <c r="Y28" s="6"/>
      <c r="Z28" s="6"/>
      <c r="AA28" s="6"/>
      <c r="AB28" s="6"/>
      <c r="AC28" s="6"/>
      <c r="AD28" s="6"/>
    </row>
    <row r="29" spans="1:30" s="3" customFormat="1" ht="18" customHeight="1">
      <c r="A29" s="6"/>
      <c r="B29" s="6" t="s">
        <v>222</v>
      </c>
      <c r="C29" s="4"/>
      <c r="D29" s="5"/>
      <c r="E29" s="5"/>
      <c r="F29" s="6"/>
      <c r="G29" s="6"/>
      <c r="H29" s="6"/>
      <c r="I29" s="6"/>
      <c r="J29" s="6"/>
      <c r="K29" s="6"/>
      <c r="L29" s="6"/>
      <c r="M29" s="6"/>
      <c r="N29" s="6"/>
      <c r="O29" s="6"/>
      <c r="P29" s="6"/>
      <c r="Q29" s="6"/>
      <c r="R29" s="6"/>
      <c r="S29" s="6"/>
      <c r="T29" s="6"/>
      <c r="U29" s="6"/>
      <c r="V29" s="6"/>
      <c r="W29" s="6"/>
      <c r="X29" s="6"/>
      <c r="Y29" s="6"/>
      <c r="Z29" s="6"/>
      <c r="AA29" s="6"/>
      <c r="AB29" s="6"/>
      <c r="AC29" s="6"/>
      <c r="AD29" s="6"/>
    </row>
    <row r="30" spans="1:30" s="526" customFormat="1" ht="18" customHeight="1">
      <c r="B30" s="153" t="s">
        <v>435</v>
      </c>
      <c r="C30" s="527"/>
      <c r="D30" s="528"/>
      <c r="E30" s="528"/>
    </row>
    <row r="31" spans="1:30" s="155" customFormat="1" ht="18" customHeight="1">
      <c r="A31" s="153"/>
      <c r="B31" s="29" t="s">
        <v>223</v>
      </c>
      <c r="C31" s="153"/>
      <c r="D31" s="154"/>
      <c r="E31" s="154"/>
      <c r="F31" s="153"/>
      <c r="G31" s="153"/>
      <c r="H31" s="153"/>
      <c r="I31" s="153"/>
      <c r="J31" s="153"/>
      <c r="K31" s="153"/>
      <c r="L31" s="153"/>
      <c r="M31" s="153"/>
      <c r="N31" s="153"/>
      <c r="O31" s="153"/>
      <c r="P31" s="153"/>
      <c r="Q31" s="153"/>
      <c r="R31" s="153"/>
      <c r="S31" s="153"/>
      <c r="T31" s="153"/>
      <c r="U31" s="153"/>
      <c r="V31" s="153"/>
      <c r="W31" s="153"/>
      <c r="X31" s="153"/>
      <c r="Y31" s="153"/>
      <c r="Z31" s="153"/>
      <c r="AA31" s="153"/>
      <c r="AB31" s="153"/>
      <c r="AC31" s="153"/>
      <c r="AD31" s="153"/>
    </row>
    <row r="32" spans="1:30" s="135" customFormat="1" ht="18" customHeight="1">
      <c r="A32" s="29"/>
      <c r="B32" s="29" t="s">
        <v>224</v>
      </c>
      <c r="C32" s="31"/>
      <c r="D32" s="31"/>
      <c r="E32" s="31"/>
      <c r="F32" s="29"/>
      <c r="G32" s="29"/>
      <c r="H32" s="29"/>
      <c r="I32" s="29"/>
      <c r="J32" s="29"/>
      <c r="K32" s="29"/>
      <c r="L32" s="29"/>
      <c r="M32" s="29"/>
      <c r="N32" s="29"/>
      <c r="O32" s="6"/>
      <c r="P32" s="29"/>
      <c r="Q32" s="29"/>
      <c r="R32" s="29"/>
      <c r="S32" s="29"/>
      <c r="T32" s="29"/>
      <c r="U32" s="29"/>
      <c r="V32" s="29"/>
      <c r="W32" s="29"/>
      <c r="X32" s="29"/>
      <c r="Y32" s="29"/>
      <c r="Z32" s="29"/>
      <c r="AA32" s="29"/>
      <c r="AB32" s="29"/>
      <c r="AC32" s="29"/>
      <c r="AD32" s="29"/>
    </row>
    <row r="33" spans="1:30" s="135" customFormat="1" ht="18" customHeight="1">
      <c r="A33" s="29"/>
      <c r="B33" s="29" t="s">
        <v>744</v>
      </c>
      <c r="C33" s="31"/>
      <c r="D33" s="31"/>
      <c r="E33" s="31"/>
      <c r="F33" s="29"/>
      <c r="G33" s="29"/>
      <c r="H33" s="29"/>
      <c r="I33" s="29"/>
      <c r="J33" s="29"/>
      <c r="K33" s="29"/>
      <c r="L33" s="29"/>
      <c r="M33" s="29"/>
      <c r="N33" s="29"/>
      <c r="O33" s="29"/>
      <c r="P33" s="29"/>
      <c r="Q33" s="29"/>
      <c r="R33" s="29"/>
      <c r="S33" s="29"/>
      <c r="T33" s="29"/>
      <c r="U33" s="29"/>
      <c r="V33" s="29"/>
      <c r="W33" s="29"/>
      <c r="X33" s="29"/>
      <c r="Y33" s="29"/>
      <c r="Z33" s="29"/>
      <c r="AA33" s="29"/>
      <c r="AB33" s="29"/>
      <c r="AC33" s="29"/>
      <c r="AD33" s="29"/>
    </row>
    <row r="34" spans="1:30" s="135" customFormat="1" ht="18" customHeight="1">
      <c r="A34" s="29"/>
      <c r="B34" s="29" t="s">
        <v>225</v>
      </c>
      <c r="C34" s="31"/>
      <c r="D34" s="31"/>
      <c r="E34" s="31"/>
      <c r="F34" s="29"/>
      <c r="G34" s="29"/>
      <c r="H34" s="29"/>
      <c r="I34" s="29"/>
      <c r="J34" s="29"/>
      <c r="K34" s="29"/>
      <c r="L34" s="29"/>
      <c r="M34" s="29"/>
      <c r="N34" s="29"/>
      <c r="O34" s="29"/>
      <c r="P34" s="29"/>
      <c r="Q34" s="29"/>
      <c r="R34" s="29"/>
      <c r="S34" s="29"/>
      <c r="T34" s="29"/>
      <c r="U34" s="29"/>
      <c r="V34" s="29"/>
      <c r="W34" s="29"/>
      <c r="X34" s="29"/>
      <c r="Y34" s="29"/>
      <c r="Z34" s="29"/>
      <c r="AA34" s="29"/>
      <c r="AB34" s="29"/>
      <c r="AC34" s="29"/>
      <c r="AD34" s="29"/>
    </row>
    <row r="35" spans="1:30" s="3" customFormat="1" ht="18" customHeight="1">
      <c r="A35" s="6"/>
      <c r="B35" s="29" t="s">
        <v>242</v>
      </c>
      <c r="C35" s="31"/>
      <c r="D35" s="31"/>
      <c r="E35" s="31"/>
      <c r="F35" s="29"/>
      <c r="G35" s="29"/>
      <c r="H35" s="29"/>
      <c r="I35" s="29"/>
      <c r="J35" s="29"/>
      <c r="K35" s="29"/>
      <c r="L35" s="6"/>
      <c r="M35" s="6"/>
      <c r="N35" s="6"/>
      <c r="O35" s="6"/>
      <c r="P35" s="6"/>
      <c r="Q35" s="6"/>
      <c r="R35" s="6"/>
      <c r="S35" s="6"/>
      <c r="T35" s="6"/>
      <c r="U35" s="6"/>
      <c r="V35" s="6"/>
      <c r="W35" s="6"/>
      <c r="X35" s="6"/>
      <c r="Y35" s="6"/>
      <c r="Z35" s="6"/>
      <c r="AA35" s="6"/>
      <c r="AB35" s="6"/>
      <c r="AC35" s="6"/>
      <c r="AD35" s="6"/>
    </row>
    <row r="36" spans="1:30" s="3" customFormat="1" ht="18" customHeight="1">
      <c r="A36" s="6"/>
      <c r="B36" s="6" t="s">
        <v>226</v>
      </c>
      <c r="C36" s="5"/>
      <c r="D36" s="5"/>
      <c r="E36" s="5"/>
      <c r="F36" s="6"/>
      <c r="G36" s="6"/>
      <c r="H36" s="6"/>
      <c r="I36" s="6"/>
      <c r="J36" s="6"/>
      <c r="K36" s="6"/>
      <c r="L36" s="6"/>
      <c r="M36" s="6"/>
      <c r="N36" s="6"/>
      <c r="O36" s="6"/>
      <c r="P36" s="6"/>
      <c r="Q36" s="6"/>
      <c r="R36" s="6"/>
      <c r="S36" s="6"/>
      <c r="T36" s="6"/>
      <c r="U36" s="6"/>
      <c r="V36" s="6"/>
      <c r="W36" s="6"/>
      <c r="X36" s="6"/>
      <c r="Y36" s="6"/>
      <c r="Z36" s="6"/>
      <c r="AA36" s="6"/>
      <c r="AB36" s="6"/>
      <c r="AC36" s="6"/>
      <c r="AD36" s="6"/>
    </row>
    <row r="37" spans="1:30" s="3" customFormat="1" ht="18" customHeight="1">
      <c r="A37" s="6"/>
      <c r="B37" s="6" t="s">
        <v>227</v>
      </c>
      <c r="C37" s="5"/>
      <c r="D37" s="5"/>
      <c r="E37" s="5"/>
      <c r="F37" s="6"/>
      <c r="G37" s="6"/>
      <c r="H37" s="6"/>
      <c r="I37" s="6"/>
      <c r="J37" s="6"/>
      <c r="K37" s="6"/>
      <c r="L37" s="6"/>
      <c r="M37" s="6"/>
      <c r="N37" s="6"/>
      <c r="O37" s="6"/>
      <c r="P37" s="6"/>
      <c r="Q37" s="6"/>
      <c r="R37" s="6"/>
      <c r="S37" s="6"/>
      <c r="T37" s="6"/>
      <c r="U37" s="6"/>
      <c r="V37" s="6"/>
      <c r="W37" s="6"/>
      <c r="X37" s="6"/>
      <c r="Y37" s="6"/>
      <c r="Z37" s="6"/>
      <c r="AA37" s="6"/>
      <c r="AB37" s="6"/>
      <c r="AC37" s="6"/>
      <c r="AD37" s="6"/>
    </row>
    <row r="38" spans="1:30" s="3" customFormat="1" ht="18" customHeight="1">
      <c r="A38" s="6"/>
      <c r="B38" s="6" t="s">
        <v>48</v>
      </c>
      <c r="C38" s="5"/>
      <c r="D38" s="5"/>
      <c r="E38" s="5"/>
      <c r="F38" s="6"/>
      <c r="G38" s="6"/>
      <c r="H38" s="6"/>
      <c r="I38" s="6"/>
      <c r="J38" s="6"/>
      <c r="K38" s="6"/>
      <c r="L38" s="6"/>
      <c r="M38" s="6"/>
      <c r="N38" s="6"/>
      <c r="O38" s="6"/>
      <c r="P38" s="6"/>
      <c r="Q38" s="6"/>
      <c r="R38" s="6"/>
      <c r="S38" s="6"/>
      <c r="T38" s="6"/>
      <c r="U38" s="6"/>
      <c r="V38" s="6"/>
      <c r="W38" s="6"/>
      <c r="X38" s="6"/>
      <c r="Y38" s="6"/>
      <c r="Z38" s="6"/>
      <c r="AA38" s="6"/>
      <c r="AB38" s="6"/>
      <c r="AC38" s="6"/>
      <c r="AD38" s="6"/>
    </row>
    <row r="39" spans="1:30" s="3" customFormat="1" ht="18" customHeight="1">
      <c r="A39" s="6"/>
      <c r="B39" s="30" t="s">
        <v>228</v>
      </c>
      <c r="C39" s="5"/>
      <c r="D39" s="5"/>
      <c r="E39" s="5"/>
      <c r="F39" s="6"/>
      <c r="G39" s="6"/>
      <c r="H39" s="6"/>
      <c r="I39" s="6"/>
      <c r="J39" s="6"/>
      <c r="K39" s="6"/>
      <c r="L39" s="6"/>
      <c r="M39" s="6"/>
      <c r="N39" s="6"/>
      <c r="O39" s="6"/>
      <c r="P39" s="6"/>
      <c r="Q39" s="6"/>
      <c r="R39" s="6"/>
      <c r="S39" s="6"/>
      <c r="T39" s="6"/>
      <c r="U39" s="6"/>
      <c r="V39" s="6"/>
      <c r="W39" s="6"/>
      <c r="X39" s="6"/>
      <c r="Y39" s="6"/>
      <c r="Z39" s="6"/>
      <c r="AA39" s="6"/>
      <c r="AB39" s="6"/>
      <c r="AC39" s="6"/>
      <c r="AD39" s="6"/>
    </row>
    <row r="40" spans="1:30" ht="18" customHeight="1">
      <c r="A40" s="15"/>
      <c r="B40" s="27"/>
      <c r="C40" s="27"/>
      <c r="D40" s="27"/>
      <c r="E40" s="27"/>
      <c r="F40" s="27"/>
      <c r="G40" s="27"/>
      <c r="H40" s="27"/>
      <c r="I40" s="27"/>
      <c r="J40" s="27"/>
      <c r="K40" s="27"/>
      <c r="L40" s="27"/>
      <c r="M40" s="27"/>
      <c r="N40" s="27"/>
      <c r="O40" s="27"/>
      <c r="P40" s="27"/>
      <c r="Q40" s="27"/>
      <c r="R40" s="27"/>
      <c r="S40" s="27"/>
      <c r="T40" s="27"/>
      <c r="U40" s="27"/>
      <c r="V40" s="27"/>
      <c r="W40" s="27"/>
      <c r="X40" s="27"/>
      <c r="Y40" s="27"/>
      <c r="Z40" s="27"/>
      <c r="AA40" s="27"/>
      <c r="AB40" s="27"/>
      <c r="AC40" s="27"/>
      <c r="AD40" s="27"/>
    </row>
    <row r="41" spans="1:30" ht="18" customHeight="1">
      <c r="A41" s="15"/>
      <c r="B41" s="71"/>
      <c r="C41" s="71"/>
      <c r="D41" s="71"/>
      <c r="E41" s="71"/>
      <c r="F41" s="71"/>
      <c r="G41" s="15"/>
      <c r="H41" s="15"/>
      <c r="I41" s="15"/>
      <c r="J41" s="15"/>
      <c r="K41" s="15"/>
      <c r="L41" s="15"/>
      <c r="M41" s="15"/>
      <c r="N41" s="15"/>
      <c r="O41" s="15"/>
      <c r="P41" s="15"/>
      <c r="Q41" s="15"/>
      <c r="R41" s="15"/>
      <c r="S41" s="15"/>
      <c r="T41" s="15"/>
      <c r="U41" s="15"/>
      <c r="V41" s="15"/>
      <c r="W41" s="15"/>
      <c r="X41" s="15"/>
      <c r="Y41" s="15"/>
      <c r="Z41" s="15"/>
      <c r="AA41" s="15"/>
      <c r="AB41" s="56"/>
      <c r="AC41" s="56"/>
      <c r="AD41" s="15"/>
    </row>
    <row r="42" spans="1:30" ht="18" customHeight="1">
      <c r="A42" s="15"/>
      <c r="B42" s="71"/>
      <c r="C42" s="71"/>
      <c r="D42" s="71"/>
      <c r="E42" s="71"/>
      <c r="F42" s="71"/>
      <c r="G42" s="15"/>
      <c r="H42" s="15"/>
      <c r="I42" s="15"/>
      <c r="J42" s="15"/>
      <c r="K42" s="15"/>
      <c r="L42" s="15"/>
      <c r="M42" s="15"/>
      <c r="N42" s="15"/>
      <c r="O42" s="15"/>
      <c r="P42" s="15"/>
      <c r="Q42" s="15"/>
      <c r="R42" s="15"/>
      <c r="S42" s="15"/>
      <c r="T42" s="15"/>
      <c r="U42" s="15"/>
      <c r="V42" s="15"/>
      <c r="W42" s="15"/>
      <c r="X42" s="15"/>
      <c r="Y42" s="15"/>
      <c r="Z42" s="15"/>
      <c r="AA42" s="15"/>
      <c r="AB42" s="56"/>
      <c r="AC42" s="56"/>
      <c r="AD42" s="15"/>
    </row>
    <row r="43" spans="1:30" ht="18" customHeight="1">
      <c r="A43" s="15"/>
      <c r="B43" s="71"/>
      <c r="C43" s="71"/>
      <c r="D43" s="71"/>
      <c r="E43" s="71"/>
      <c r="F43" s="71"/>
      <c r="G43" s="15"/>
      <c r="H43" s="15"/>
      <c r="I43" s="15"/>
      <c r="J43" s="15"/>
      <c r="K43" s="15"/>
      <c r="L43" s="15"/>
      <c r="M43" s="15"/>
      <c r="N43" s="15"/>
      <c r="O43" s="15"/>
      <c r="P43" s="15"/>
      <c r="Q43" s="15"/>
      <c r="R43" s="15"/>
      <c r="S43" s="15"/>
      <c r="T43" s="15"/>
      <c r="U43" s="15"/>
      <c r="V43" s="15"/>
      <c r="W43" s="15"/>
      <c r="X43" s="15"/>
      <c r="Y43" s="15"/>
      <c r="Z43" s="15"/>
      <c r="AA43" s="15"/>
      <c r="AB43" s="56"/>
      <c r="AC43" s="56"/>
      <c r="AD43" s="15"/>
    </row>
    <row r="44" spans="1:30" ht="18" customHeight="1">
      <c r="A44" s="15"/>
      <c r="B44" s="156"/>
      <c r="C44" s="156"/>
      <c r="D44" s="156"/>
      <c r="E44" s="156"/>
      <c r="F44" s="156"/>
      <c r="G44" s="156"/>
      <c r="H44" s="156"/>
      <c r="I44" s="156"/>
      <c r="J44" s="156"/>
      <c r="K44" s="156"/>
      <c r="L44" s="156"/>
      <c r="M44" s="156"/>
      <c r="N44" s="156"/>
      <c r="O44" s="156"/>
      <c r="P44" s="156"/>
      <c r="Q44" s="156"/>
      <c r="R44" s="156"/>
      <c r="S44" s="156"/>
      <c r="T44" s="156"/>
      <c r="U44" s="156"/>
      <c r="V44" s="156"/>
      <c r="W44" s="156"/>
      <c r="X44" s="156"/>
      <c r="Y44" s="156"/>
      <c r="Z44" s="156"/>
      <c r="AA44" s="156"/>
      <c r="AB44" s="156"/>
      <c r="AC44" s="156"/>
      <c r="AD44" s="156"/>
    </row>
    <row r="45" spans="1:30" s="157" customFormat="1" ht="18" customHeight="1">
      <c r="A45" s="16"/>
      <c r="B45" s="16"/>
      <c r="C45" s="16"/>
      <c r="D45" s="16"/>
      <c r="E45" s="16"/>
      <c r="F45" s="16"/>
      <c r="G45" s="16"/>
      <c r="H45" s="16"/>
      <c r="I45" s="16"/>
      <c r="J45" s="16"/>
      <c r="K45" s="16"/>
      <c r="L45" s="16"/>
      <c r="M45" s="16"/>
      <c r="N45" s="16"/>
      <c r="O45" s="16"/>
      <c r="P45" s="16"/>
      <c r="Q45" s="16"/>
      <c r="R45" s="16"/>
      <c r="S45" s="16"/>
      <c r="T45" s="16"/>
      <c r="U45" s="16"/>
      <c r="V45" s="16"/>
      <c r="W45" s="16"/>
      <c r="X45" s="16"/>
      <c r="Y45" s="16"/>
      <c r="Z45" s="16"/>
      <c r="AA45" s="16"/>
      <c r="AB45" s="16"/>
      <c r="AC45" s="16"/>
      <c r="AD45" s="16"/>
    </row>
    <row r="46" spans="1:30" s="157" customFormat="1" ht="18" customHeight="1">
      <c r="A46" s="16"/>
      <c r="B46" s="16"/>
      <c r="C46" s="16"/>
      <c r="D46" s="16"/>
      <c r="E46" s="16"/>
      <c r="F46" s="16"/>
      <c r="G46" s="16"/>
      <c r="H46" s="16"/>
      <c r="I46" s="16"/>
      <c r="J46" s="16"/>
      <c r="K46" s="16"/>
      <c r="L46" s="16"/>
      <c r="M46" s="16"/>
      <c r="N46" s="16"/>
      <c r="O46" s="16"/>
      <c r="P46" s="16"/>
      <c r="Q46" s="16"/>
      <c r="R46" s="16"/>
      <c r="S46" s="16"/>
      <c r="T46" s="16"/>
      <c r="U46" s="16"/>
      <c r="V46" s="16"/>
      <c r="W46" s="16"/>
      <c r="X46" s="16"/>
      <c r="Y46" s="16"/>
      <c r="Z46" s="16"/>
      <c r="AA46" s="16"/>
      <c r="AB46" s="16"/>
      <c r="AC46" s="16"/>
      <c r="AD46" s="16"/>
    </row>
    <row r="47" spans="1:30" s="157" customFormat="1" ht="18" customHeight="1"/>
    <row r="48" spans="1:30" s="157" customFormat="1" ht="18" customHeight="1"/>
  </sheetData>
  <mergeCells count="110">
    <mergeCell ref="J15:J16"/>
    <mergeCell ref="K15:K16"/>
    <mergeCell ref="L15:L16"/>
    <mergeCell ref="L21:L22"/>
    <mergeCell ref="B21:C21"/>
    <mergeCell ref="D21:D22"/>
    <mergeCell ref="E21:E22"/>
    <mergeCell ref="F21:F22"/>
    <mergeCell ref="G21:G22"/>
    <mergeCell ref="H21:H22"/>
    <mergeCell ref="J21:J22"/>
    <mergeCell ref="K21:K22"/>
    <mergeCell ref="J17:J18"/>
    <mergeCell ref="K17:K18"/>
    <mergeCell ref="L17:L18"/>
    <mergeCell ref="B19:C19"/>
    <mergeCell ref="D19:D20"/>
    <mergeCell ref="E19:E20"/>
    <mergeCell ref="G17:G18"/>
    <mergeCell ref="H17:H18"/>
    <mergeCell ref="J19:J20"/>
    <mergeCell ref="K19:K20"/>
    <mergeCell ref="L19:L20"/>
    <mergeCell ref="F19:F20"/>
    <mergeCell ref="G7:G8"/>
    <mergeCell ref="H7:H8"/>
    <mergeCell ref="J7:J8"/>
    <mergeCell ref="K7:K8"/>
    <mergeCell ref="L7:L8"/>
    <mergeCell ref="I7:I8"/>
    <mergeCell ref="J13:J14"/>
    <mergeCell ref="K9:K10"/>
    <mergeCell ref="L9:L10"/>
    <mergeCell ref="J11:J12"/>
    <mergeCell ref="K11:K12"/>
    <mergeCell ref="L11:L12"/>
    <mergeCell ref="K13:K14"/>
    <mergeCell ref="L13:L14"/>
    <mergeCell ref="J9:J10"/>
    <mergeCell ref="G11:G12"/>
    <mergeCell ref="G9:G10"/>
    <mergeCell ref="H9:H10"/>
    <mergeCell ref="B1:AD1"/>
    <mergeCell ref="M5:O5"/>
    <mergeCell ref="P5:Q5"/>
    <mergeCell ref="V5:W5"/>
    <mergeCell ref="Y5:Z5"/>
    <mergeCell ref="AB5:AC5"/>
    <mergeCell ref="B5:C5"/>
    <mergeCell ref="D5:D6"/>
    <mergeCell ref="I5:L5"/>
    <mergeCell ref="S5:T5"/>
    <mergeCell ref="E7:E8"/>
    <mergeCell ref="F7:F8"/>
    <mergeCell ref="B17:C17"/>
    <mergeCell ref="D17:D18"/>
    <mergeCell ref="E17:E18"/>
    <mergeCell ref="F17:F18"/>
    <mergeCell ref="D9:D10"/>
    <mergeCell ref="E9:E10"/>
    <mergeCell ref="F9:F10"/>
    <mergeCell ref="B9:C9"/>
    <mergeCell ref="B7:C7"/>
    <mergeCell ref="D7:D8"/>
    <mergeCell ref="B13:C13"/>
    <mergeCell ref="D13:D14"/>
    <mergeCell ref="E13:E14"/>
    <mergeCell ref="F13:F14"/>
    <mergeCell ref="B11:C11"/>
    <mergeCell ref="D11:D12"/>
    <mergeCell ref="E11:E12"/>
    <mergeCell ref="F11:F12"/>
    <mergeCell ref="B15:C15"/>
    <mergeCell ref="D15:D16"/>
    <mergeCell ref="E15:E16"/>
    <mergeCell ref="F15:F16"/>
    <mergeCell ref="G19:G20"/>
    <mergeCell ref="H19:H20"/>
    <mergeCell ref="G13:G14"/>
    <mergeCell ref="H13:H14"/>
    <mergeCell ref="H11:H12"/>
    <mergeCell ref="G15:G16"/>
    <mergeCell ref="H15:H16"/>
    <mergeCell ref="B23:C23"/>
    <mergeCell ref="D23:D24"/>
    <mergeCell ref="E23:E24"/>
    <mergeCell ref="F23:F24"/>
    <mergeCell ref="G23:G24"/>
    <mergeCell ref="H23:H24"/>
    <mergeCell ref="J23:J24"/>
    <mergeCell ref="K23:K24"/>
    <mergeCell ref="L23:L24"/>
    <mergeCell ref="L25:L26"/>
    <mergeCell ref="B25:C25"/>
    <mergeCell ref="D25:D26"/>
    <mergeCell ref="E25:E26"/>
    <mergeCell ref="F25:F26"/>
    <mergeCell ref="G25:G26"/>
    <mergeCell ref="H25:H26"/>
    <mergeCell ref="J25:J26"/>
    <mergeCell ref="K25:K26"/>
    <mergeCell ref="I21:I22"/>
    <mergeCell ref="I23:I24"/>
    <mergeCell ref="I25:I26"/>
    <mergeCell ref="I9:I10"/>
    <mergeCell ref="I11:I12"/>
    <mergeCell ref="I13:I14"/>
    <mergeCell ref="I17:I18"/>
    <mergeCell ref="I19:I20"/>
    <mergeCell ref="I15:I16"/>
  </mergeCells>
  <phoneticPr fontId="35" type="noConversion"/>
  <pageMargins left="0.31496062992125984" right="0.31496062992125984" top="0.31496062992125984" bottom="0.31496062992125984" header="0" footer="0"/>
  <pageSetup paperSize="9" scale="65" orientation="landscape" r:id="rId1"/>
  <legacy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66FF"/>
    <pageSetUpPr fitToPage="1"/>
  </sheetPr>
  <dimension ref="A1:S49"/>
  <sheetViews>
    <sheetView zoomScaleNormal="100" workbookViewId="0">
      <pane ySplit="1" topLeftCell="A8" activePane="bottomLeft" state="frozen"/>
      <selection activeCell="B1" sqref="B1:O1"/>
      <selection pane="bottomLeft" activeCell="B1" sqref="B1:Q1"/>
    </sheetView>
  </sheetViews>
  <sheetFormatPr defaultColWidth="7.625" defaultRowHeight="18" customHeight="1"/>
  <cols>
    <col min="1" max="1" width="0.875" style="893" customWidth="1"/>
    <col min="2" max="3" width="10.125" style="893" customWidth="1"/>
    <col min="4" max="7" width="11.625" style="893" customWidth="1"/>
    <col min="8" max="8" width="13.25" style="893" customWidth="1"/>
    <col min="9" max="10" width="9.25" style="893" customWidth="1"/>
    <col min="11" max="16" width="10.125" style="893" customWidth="1"/>
    <col min="17" max="42" width="10.125" style="880" customWidth="1"/>
    <col min="43" max="16384" width="7.625" style="880"/>
  </cols>
  <sheetData>
    <row r="1" spans="1:17" s="352" customFormat="1" ht="30" customHeight="1" thickBot="1">
      <c r="A1" s="351"/>
      <c r="B1" s="2469" t="s">
        <v>1699</v>
      </c>
      <c r="C1" s="2469"/>
      <c r="D1" s="2469"/>
      <c r="E1" s="2469"/>
      <c r="F1" s="2469"/>
      <c r="G1" s="2469"/>
      <c r="H1" s="2469"/>
      <c r="I1" s="2469"/>
      <c r="J1" s="2469"/>
      <c r="K1" s="2469"/>
      <c r="L1" s="2469"/>
      <c r="M1" s="2469"/>
      <c r="N1" s="2469"/>
      <c r="O1" s="2469"/>
      <c r="P1" s="2469"/>
      <c r="Q1" s="2469"/>
    </row>
    <row r="2" spans="1:17" s="353" customFormat="1" ht="18" customHeight="1" thickTop="1">
      <c r="B2" s="354"/>
      <c r="C2" s="354"/>
      <c r="F2" s="355"/>
      <c r="G2" s="355"/>
      <c r="H2" s="355"/>
    </row>
    <row r="3" spans="1:17" s="356" customFormat="1" ht="18" customHeight="1" thickBot="1">
      <c r="B3" s="357" t="s">
        <v>558</v>
      </c>
      <c r="C3" s="358"/>
      <c r="D3" s="358"/>
    </row>
    <row r="4" spans="1:17" s="360" customFormat="1" ht="18" customHeight="1">
      <c r="A4" s="359"/>
      <c r="B4" s="2439" t="s">
        <v>559</v>
      </c>
      <c r="C4" s="2440"/>
      <c r="D4" s="2462" t="s">
        <v>560</v>
      </c>
      <c r="E4" s="2463"/>
      <c r="F4" s="2463"/>
      <c r="G4" s="2463"/>
      <c r="H4" s="2463"/>
      <c r="I4" s="2463"/>
      <c r="J4" s="2463"/>
      <c r="K4" s="2463" t="s">
        <v>561</v>
      </c>
      <c r="L4" s="2463"/>
      <c r="M4" s="2463"/>
      <c r="N4" s="2463"/>
      <c r="O4" s="2463"/>
      <c r="P4" s="2463"/>
      <c r="Q4" s="2440"/>
    </row>
    <row r="5" spans="1:17" s="360" customFormat="1" ht="30" customHeight="1">
      <c r="A5" s="359"/>
      <c r="B5" s="2470" t="s">
        <v>562</v>
      </c>
      <c r="C5" s="2471"/>
      <c r="D5" s="2472" t="s">
        <v>563</v>
      </c>
      <c r="E5" s="2473"/>
      <c r="F5" s="2473"/>
      <c r="G5" s="2473"/>
      <c r="H5" s="2473"/>
      <c r="I5" s="2473"/>
      <c r="J5" s="2474"/>
      <c r="K5" s="2415" t="s">
        <v>564</v>
      </c>
      <c r="L5" s="2415"/>
      <c r="M5" s="2415"/>
      <c r="N5" s="2415"/>
      <c r="O5" s="2415"/>
      <c r="P5" s="2415"/>
      <c r="Q5" s="2416"/>
    </row>
    <row r="6" spans="1:17" s="356" customFormat="1" ht="18" customHeight="1" thickBot="1">
      <c r="A6" s="361"/>
      <c r="B6" s="2376" t="s">
        <v>565</v>
      </c>
      <c r="C6" s="2377"/>
      <c r="D6" s="2464" t="s">
        <v>566</v>
      </c>
      <c r="E6" s="2465"/>
      <c r="F6" s="2465"/>
      <c r="G6" s="2465"/>
      <c r="H6" s="2465"/>
      <c r="I6" s="2465"/>
      <c r="J6" s="2465"/>
      <c r="K6" s="2380" t="s">
        <v>567</v>
      </c>
      <c r="L6" s="2380"/>
      <c r="M6" s="2380"/>
      <c r="N6" s="2380"/>
      <c r="O6" s="2380"/>
      <c r="P6" s="2380"/>
      <c r="Q6" s="2381"/>
    </row>
    <row r="7" spans="1:17" s="356" customFormat="1" ht="18" customHeight="1">
      <c r="A7" s="361"/>
      <c r="B7" s="795"/>
      <c r="C7" s="795"/>
      <c r="D7" s="795"/>
      <c r="E7" s="795"/>
      <c r="F7" s="795"/>
      <c r="G7" s="795"/>
      <c r="H7" s="795"/>
      <c r="I7" s="795"/>
      <c r="J7" s="795"/>
      <c r="K7" s="795"/>
      <c r="L7" s="795"/>
      <c r="M7" s="795"/>
      <c r="N7" s="795"/>
      <c r="O7" s="795"/>
      <c r="P7" s="795"/>
      <c r="Q7" s="795"/>
    </row>
    <row r="8" spans="1:17" s="356" customFormat="1" ht="18" customHeight="1" thickBot="1">
      <c r="B8" s="357" t="s">
        <v>568</v>
      </c>
      <c r="C8" s="358"/>
      <c r="D8" s="358"/>
    </row>
    <row r="9" spans="1:17" s="360" customFormat="1" ht="18" customHeight="1">
      <c r="A9" s="359"/>
      <c r="B9" s="2439" t="s">
        <v>559</v>
      </c>
      <c r="C9" s="2440"/>
      <c r="D9" s="2462" t="s">
        <v>560</v>
      </c>
      <c r="E9" s="2463"/>
      <c r="F9" s="2463"/>
      <c r="G9" s="2463"/>
      <c r="H9" s="2463"/>
      <c r="I9" s="2463"/>
      <c r="J9" s="2463"/>
      <c r="K9" s="2466" t="s">
        <v>561</v>
      </c>
      <c r="L9" s="2467"/>
      <c r="M9" s="2467"/>
      <c r="N9" s="2467"/>
      <c r="O9" s="2467"/>
      <c r="P9" s="2467"/>
      <c r="Q9" s="2468"/>
    </row>
    <row r="10" spans="1:17" s="360" customFormat="1" ht="18" customHeight="1" thickBot="1">
      <c r="A10" s="359"/>
      <c r="B10" s="2376" t="s">
        <v>569</v>
      </c>
      <c r="C10" s="2377"/>
      <c r="D10" s="2457" t="s">
        <v>570</v>
      </c>
      <c r="E10" s="2458"/>
      <c r="F10" s="2458"/>
      <c r="G10" s="2458"/>
      <c r="H10" s="2458"/>
      <c r="I10" s="2458"/>
      <c r="J10" s="2458"/>
      <c r="K10" s="2459"/>
      <c r="L10" s="2460"/>
      <c r="M10" s="2460"/>
      <c r="N10" s="2460"/>
      <c r="O10" s="2460"/>
      <c r="P10" s="2460"/>
      <c r="Q10" s="2461"/>
    </row>
    <row r="11" spans="1:17" s="360" customFormat="1" ht="18" customHeight="1">
      <c r="A11" s="359"/>
      <c r="N11" s="359"/>
    </row>
    <row r="12" spans="1:17" s="356" customFormat="1" ht="18" customHeight="1" thickBot="1">
      <c r="B12" s="357" t="s">
        <v>571</v>
      </c>
      <c r="C12" s="358"/>
      <c r="D12" s="358"/>
    </row>
    <row r="13" spans="1:17" s="360" customFormat="1" ht="18" customHeight="1">
      <c r="A13" s="359"/>
      <c r="B13" s="2439" t="s">
        <v>559</v>
      </c>
      <c r="C13" s="2440"/>
      <c r="D13" s="2462" t="s">
        <v>572</v>
      </c>
      <c r="E13" s="2463"/>
      <c r="F13" s="2463"/>
      <c r="G13" s="2463"/>
      <c r="H13" s="2463"/>
      <c r="I13" s="2463"/>
      <c r="J13" s="2463"/>
      <c r="K13" s="2463"/>
      <c r="L13" s="2463"/>
      <c r="M13" s="2463" t="s">
        <v>561</v>
      </c>
      <c r="N13" s="2463"/>
      <c r="O13" s="2463"/>
      <c r="P13" s="2463"/>
      <c r="Q13" s="2440"/>
    </row>
    <row r="14" spans="1:17" s="360" customFormat="1" ht="18" customHeight="1">
      <c r="A14" s="359"/>
      <c r="B14" s="2409" t="s">
        <v>573</v>
      </c>
      <c r="C14" s="2410"/>
      <c r="D14" s="2446" t="s">
        <v>574</v>
      </c>
      <c r="E14" s="2447"/>
      <c r="F14" s="2447"/>
      <c r="G14" s="2447"/>
      <c r="H14" s="2447"/>
      <c r="I14" s="2447"/>
      <c r="J14" s="2447"/>
      <c r="K14" s="2447"/>
      <c r="L14" s="2447"/>
      <c r="M14" s="2448"/>
      <c r="N14" s="2449"/>
      <c r="O14" s="2449"/>
      <c r="P14" s="2449"/>
      <c r="Q14" s="2450"/>
    </row>
    <row r="15" spans="1:17" s="360" customFormat="1" ht="18" customHeight="1" thickBot="1">
      <c r="A15" s="359"/>
      <c r="B15" s="2451" t="s">
        <v>575</v>
      </c>
      <c r="C15" s="2452"/>
      <c r="D15" s="2453" t="s">
        <v>576</v>
      </c>
      <c r="E15" s="2454"/>
      <c r="F15" s="2454"/>
      <c r="G15" s="2454"/>
      <c r="H15" s="2454"/>
      <c r="I15" s="2454"/>
      <c r="J15" s="2454"/>
      <c r="K15" s="2454"/>
      <c r="L15" s="2454"/>
      <c r="M15" s="2455" t="s">
        <v>577</v>
      </c>
      <c r="N15" s="2455"/>
      <c r="O15" s="2455"/>
      <c r="P15" s="2455"/>
      <c r="Q15" s="2456"/>
    </row>
    <row r="16" spans="1:17" s="360" customFormat="1" ht="18" customHeight="1">
      <c r="A16" s="359"/>
    </row>
    <row r="17" spans="1:19" s="356" customFormat="1" ht="18" customHeight="1" thickBot="1">
      <c r="A17" s="358"/>
      <c r="B17" s="362" t="s">
        <v>578</v>
      </c>
      <c r="C17" s="358"/>
      <c r="D17" s="358"/>
      <c r="E17" s="363"/>
      <c r="K17" s="358"/>
      <c r="L17" s="358"/>
      <c r="M17" s="358"/>
      <c r="N17" s="358"/>
      <c r="O17" s="358"/>
      <c r="P17" s="358"/>
    </row>
    <row r="18" spans="1:19" s="360" customFormat="1" ht="18" customHeight="1" thickBot="1">
      <c r="A18" s="359"/>
      <c r="B18" s="2439" t="s">
        <v>559</v>
      </c>
      <c r="C18" s="2440"/>
      <c r="D18" s="1410" t="s">
        <v>579</v>
      </c>
      <c r="E18" s="1143"/>
      <c r="F18" s="1143"/>
      <c r="G18" s="1143"/>
      <c r="H18" s="2441"/>
      <c r="I18" s="2441"/>
      <c r="J18" s="2441"/>
      <c r="K18" s="2441"/>
      <c r="L18" s="2441"/>
      <c r="M18" s="2441"/>
      <c r="N18" s="2441"/>
      <c r="O18" s="1589" t="s">
        <v>561</v>
      </c>
      <c r="P18" s="1589"/>
      <c r="Q18" s="1389"/>
    </row>
    <row r="19" spans="1:19" s="356" customFormat="1" ht="18" customHeight="1">
      <c r="A19" s="358"/>
      <c r="B19" s="2409" t="s">
        <v>580</v>
      </c>
      <c r="C19" s="2410"/>
      <c r="D19" s="2442" t="s">
        <v>581</v>
      </c>
      <c r="E19" s="2443"/>
      <c r="F19" s="2443"/>
      <c r="G19" s="2444"/>
      <c r="H19" s="1388" t="s">
        <v>582</v>
      </c>
      <c r="I19" s="1590"/>
      <c r="J19" s="874" t="s">
        <v>583</v>
      </c>
      <c r="K19" s="364" t="s">
        <v>584</v>
      </c>
      <c r="L19" s="875" t="s">
        <v>585</v>
      </c>
      <c r="M19" s="799" t="s">
        <v>586</v>
      </c>
      <c r="N19" s="876" t="s">
        <v>587</v>
      </c>
      <c r="O19" s="2417"/>
      <c r="P19" s="2415"/>
      <c r="Q19" s="2416"/>
    </row>
    <row r="20" spans="1:19" s="356" customFormat="1" ht="18" customHeight="1" thickBot="1">
      <c r="A20" s="358"/>
      <c r="B20" s="2409"/>
      <c r="C20" s="2410"/>
      <c r="D20" s="2442"/>
      <c r="E20" s="2443"/>
      <c r="F20" s="2443"/>
      <c r="G20" s="2444"/>
      <c r="H20" s="1415" t="s">
        <v>588</v>
      </c>
      <c r="I20" s="2445"/>
      <c r="J20" s="877">
        <v>2.8</v>
      </c>
      <c r="K20" s="878">
        <v>2.7</v>
      </c>
      <c r="L20" s="879">
        <v>2.6</v>
      </c>
      <c r="M20" s="465">
        <v>2.5</v>
      </c>
      <c r="N20" s="260">
        <v>2.4</v>
      </c>
      <c r="O20" s="2417"/>
      <c r="P20" s="2415"/>
      <c r="Q20" s="2416"/>
    </row>
    <row r="21" spans="1:19" s="356" customFormat="1" ht="18" customHeight="1">
      <c r="A21" s="358"/>
      <c r="B21" s="2409" t="s">
        <v>589</v>
      </c>
      <c r="C21" s="2410"/>
      <c r="D21" s="2411" t="s">
        <v>590</v>
      </c>
      <c r="E21" s="2412"/>
      <c r="F21" s="2412"/>
      <c r="G21" s="2426"/>
      <c r="H21" s="2437" t="s">
        <v>591</v>
      </c>
      <c r="I21" s="2438" t="s">
        <v>592</v>
      </c>
      <c r="J21" s="2438"/>
      <c r="K21" s="2438"/>
      <c r="L21" s="2438" t="s">
        <v>593</v>
      </c>
      <c r="M21" s="2438"/>
      <c r="N21" s="2436" t="s">
        <v>594</v>
      </c>
      <c r="O21" s="2427" t="s">
        <v>595</v>
      </c>
      <c r="P21" s="2428"/>
      <c r="Q21" s="2429"/>
      <c r="S21" s="880"/>
    </row>
    <row r="22" spans="1:19" s="356" customFormat="1" ht="24">
      <c r="A22" s="358"/>
      <c r="B22" s="2409"/>
      <c r="C22" s="2410"/>
      <c r="D22" s="2411"/>
      <c r="E22" s="2412"/>
      <c r="F22" s="2412"/>
      <c r="G22" s="2426"/>
      <c r="H22" s="1144"/>
      <c r="I22" s="864" t="s">
        <v>596</v>
      </c>
      <c r="J22" s="1145" t="s">
        <v>64</v>
      </c>
      <c r="K22" s="1145"/>
      <c r="L22" s="800" t="s">
        <v>597</v>
      </c>
      <c r="M22" s="864" t="s">
        <v>59</v>
      </c>
      <c r="N22" s="2187"/>
      <c r="O22" s="2427"/>
      <c r="P22" s="2428"/>
      <c r="Q22" s="2429"/>
      <c r="S22" s="880"/>
    </row>
    <row r="23" spans="1:19" s="356" customFormat="1" ht="18" customHeight="1">
      <c r="A23" s="358"/>
      <c r="B23" s="2409"/>
      <c r="C23" s="2410"/>
      <c r="D23" s="2411"/>
      <c r="E23" s="2412"/>
      <c r="F23" s="2412"/>
      <c r="G23" s="2426"/>
      <c r="H23" s="863" t="s">
        <v>65</v>
      </c>
      <c r="I23" s="325">
        <v>1.08</v>
      </c>
      <c r="J23" s="1194" t="s">
        <v>598</v>
      </c>
      <c r="K23" s="1194"/>
      <c r="L23" s="325">
        <v>0.36</v>
      </c>
      <c r="M23" s="325">
        <v>7.0000000000000007E-2</v>
      </c>
      <c r="N23" s="2433">
        <v>2.76</v>
      </c>
      <c r="O23" s="2427"/>
      <c r="P23" s="2428"/>
      <c r="Q23" s="2429"/>
      <c r="S23" s="880"/>
    </row>
    <row r="24" spans="1:19" s="356" customFormat="1" ht="18" customHeight="1">
      <c r="A24" s="358"/>
      <c r="B24" s="2409"/>
      <c r="C24" s="2410"/>
      <c r="D24" s="2411"/>
      <c r="E24" s="2412"/>
      <c r="F24" s="2412"/>
      <c r="G24" s="2426"/>
      <c r="H24" s="801" t="s">
        <v>599</v>
      </c>
      <c r="I24" s="325">
        <v>1.2</v>
      </c>
      <c r="J24" s="1194" t="s">
        <v>600</v>
      </c>
      <c r="K24" s="1194"/>
      <c r="L24" s="325">
        <v>0.36</v>
      </c>
      <c r="M24" s="325">
        <v>7.0000000000000007E-2</v>
      </c>
      <c r="N24" s="2433"/>
      <c r="O24" s="2427"/>
      <c r="P24" s="2428"/>
      <c r="Q24" s="2429"/>
      <c r="S24" s="880"/>
    </row>
    <row r="25" spans="1:19" s="356" customFormat="1" ht="24.75" thickBot="1">
      <c r="A25" s="358"/>
      <c r="B25" s="2409"/>
      <c r="C25" s="2410"/>
      <c r="D25" s="2411"/>
      <c r="E25" s="2412"/>
      <c r="F25" s="2412"/>
      <c r="G25" s="2426"/>
      <c r="H25" s="802" t="s">
        <v>601</v>
      </c>
      <c r="I25" s="865">
        <v>0.84</v>
      </c>
      <c r="J25" s="2435" t="s">
        <v>602</v>
      </c>
      <c r="K25" s="2435"/>
      <c r="L25" s="865"/>
      <c r="M25" s="414">
        <v>7.0000000000000007E-2</v>
      </c>
      <c r="N25" s="2434"/>
      <c r="O25" s="2427"/>
      <c r="P25" s="2428"/>
      <c r="Q25" s="2429"/>
      <c r="S25" s="880"/>
    </row>
    <row r="26" spans="1:19" s="356" customFormat="1" ht="18" customHeight="1">
      <c r="A26" s="358"/>
      <c r="B26" s="2424" t="s">
        <v>603</v>
      </c>
      <c r="C26" s="2425"/>
      <c r="D26" s="2411" t="s">
        <v>604</v>
      </c>
      <c r="E26" s="2412"/>
      <c r="F26" s="2412"/>
      <c r="G26" s="2426"/>
      <c r="H26" s="881" t="s">
        <v>605</v>
      </c>
      <c r="I26" s="882" t="s">
        <v>606</v>
      </c>
      <c r="J26" s="883" t="s">
        <v>607</v>
      </c>
      <c r="K26" s="884" t="s">
        <v>608</v>
      </c>
      <c r="L26" s="842" t="s">
        <v>609</v>
      </c>
      <c r="M26" s="882" t="s">
        <v>610</v>
      </c>
      <c r="N26" s="885" t="s">
        <v>611</v>
      </c>
      <c r="O26" s="2427" t="s">
        <v>612</v>
      </c>
      <c r="P26" s="2428"/>
      <c r="Q26" s="2429"/>
      <c r="S26" s="880"/>
    </row>
    <row r="27" spans="1:19" s="356" customFormat="1" ht="18" customHeight="1" thickBot="1">
      <c r="A27" s="358"/>
      <c r="B27" s="2424"/>
      <c r="C27" s="2425"/>
      <c r="D27" s="2411"/>
      <c r="E27" s="2412"/>
      <c r="F27" s="2412"/>
      <c r="G27" s="2426"/>
      <c r="H27" s="886" t="s">
        <v>613</v>
      </c>
      <c r="I27" s="841">
        <v>0.7</v>
      </c>
      <c r="J27" s="887" t="s">
        <v>614</v>
      </c>
      <c r="K27" s="843">
        <v>0.66</v>
      </c>
      <c r="L27" s="844">
        <v>0.62</v>
      </c>
      <c r="M27" s="841">
        <v>0.57999999999999996</v>
      </c>
      <c r="N27" s="475">
        <v>0.54</v>
      </c>
      <c r="O27" s="2427"/>
      <c r="P27" s="2428"/>
      <c r="Q27" s="2429"/>
      <c r="S27" s="880"/>
    </row>
    <row r="28" spans="1:19" s="356" customFormat="1" ht="18" customHeight="1">
      <c r="A28" s="358"/>
      <c r="B28" s="2424" t="s">
        <v>615</v>
      </c>
      <c r="C28" s="2425"/>
      <c r="D28" s="2411" t="s">
        <v>616</v>
      </c>
      <c r="E28" s="2412"/>
      <c r="F28" s="2412"/>
      <c r="G28" s="2426"/>
      <c r="H28" s="2430" t="s">
        <v>617</v>
      </c>
      <c r="I28" s="2431"/>
      <c r="J28" s="803" t="s">
        <v>618</v>
      </c>
      <c r="K28" s="804" t="s">
        <v>619</v>
      </c>
      <c r="L28" s="364" t="s">
        <v>620</v>
      </c>
      <c r="M28" s="805" t="s">
        <v>621</v>
      </c>
      <c r="N28" s="806" t="s">
        <v>622</v>
      </c>
      <c r="O28" s="2427"/>
      <c r="P28" s="2428"/>
      <c r="Q28" s="2429"/>
      <c r="S28" s="880"/>
    </row>
    <row r="29" spans="1:19" s="356" customFormat="1" ht="18" customHeight="1" thickBot="1">
      <c r="A29" s="358"/>
      <c r="B29" s="2424"/>
      <c r="C29" s="2425"/>
      <c r="D29" s="2411"/>
      <c r="E29" s="2412"/>
      <c r="F29" s="2412"/>
      <c r="G29" s="2426"/>
      <c r="H29" s="2376" t="s">
        <v>623</v>
      </c>
      <c r="I29" s="2432"/>
      <c r="J29" s="365">
        <v>0.2</v>
      </c>
      <c r="K29" s="366">
        <v>0.17</v>
      </c>
      <c r="L29" s="367">
        <v>0.15</v>
      </c>
      <c r="M29" s="807">
        <v>0.12</v>
      </c>
      <c r="N29" s="808">
        <v>0.05</v>
      </c>
      <c r="O29" s="2427"/>
      <c r="P29" s="2428"/>
      <c r="Q29" s="2429"/>
      <c r="S29" s="880"/>
    </row>
    <row r="30" spans="1:19" s="356" customFormat="1" ht="18" customHeight="1">
      <c r="A30" s="358"/>
      <c r="B30" s="2409" t="s">
        <v>624</v>
      </c>
      <c r="C30" s="2410"/>
      <c r="D30" s="2411" t="s">
        <v>625</v>
      </c>
      <c r="E30" s="2412"/>
      <c r="F30" s="2412"/>
      <c r="G30" s="2412"/>
      <c r="H30" s="2413"/>
      <c r="I30" s="2413"/>
      <c r="J30" s="2413"/>
      <c r="K30" s="2413"/>
      <c r="L30" s="2413"/>
      <c r="M30" s="2413"/>
      <c r="N30" s="2413"/>
      <c r="O30" s="2415" t="s">
        <v>626</v>
      </c>
      <c r="P30" s="2415"/>
      <c r="Q30" s="2416"/>
      <c r="S30" s="880"/>
    </row>
    <row r="31" spans="1:19" s="356" customFormat="1" ht="18" customHeight="1" thickBot="1">
      <c r="A31" s="358"/>
      <c r="B31" s="2409"/>
      <c r="C31" s="2410"/>
      <c r="D31" s="2411"/>
      <c r="E31" s="2412"/>
      <c r="F31" s="2412"/>
      <c r="G31" s="2412"/>
      <c r="H31" s="2412"/>
      <c r="I31" s="2412"/>
      <c r="J31" s="2414"/>
      <c r="K31" s="2414"/>
      <c r="L31" s="2414"/>
      <c r="M31" s="2414"/>
      <c r="N31" s="2414"/>
      <c r="O31" s="2415"/>
      <c r="P31" s="2415"/>
      <c r="Q31" s="2416"/>
      <c r="S31" s="880"/>
    </row>
    <row r="32" spans="1:19" s="356" customFormat="1" ht="18" customHeight="1">
      <c r="A32" s="358"/>
      <c r="B32" s="2409" t="s">
        <v>627</v>
      </c>
      <c r="C32" s="2410"/>
      <c r="D32" s="2388" t="s">
        <v>628</v>
      </c>
      <c r="E32" s="2389"/>
      <c r="F32" s="2389"/>
      <c r="G32" s="2389"/>
      <c r="H32" s="2389"/>
      <c r="I32" s="2389"/>
      <c r="J32" s="2420" t="s">
        <v>629</v>
      </c>
      <c r="K32" s="2421"/>
      <c r="L32" s="888" t="s">
        <v>630</v>
      </c>
      <c r="M32" s="888" t="s">
        <v>631</v>
      </c>
      <c r="N32" s="889" t="s">
        <v>632</v>
      </c>
      <c r="O32" s="2417"/>
      <c r="P32" s="2415"/>
      <c r="Q32" s="2416"/>
      <c r="S32" s="880"/>
    </row>
    <row r="33" spans="1:19" s="356" customFormat="1" ht="18" customHeight="1" thickBot="1">
      <c r="A33" s="358"/>
      <c r="B33" s="2409"/>
      <c r="C33" s="2410"/>
      <c r="D33" s="2418"/>
      <c r="E33" s="2419"/>
      <c r="F33" s="2419"/>
      <c r="G33" s="2419"/>
      <c r="H33" s="2419"/>
      <c r="I33" s="2419"/>
      <c r="J33" s="2422" t="s">
        <v>588</v>
      </c>
      <c r="K33" s="2423"/>
      <c r="L33" s="793">
        <v>4.4999999999999998E-2</v>
      </c>
      <c r="M33" s="793">
        <v>0.04</v>
      </c>
      <c r="N33" s="794">
        <v>0.03</v>
      </c>
      <c r="O33" s="2417"/>
      <c r="P33" s="2415"/>
      <c r="Q33" s="2416"/>
      <c r="S33" s="880"/>
    </row>
    <row r="34" spans="1:19" s="356" customFormat="1" ht="18" customHeight="1" thickBot="1">
      <c r="A34" s="358"/>
      <c r="B34" s="2382" t="s">
        <v>633</v>
      </c>
      <c r="C34" s="2383"/>
      <c r="D34" s="2388" t="s">
        <v>634</v>
      </c>
      <c r="E34" s="2389"/>
      <c r="F34" s="2389"/>
      <c r="G34" s="2389"/>
      <c r="H34" s="2389"/>
      <c r="I34" s="2390"/>
      <c r="J34" s="2397" t="s">
        <v>635</v>
      </c>
      <c r="K34" s="2398"/>
      <c r="L34" s="2398"/>
      <c r="M34" s="2399"/>
      <c r="N34" s="890" t="s">
        <v>613</v>
      </c>
      <c r="O34" s="2400" t="s">
        <v>636</v>
      </c>
      <c r="P34" s="2400"/>
      <c r="Q34" s="2401"/>
      <c r="S34" s="880"/>
    </row>
    <row r="35" spans="1:19" s="356" customFormat="1" ht="18" customHeight="1">
      <c r="A35" s="358"/>
      <c r="B35" s="2384"/>
      <c r="C35" s="2385"/>
      <c r="D35" s="2391"/>
      <c r="E35" s="2392"/>
      <c r="F35" s="2392"/>
      <c r="G35" s="2392"/>
      <c r="H35" s="2392"/>
      <c r="I35" s="2393"/>
      <c r="J35" s="2406" t="s">
        <v>637</v>
      </c>
      <c r="K35" s="2407"/>
      <c r="L35" s="2407"/>
      <c r="M35" s="2408"/>
      <c r="N35" s="891">
        <v>7.0000000000000007E-2</v>
      </c>
      <c r="O35" s="2402"/>
      <c r="P35" s="2402"/>
      <c r="Q35" s="2403"/>
      <c r="S35" s="880"/>
    </row>
    <row r="36" spans="1:19" s="356" customFormat="1" ht="18" customHeight="1">
      <c r="A36" s="358"/>
      <c r="B36" s="2384"/>
      <c r="C36" s="2385"/>
      <c r="D36" s="2391"/>
      <c r="E36" s="2392"/>
      <c r="F36" s="2392"/>
      <c r="G36" s="2392"/>
      <c r="H36" s="2392"/>
      <c r="I36" s="2393"/>
      <c r="J36" s="2370" t="s">
        <v>638</v>
      </c>
      <c r="K36" s="2371"/>
      <c r="L36" s="2371"/>
      <c r="M36" s="2372"/>
      <c r="N36" s="891">
        <v>3.5000000000000003E-2</v>
      </c>
      <c r="O36" s="2402"/>
      <c r="P36" s="2402"/>
      <c r="Q36" s="2403"/>
      <c r="S36" s="880"/>
    </row>
    <row r="37" spans="1:19" s="356" customFormat="1" ht="18" customHeight="1">
      <c r="A37" s="358"/>
      <c r="B37" s="2384"/>
      <c r="C37" s="2385"/>
      <c r="D37" s="2391"/>
      <c r="E37" s="2392"/>
      <c r="F37" s="2392"/>
      <c r="G37" s="2392"/>
      <c r="H37" s="2392"/>
      <c r="I37" s="2393"/>
      <c r="J37" s="2370" t="s">
        <v>639</v>
      </c>
      <c r="K37" s="2371"/>
      <c r="L37" s="2371"/>
      <c r="M37" s="2372"/>
      <c r="N37" s="891">
        <v>3.5000000000000003E-2</v>
      </c>
      <c r="O37" s="2402"/>
      <c r="P37" s="2402"/>
      <c r="Q37" s="2403"/>
      <c r="S37" s="880"/>
    </row>
    <row r="38" spans="1:19" s="356" customFormat="1" ht="18" customHeight="1" thickBot="1">
      <c r="A38" s="358"/>
      <c r="B38" s="2386"/>
      <c r="C38" s="2387"/>
      <c r="D38" s="2394"/>
      <c r="E38" s="2395"/>
      <c r="F38" s="2395"/>
      <c r="G38" s="2395"/>
      <c r="H38" s="2395"/>
      <c r="I38" s="2396"/>
      <c r="J38" s="2373" t="s">
        <v>640</v>
      </c>
      <c r="K38" s="2374"/>
      <c r="L38" s="2374"/>
      <c r="M38" s="2375"/>
      <c r="N38" s="892">
        <v>3.5000000000000003E-2</v>
      </c>
      <c r="O38" s="2404"/>
      <c r="P38" s="2404"/>
      <c r="Q38" s="2405"/>
      <c r="S38" s="880"/>
    </row>
    <row r="39" spans="1:19" ht="18" customHeight="1" thickBot="1">
      <c r="B39" s="2376" t="s">
        <v>641</v>
      </c>
      <c r="C39" s="2377"/>
      <c r="D39" s="2378" t="s">
        <v>642</v>
      </c>
      <c r="E39" s="2379"/>
      <c r="F39" s="2379"/>
      <c r="G39" s="2379"/>
      <c r="H39" s="2379"/>
      <c r="I39" s="2379"/>
      <c r="J39" s="2379"/>
      <c r="K39" s="2379"/>
      <c r="L39" s="2379"/>
      <c r="M39" s="2379"/>
      <c r="N39" s="2379"/>
      <c r="O39" s="2380" t="s">
        <v>643</v>
      </c>
      <c r="P39" s="2380"/>
      <c r="Q39" s="2381"/>
    </row>
    <row r="40" spans="1:19" ht="18" customHeight="1">
      <c r="Q40" s="893"/>
    </row>
    <row r="41" spans="1:19" ht="18" customHeight="1">
      <c r="A41" s="880"/>
      <c r="B41" s="880"/>
      <c r="C41" s="880"/>
      <c r="D41" s="880"/>
      <c r="E41" s="880"/>
      <c r="F41" s="880"/>
      <c r="G41" s="880"/>
      <c r="H41" s="880"/>
      <c r="I41" s="880"/>
      <c r="J41" s="880"/>
      <c r="K41" s="880"/>
      <c r="L41" s="880"/>
      <c r="M41" s="880"/>
      <c r="N41" s="880"/>
      <c r="O41" s="880"/>
      <c r="P41" s="880"/>
      <c r="Q41" s="893"/>
      <c r="R41" s="893"/>
    </row>
    <row r="42" spans="1:19" ht="18" customHeight="1">
      <c r="H42" s="880"/>
      <c r="I42" s="880"/>
      <c r="J42" s="880"/>
      <c r="K42" s="880"/>
      <c r="L42" s="880"/>
      <c r="M42" s="880"/>
      <c r="N42" s="880"/>
    </row>
    <row r="43" spans="1:19" ht="18" customHeight="1">
      <c r="H43" s="880"/>
      <c r="I43" s="880"/>
      <c r="J43" s="880"/>
      <c r="K43" s="880"/>
      <c r="L43" s="880"/>
      <c r="M43" s="880"/>
      <c r="N43" s="880"/>
    </row>
    <row r="44" spans="1:19" ht="18" customHeight="1">
      <c r="H44" s="880"/>
      <c r="I44" s="880"/>
      <c r="J44" s="880"/>
      <c r="K44" s="880"/>
      <c r="L44" s="880"/>
      <c r="M44" s="880"/>
      <c r="N44" s="880"/>
    </row>
    <row r="45" spans="1:19" ht="18" customHeight="1">
      <c r="A45" s="880"/>
      <c r="B45" s="880"/>
      <c r="C45" s="880"/>
      <c r="D45" s="880"/>
      <c r="E45" s="880"/>
      <c r="F45" s="880"/>
      <c r="G45" s="880"/>
      <c r="H45" s="880"/>
      <c r="I45" s="880"/>
      <c r="J45" s="880"/>
      <c r="K45" s="880"/>
      <c r="L45" s="880"/>
      <c r="M45" s="880"/>
      <c r="N45" s="880"/>
      <c r="O45" s="880"/>
      <c r="P45" s="880"/>
    </row>
    <row r="46" spans="1:19" ht="18" customHeight="1">
      <c r="A46" s="880"/>
      <c r="B46" s="880"/>
      <c r="C46" s="880"/>
      <c r="D46" s="880"/>
      <c r="E46" s="880"/>
      <c r="F46" s="880"/>
      <c r="G46" s="880"/>
      <c r="H46" s="880"/>
      <c r="I46" s="880"/>
      <c r="J46" s="880"/>
      <c r="K46" s="880"/>
      <c r="L46" s="880"/>
      <c r="M46" s="880"/>
      <c r="N46" s="880"/>
      <c r="O46" s="880"/>
      <c r="P46" s="880"/>
    </row>
    <row r="47" spans="1:19" ht="18" customHeight="1">
      <c r="A47" s="880"/>
      <c r="B47" s="880"/>
      <c r="C47" s="880"/>
      <c r="D47" s="880"/>
      <c r="E47" s="880"/>
      <c r="F47" s="880"/>
      <c r="G47" s="880"/>
      <c r="H47" s="880"/>
      <c r="I47" s="880"/>
      <c r="J47" s="880"/>
      <c r="K47" s="880"/>
      <c r="L47" s="880"/>
      <c r="M47" s="880"/>
      <c r="N47" s="880"/>
      <c r="O47" s="880"/>
      <c r="P47" s="880"/>
    </row>
    <row r="48" spans="1:19" ht="18" customHeight="1">
      <c r="A48" s="880"/>
      <c r="B48" s="880"/>
      <c r="C48" s="880"/>
      <c r="D48" s="880"/>
      <c r="E48" s="880"/>
      <c r="F48" s="880"/>
      <c r="G48" s="880"/>
      <c r="O48" s="880"/>
      <c r="P48" s="880"/>
    </row>
    <row r="49" spans="1:16" ht="18" customHeight="1">
      <c r="A49" s="880"/>
      <c r="B49" s="880"/>
      <c r="C49" s="880"/>
      <c r="D49" s="880"/>
      <c r="E49" s="880"/>
      <c r="F49" s="880"/>
      <c r="G49" s="880"/>
      <c r="O49" s="880"/>
      <c r="P49" s="880"/>
    </row>
  </sheetData>
  <mergeCells count="70">
    <mergeCell ref="B1:Q1"/>
    <mergeCell ref="B4:C4"/>
    <mergeCell ref="D4:J4"/>
    <mergeCell ref="K4:Q4"/>
    <mergeCell ref="B5:C5"/>
    <mergeCell ref="D5:J5"/>
    <mergeCell ref="K5:Q5"/>
    <mergeCell ref="B6:C6"/>
    <mergeCell ref="D6:J6"/>
    <mergeCell ref="K6:Q6"/>
    <mergeCell ref="B9:C9"/>
    <mergeCell ref="D9:J9"/>
    <mergeCell ref="K9:Q9"/>
    <mergeCell ref="B10:C10"/>
    <mergeCell ref="D10:J10"/>
    <mergeCell ref="K10:Q10"/>
    <mergeCell ref="B13:C13"/>
    <mergeCell ref="D13:L13"/>
    <mergeCell ref="M13:Q13"/>
    <mergeCell ref="B14:C14"/>
    <mergeCell ref="D14:L14"/>
    <mergeCell ref="M14:Q14"/>
    <mergeCell ref="B15:C15"/>
    <mergeCell ref="D15:L15"/>
    <mergeCell ref="M15:Q15"/>
    <mergeCell ref="B18:C18"/>
    <mergeCell ref="D18:N18"/>
    <mergeCell ref="O18:Q18"/>
    <mergeCell ref="B19:C20"/>
    <mergeCell ref="D19:G20"/>
    <mergeCell ref="H19:I19"/>
    <mergeCell ref="O19:Q20"/>
    <mergeCell ref="H20:I20"/>
    <mergeCell ref="B21:C25"/>
    <mergeCell ref="D21:G25"/>
    <mergeCell ref="H21:H22"/>
    <mergeCell ref="I21:K21"/>
    <mergeCell ref="L21:M21"/>
    <mergeCell ref="O21:Q25"/>
    <mergeCell ref="J22:K22"/>
    <mergeCell ref="J23:K23"/>
    <mergeCell ref="N23:N25"/>
    <mergeCell ref="J24:K24"/>
    <mergeCell ref="J25:K25"/>
    <mergeCell ref="N21:N22"/>
    <mergeCell ref="B26:C27"/>
    <mergeCell ref="D26:G27"/>
    <mergeCell ref="O26:Q29"/>
    <mergeCell ref="B28:C29"/>
    <mergeCell ref="D28:G29"/>
    <mergeCell ref="H28:I28"/>
    <mergeCell ref="H29:I29"/>
    <mergeCell ref="B30:C31"/>
    <mergeCell ref="D30:N31"/>
    <mergeCell ref="O30:Q33"/>
    <mergeCell ref="B32:C33"/>
    <mergeCell ref="D32:I33"/>
    <mergeCell ref="J32:K32"/>
    <mergeCell ref="J33:K33"/>
    <mergeCell ref="J37:M37"/>
    <mergeCell ref="J38:M38"/>
    <mergeCell ref="B39:C39"/>
    <mergeCell ref="D39:N39"/>
    <mergeCell ref="O39:Q39"/>
    <mergeCell ref="B34:C38"/>
    <mergeCell ref="D34:I38"/>
    <mergeCell ref="J34:M34"/>
    <mergeCell ref="O34:Q38"/>
    <mergeCell ref="J35:M35"/>
    <mergeCell ref="J36:M36"/>
  </mergeCells>
  <phoneticPr fontId="100" type="noConversion"/>
  <printOptions horizontalCentered="1" verticalCentered="1"/>
  <pageMargins left="0.31496062992125984" right="0.31496062992125984" top="0.31496062992125984" bottom="0.31496062992125984" header="0" footer="0"/>
  <pageSetup paperSize="9" scale="7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B1:R5"/>
  <sheetViews>
    <sheetView zoomScaleNormal="100" workbookViewId="0">
      <selection activeCell="E13" sqref="E13"/>
    </sheetView>
  </sheetViews>
  <sheetFormatPr defaultRowHeight="18" customHeight="1"/>
  <cols>
    <col min="1" max="1" width="1" style="215" customWidth="1"/>
    <col min="2" max="8" width="9" style="215"/>
    <col min="9" max="14" width="9" style="215" customWidth="1"/>
    <col min="15" max="17" width="9" style="215"/>
    <col min="18" max="18" width="17" style="215" customWidth="1"/>
    <col min="19" max="16384" width="9" style="215"/>
  </cols>
  <sheetData>
    <row r="1" spans="2:18" customFormat="1" ht="30" customHeight="1" thickBot="1">
      <c r="B1" s="1083" t="s">
        <v>439</v>
      </c>
      <c r="C1" s="1083"/>
      <c r="D1" s="1083"/>
      <c r="E1" s="1083"/>
      <c r="F1" s="1083"/>
      <c r="G1" s="1083"/>
      <c r="H1" s="1083"/>
      <c r="I1" s="1083"/>
      <c r="J1" s="1083"/>
      <c r="K1" s="1083"/>
      <c r="L1" s="1083"/>
      <c r="M1" s="1083"/>
      <c r="N1" s="1083"/>
      <c r="O1" s="1083"/>
      <c r="P1" s="1083"/>
      <c r="Q1" s="1083"/>
      <c r="R1" s="1083"/>
    </row>
    <row r="2" spans="2:18" ht="18" customHeight="1" thickTop="1"/>
    <row r="3" spans="2:18" ht="18" customHeight="1">
      <c r="B3" s="349" t="s">
        <v>246</v>
      </c>
    </row>
    <row r="4" spans="2:18" ht="18" customHeight="1">
      <c r="B4" s="349" t="s">
        <v>434</v>
      </c>
    </row>
    <row r="5" spans="2:18" ht="18" customHeight="1">
      <c r="B5" s="349"/>
    </row>
  </sheetData>
  <mergeCells count="1">
    <mergeCell ref="B1:R1"/>
  </mergeCells>
  <phoneticPr fontId="100" type="noConversion"/>
  <printOptions horizontalCentered="1"/>
  <pageMargins left="0.31496062992125984" right="0.31496062992125984" top="0.31496062992125984" bottom="0.19685039370078741" header="0" footer="0"/>
  <pageSetup paperSize="9" scale="80" orientation="landscape"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O53"/>
  <sheetViews>
    <sheetView zoomScaleNormal="100" workbookViewId="0">
      <pane ySplit="1" topLeftCell="A2" activePane="bottomLeft" state="frozen"/>
      <selection activeCell="B1" sqref="B1:O1"/>
      <selection pane="bottomLeft" activeCell="B1" sqref="B1:AK1"/>
    </sheetView>
  </sheetViews>
  <sheetFormatPr defaultRowHeight="18" customHeight="1"/>
  <cols>
    <col min="1" max="1" width="0.625" style="894" customWidth="1"/>
    <col min="2" max="2" width="5" style="894" customWidth="1"/>
    <col min="3" max="3" width="16.75" style="894" bestFit="1" customWidth="1"/>
    <col min="4" max="4" width="5.625" style="896" customWidth="1"/>
    <col min="5" max="5" width="9" style="896" bestFit="1" customWidth="1"/>
    <col min="6" max="6" width="7.625" style="894" bestFit="1" customWidth="1"/>
    <col min="7" max="7" width="6.625" style="894" customWidth="1"/>
    <col min="8" max="8" width="6" style="894" bestFit="1" customWidth="1"/>
    <col min="9" max="9" width="6.625" style="894" customWidth="1"/>
    <col min="10" max="10" width="4.625" style="894" bestFit="1" customWidth="1"/>
    <col min="11" max="11" width="5.875" style="894" bestFit="1" customWidth="1"/>
    <col min="12" max="12" width="6.625" style="894" customWidth="1"/>
    <col min="13" max="13" width="7.5" style="894" bestFit="1" customWidth="1"/>
    <col min="14" max="14" width="6.625" style="894" customWidth="1"/>
    <col min="15" max="15" width="7.5" style="894" bestFit="1" customWidth="1"/>
    <col min="16" max="16" width="10.5" style="894" bestFit="1" customWidth="1"/>
    <col min="17" max="18" width="7.5" style="894" bestFit="1" customWidth="1"/>
    <col min="19" max="19" width="6" style="894" bestFit="1" customWidth="1"/>
    <col min="20" max="20" width="5.875" style="894" bestFit="1" customWidth="1"/>
    <col min="21" max="21" width="8.5" style="894" bestFit="1" customWidth="1"/>
    <col min="22" max="22" width="6.75" style="894" bestFit="1" customWidth="1"/>
    <col min="23" max="23" width="5.875" style="894" bestFit="1" customWidth="1"/>
    <col min="24" max="24" width="8.5" style="894" bestFit="1" customWidth="1"/>
    <col min="25" max="25" width="6.75" style="894" bestFit="1" customWidth="1"/>
    <col min="26" max="26" width="5.875" style="894" bestFit="1" customWidth="1"/>
    <col min="27" max="27" width="8.5" style="894" bestFit="1" customWidth="1"/>
    <col min="28" max="28" width="6.75" style="894" bestFit="1" customWidth="1"/>
    <col min="29" max="29" width="5.875" style="894" bestFit="1" customWidth="1"/>
    <col min="30" max="30" width="8.5" style="894" bestFit="1" customWidth="1"/>
    <col min="31" max="31" width="6.75" style="894" bestFit="1" customWidth="1"/>
    <col min="32" max="32" width="5.875" style="894" bestFit="1" customWidth="1"/>
    <col min="33" max="33" width="8.5" style="894" bestFit="1" customWidth="1"/>
    <col min="34" max="34" width="6.75" style="894" bestFit="1" customWidth="1"/>
    <col min="35" max="35" width="5.875" style="894" bestFit="1" customWidth="1"/>
    <col min="36" max="36" width="8.5" style="894" bestFit="1" customWidth="1"/>
    <col min="37" max="37" width="6.75" style="894" bestFit="1" customWidth="1"/>
    <col min="38" max="38" width="9.75" style="894" bestFit="1" customWidth="1"/>
    <col min="39" max="16384" width="9" style="894"/>
  </cols>
  <sheetData>
    <row r="1" spans="1:41" s="143" customFormat="1" ht="30" customHeight="1" thickBot="1">
      <c r="B1" s="2469" t="s">
        <v>949</v>
      </c>
      <c r="C1" s="2469"/>
      <c r="D1" s="2469"/>
      <c r="E1" s="2469"/>
      <c r="F1" s="2469"/>
      <c r="G1" s="2469"/>
      <c r="H1" s="2469"/>
      <c r="I1" s="2469"/>
      <c r="J1" s="2469"/>
      <c r="K1" s="2469"/>
      <c r="L1" s="2469"/>
      <c r="M1" s="2469"/>
      <c r="N1" s="2469"/>
      <c r="O1" s="2469"/>
      <c r="P1" s="2469"/>
      <c r="Q1" s="2469"/>
      <c r="R1" s="2469"/>
      <c r="S1" s="2469"/>
      <c r="T1" s="2469"/>
      <c r="U1" s="2469"/>
      <c r="V1" s="2469"/>
      <c r="W1" s="2469"/>
      <c r="X1" s="2469"/>
      <c r="Y1" s="2469"/>
      <c r="Z1" s="2469"/>
      <c r="AA1" s="2469"/>
      <c r="AB1" s="2469"/>
      <c r="AC1" s="2469"/>
      <c r="AD1" s="2469"/>
      <c r="AE1" s="2469"/>
      <c r="AF1" s="2469"/>
      <c r="AG1" s="2469"/>
      <c r="AH1" s="2469"/>
      <c r="AI1" s="2469"/>
      <c r="AJ1" s="2469"/>
      <c r="AK1" s="2469"/>
    </row>
    <row r="2" spans="1:41" s="235" customFormat="1" ht="6" customHeight="1" thickTop="1">
      <c r="A2" s="65"/>
      <c r="B2" s="64"/>
      <c r="C2" s="64"/>
      <c r="D2" s="368"/>
      <c r="E2" s="368"/>
      <c r="F2" s="64"/>
      <c r="G2" s="64"/>
      <c r="H2" s="65"/>
      <c r="I2" s="65"/>
      <c r="J2" s="65"/>
      <c r="K2" s="65"/>
      <c r="L2" s="65"/>
      <c r="M2" s="66"/>
      <c r="N2" s="66"/>
      <c r="O2" s="65"/>
      <c r="P2" s="65"/>
      <c r="Q2" s="65"/>
      <c r="R2" s="65"/>
      <c r="S2" s="65"/>
      <c r="T2" s="65"/>
      <c r="U2" s="65"/>
      <c r="V2" s="65"/>
      <c r="W2" s="65"/>
      <c r="X2" s="65"/>
      <c r="Y2" s="65"/>
      <c r="Z2" s="65"/>
      <c r="AA2" s="65"/>
      <c r="AB2" s="65"/>
      <c r="AC2" s="65"/>
      <c r="AD2" s="65"/>
      <c r="AE2" s="65"/>
      <c r="AF2" s="65"/>
      <c r="AG2" s="65"/>
      <c r="AH2" s="65"/>
      <c r="AI2" s="65"/>
      <c r="AJ2" s="65"/>
      <c r="AK2" s="65"/>
    </row>
    <row r="3" spans="1:41" s="262" customFormat="1" ht="18" customHeight="1">
      <c r="B3" s="350" t="s">
        <v>950</v>
      </c>
      <c r="C3" s="261"/>
      <c r="D3" s="261"/>
      <c r="E3" s="261"/>
      <c r="F3" s="261"/>
      <c r="G3" s="261"/>
      <c r="M3" s="263"/>
      <c r="N3" s="263"/>
      <c r="O3" s="263"/>
    </row>
    <row r="4" spans="1:41" s="235" customFormat="1" ht="6" customHeight="1" thickBot="1">
      <c r="A4" s="65"/>
      <c r="B4" s="64"/>
      <c r="C4" s="64"/>
      <c r="D4" s="368"/>
      <c r="E4" s="368"/>
      <c r="F4" s="64"/>
      <c r="G4" s="64"/>
      <c r="H4" s="65"/>
      <c r="I4" s="65"/>
      <c r="J4" s="65"/>
      <c r="K4" s="65"/>
      <c r="L4" s="65"/>
      <c r="M4" s="66"/>
      <c r="N4" s="66"/>
      <c r="O4" s="65"/>
      <c r="P4" s="65"/>
      <c r="Q4" s="65"/>
      <c r="R4" s="65"/>
      <c r="S4" s="65"/>
      <c r="T4" s="65"/>
      <c r="U4" s="65"/>
      <c r="V4" s="65"/>
      <c r="W4" s="65"/>
      <c r="X4" s="65"/>
      <c r="Y4" s="65"/>
      <c r="Z4" s="65"/>
      <c r="AA4" s="65"/>
      <c r="AB4" s="65"/>
      <c r="AC4" s="65"/>
      <c r="AD4" s="65"/>
      <c r="AE4" s="65"/>
      <c r="AF4" s="65"/>
      <c r="AG4" s="65"/>
      <c r="AH4" s="65"/>
      <c r="AI4" s="65"/>
      <c r="AJ4" s="65"/>
      <c r="AK4" s="65"/>
    </row>
    <row r="5" spans="1:41" ht="24" customHeight="1">
      <c r="B5" s="2540" t="s">
        <v>883</v>
      </c>
      <c r="C5" s="2541"/>
      <c r="D5" s="2541"/>
      <c r="E5" s="2542"/>
      <c r="F5" s="1205" t="s">
        <v>951</v>
      </c>
      <c r="G5" s="1207" t="s">
        <v>952</v>
      </c>
      <c r="H5" s="845" t="s">
        <v>953</v>
      </c>
      <c r="I5" s="2543" t="s">
        <v>954</v>
      </c>
      <c r="J5" s="2544"/>
      <c r="K5" s="2544"/>
      <c r="L5" s="2543" t="s">
        <v>955</v>
      </c>
      <c r="M5" s="2545"/>
      <c r="N5" s="2543" t="s">
        <v>956</v>
      </c>
      <c r="O5" s="2545"/>
      <c r="P5" s="939" t="s">
        <v>957</v>
      </c>
      <c r="Q5" s="460" t="s">
        <v>958</v>
      </c>
      <c r="R5" s="939" t="s">
        <v>959</v>
      </c>
      <c r="S5" s="2546" t="s">
        <v>960</v>
      </c>
      <c r="T5" s="2534" t="s">
        <v>886</v>
      </c>
      <c r="U5" s="2535"/>
      <c r="V5" s="2548"/>
      <c r="W5" s="2549" t="s">
        <v>887</v>
      </c>
      <c r="X5" s="2550"/>
      <c r="Y5" s="809">
        <v>0.93</v>
      </c>
      <c r="Z5" s="2534" t="s">
        <v>888</v>
      </c>
      <c r="AA5" s="2535"/>
      <c r="AB5" s="940">
        <v>0.86</v>
      </c>
      <c r="AC5" s="2536" t="s">
        <v>889</v>
      </c>
      <c r="AD5" s="2535"/>
      <c r="AE5" s="940">
        <v>0.83</v>
      </c>
      <c r="AF5" s="2534" t="s">
        <v>890</v>
      </c>
      <c r="AG5" s="2535"/>
      <c r="AH5" s="940">
        <v>0.75</v>
      </c>
      <c r="AI5" s="2536" t="s">
        <v>891</v>
      </c>
      <c r="AJ5" s="2535"/>
      <c r="AK5" s="940">
        <v>0.7</v>
      </c>
      <c r="AL5" s="810"/>
    </row>
    <row r="6" spans="1:41" ht="24" customHeight="1" thickBot="1">
      <c r="B6" s="936" t="s">
        <v>961</v>
      </c>
      <c r="C6" s="2537" t="s">
        <v>962</v>
      </c>
      <c r="D6" s="2537"/>
      <c r="E6" s="369" t="s">
        <v>963</v>
      </c>
      <c r="F6" s="1206"/>
      <c r="G6" s="1208"/>
      <c r="H6" s="846">
        <v>2.7</v>
      </c>
      <c r="I6" s="811" t="s">
        <v>964</v>
      </c>
      <c r="J6" s="2538" t="s">
        <v>965</v>
      </c>
      <c r="K6" s="2539"/>
      <c r="L6" s="811" t="s">
        <v>964</v>
      </c>
      <c r="M6" s="811" t="s">
        <v>966</v>
      </c>
      <c r="N6" s="811" t="s">
        <v>964</v>
      </c>
      <c r="O6" s="811" t="s">
        <v>966</v>
      </c>
      <c r="P6" s="938" t="s">
        <v>964</v>
      </c>
      <c r="Q6" s="811" t="s">
        <v>967</v>
      </c>
      <c r="R6" s="812" t="s">
        <v>968</v>
      </c>
      <c r="S6" s="2547"/>
      <c r="T6" s="952" t="s">
        <v>902</v>
      </c>
      <c r="U6" s="953" t="s">
        <v>903</v>
      </c>
      <c r="V6" s="954" t="s">
        <v>904</v>
      </c>
      <c r="W6" s="955" t="s">
        <v>902</v>
      </c>
      <c r="X6" s="953" t="s">
        <v>903</v>
      </c>
      <c r="Y6" s="956" t="s">
        <v>904</v>
      </c>
      <c r="Z6" s="952" t="s">
        <v>902</v>
      </c>
      <c r="AA6" s="953" t="s">
        <v>903</v>
      </c>
      <c r="AB6" s="954" t="s">
        <v>904</v>
      </c>
      <c r="AC6" s="955" t="s">
        <v>902</v>
      </c>
      <c r="AD6" s="953" t="s">
        <v>903</v>
      </c>
      <c r="AE6" s="954" t="s">
        <v>904</v>
      </c>
      <c r="AF6" s="952" t="s">
        <v>902</v>
      </c>
      <c r="AG6" s="953" t="s">
        <v>903</v>
      </c>
      <c r="AH6" s="954" t="s">
        <v>904</v>
      </c>
      <c r="AI6" s="952" t="s">
        <v>902</v>
      </c>
      <c r="AJ6" s="953" t="s">
        <v>903</v>
      </c>
      <c r="AK6" s="954" t="s">
        <v>904</v>
      </c>
      <c r="AL6" s="810"/>
      <c r="AM6" s="813"/>
      <c r="AN6" s="813"/>
      <c r="AO6" s="813"/>
    </row>
    <row r="7" spans="1:41" ht="18" customHeight="1">
      <c r="B7" s="2530" t="s">
        <v>969</v>
      </c>
      <c r="C7" s="2532" t="s">
        <v>970</v>
      </c>
      <c r="D7" s="2532"/>
      <c r="E7" s="2533"/>
      <c r="F7" s="2485">
        <v>1000</v>
      </c>
      <c r="G7" s="2487">
        <f>F7*E8</f>
        <v>2000</v>
      </c>
      <c r="H7" s="2479">
        <f>G7*$H$6</f>
        <v>5400</v>
      </c>
      <c r="I7" s="2512">
        <f>G7*12%*12</f>
        <v>2880</v>
      </c>
      <c r="J7" s="2479">
        <f>G7*3%*12</f>
        <v>720</v>
      </c>
      <c r="K7" s="2479">
        <f>G7*7%*12</f>
        <v>1680</v>
      </c>
      <c r="L7" s="2479">
        <f>I7*70%*58%</f>
        <v>1169.2799999999997</v>
      </c>
      <c r="M7" s="2475">
        <f>(J7+K7)*70%*58%</f>
        <v>974.4</v>
      </c>
      <c r="N7" s="2475">
        <f>I7*15%</f>
        <v>432</v>
      </c>
      <c r="O7" s="2475">
        <f>(J7+K7)*15%</f>
        <v>360</v>
      </c>
      <c r="P7" s="2477"/>
      <c r="Q7" s="2475">
        <f>G7*4.5%*12</f>
        <v>1080</v>
      </c>
      <c r="R7" s="2477"/>
      <c r="S7" s="2477"/>
      <c r="T7" s="814">
        <f>H7+(I7/12*9)+J7+(L7/12)+(N7/12)</f>
        <v>8413.44</v>
      </c>
      <c r="U7" s="815">
        <f>H7+I7+J7+L7+N7</f>
        <v>10601.279999999999</v>
      </c>
      <c r="V7" s="816">
        <f>H7+I7+J7+K7+L7+M7+N7+O7+Q7</f>
        <v>14695.679999999998</v>
      </c>
      <c r="W7" s="814">
        <f>T7*$Y$5</f>
        <v>7824.4992000000011</v>
      </c>
      <c r="X7" s="815">
        <f>U7*$Y$5</f>
        <v>9859.1903999999995</v>
      </c>
      <c r="Y7" s="816">
        <f>V7*$Y$5</f>
        <v>13666.982399999999</v>
      </c>
      <c r="Z7" s="814">
        <f>T7*$AB$5</f>
        <v>7235.5583999999999</v>
      </c>
      <c r="AA7" s="815">
        <f t="shared" ref="AA7:AB7" si="0">U7*$AB$5</f>
        <v>9117.1007999999983</v>
      </c>
      <c r="AB7" s="817">
        <f t="shared" si="0"/>
        <v>12638.284799999998</v>
      </c>
      <c r="AC7" s="818">
        <f>T7*$AE$5</f>
        <v>6983.1552000000001</v>
      </c>
      <c r="AD7" s="815">
        <f>U7*$AE$5</f>
        <v>8799.0623999999989</v>
      </c>
      <c r="AE7" s="816">
        <f>V7*$AE$5</f>
        <v>12197.414399999998</v>
      </c>
      <c r="AF7" s="814">
        <f>T7*$AH$5</f>
        <v>6310.08</v>
      </c>
      <c r="AG7" s="815">
        <f>U7*$AH$5</f>
        <v>7950.9599999999991</v>
      </c>
      <c r="AH7" s="817">
        <f>V7*$AH$5</f>
        <v>11021.759999999998</v>
      </c>
      <c r="AI7" s="818">
        <f>T7*$AK$5</f>
        <v>5889.4080000000004</v>
      </c>
      <c r="AJ7" s="815">
        <f>U7*$AK$5</f>
        <v>7420.8959999999988</v>
      </c>
      <c r="AK7" s="817">
        <f>V7*$AK$5</f>
        <v>10286.975999999999</v>
      </c>
      <c r="AL7" s="810"/>
      <c r="AM7" s="813"/>
      <c r="AN7" s="813"/>
      <c r="AO7" s="813"/>
    </row>
    <row r="8" spans="1:41" ht="18" customHeight="1">
      <c r="B8" s="2502"/>
      <c r="C8" s="2492" t="s">
        <v>971</v>
      </c>
      <c r="D8" s="2492"/>
      <c r="E8" s="374">
        <v>2</v>
      </c>
      <c r="F8" s="2511"/>
      <c r="G8" s="2515"/>
      <c r="H8" s="2475"/>
      <c r="I8" s="2475"/>
      <c r="J8" s="2475"/>
      <c r="K8" s="2479"/>
      <c r="L8" s="2475"/>
      <c r="M8" s="2499"/>
      <c r="N8" s="2499"/>
      <c r="O8" s="2499"/>
      <c r="P8" s="2491"/>
      <c r="Q8" s="2499"/>
      <c r="R8" s="2491"/>
      <c r="S8" s="2491"/>
      <c r="T8" s="375">
        <f t="shared" ref="T8:AK8" si="1">T7/$F$7</f>
        <v>8.4134400000000014</v>
      </c>
      <c r="U8" s="376">
        <f t="shared" si="1"/>
        <v>10.601279999999999</v>
      </c>
      <c r="V8" s="574">
        <f t="shared" si="1"/>
        <v>14.695679999999998</v>
      </c>
      <c r="W8" s="375">
        <f t="shared" si="1"/>
        <v>7.8244992000000009</v>
      </c>
      <c r="X8" s="376">
        <f t="shared" si="1"/>
        <v>9.8591903999999992</v>
      </c>
      <c r="Y8" s="574">
        <f t="shared" si="1"/>
        <v>13.666982399999998</v>
      </c>
      <c r="Z8" s="375">
        <f t="shared" si="1"/>
        <v>7.2355583999999995</v>
      </c>
      <c r="AA8" s="376">
        <f t="shared" si="1"/>
        <v>9.1171007999999976</v>
      </c>
      <c r="AB8" s="377">
        <f t="shared" si="1"/>
        <v>12.638284799999997</v>
      </c>
      <c r="AC8" s="378">
        <f t="shared" si="1"/>
        <v>6.9831552000000006</v>
      </c>
      <c r="AD8" s="376">
        <f t="shared" si="1"/>
        <v>8.7990623999999986</v>
      </c>
      <c r="AE8" s="574">
        <f t="shared" si="1"/>
        <v>12.197414399999998</v>
      </c>
      <c r="AF8" s="375">
        <f t="shared" si="1"/>
        <v>6.3100800000000001</v>
      </c>
      <c r="AG8" s="376">
        <f t="shared" si="1"/>
        <v>7.9509599999999994</v>
      </c>
      <c r="AH8" s="377">
        <f t="shared" si="1"/>
        <v>11.021759999999999</v>
      </c>
      <c r="AI8" s="378">
        <f t="shared" si="1"/>
        <v>5.8894080000000004</v>
      </c>
      <c r="AJ8" s="376">
        <f t="shared" si="1"/>
        <v>7.420895999999999</v>
      </c>
      <c r="AK8" s="377">
        <f t="shared" si="1"/>
        <v>10.286975999999999</v>
      </c>
      <c r="AL8" s="810"/>
      <c r="AM8" s="813"/>
      <c r="AN8" s="813"/>
      <c r="AO8" s="813"/>
    </row>
    <row r="9" spans="1:41" ht="18" customHeight="1">
      <c r="B9" s="2502"/>
      <c r="C9" s="2508" t="s">
        <v>972</v>
      </c>
      <c r="D9" s="2508"/>
      <c r="E9" s="2509"/>
      <c r="F9" s="2510">
        <v>1000</v>
      </c>
      <c r="G9" s="2514">
        <f>F9*E10</f>
        <v>1700</v>
      </c>
      <c r="H9" s="2507">
        <f t="shared" ref="H9" si="2">G9*$H$6</f>
        <v>4590</v>
      </c>
      <c r="I9" s="2507">
        <f t="shared" ref="I9" si="3">G9*12%*12</f>
        <v>2448</v>
      </c>
      <c r="J9" s="2507">
        <f t="shared" ref="J9" si="4">G9*3%*12</f>
        <v>612</v>
      </c>
      <c r="K9" s="2507">
        <f t="shared" ref="K9" si="5">G9*7%*12</f>
        <v>1428.0000000000002</v>
      </c>
      <c r="L9" s="2507">
        <f t="shared" ref="L9:L19" si="6">I9*70%*58%</f>
        <v>993.88799999999992</v>
      </c>
      <c r="M9" s="2475">
        <f t="shared" ref="M9" si="7">(J9+K9)*70%*58%</f>
        <v>828.2399999999999</v>
      </c>
      <c r="N9" s="2475">
        <f t="shared" ref="N9" si="8">I9*15%</f>
        <v>367.2</v>
      </c>
      <c r="O9" s="2499">
        <f>(J9+K9)*15%</f>
        <v>306</v>
      </c>
      <c r="P9" s="2491"/>
      <c r="Q9" s="2499">
        <f>G9*4.5%*12</f>
        <v>918</v>
      </c>
      <c r="R9" s="2491"/>
      <c r="S9" s="2491"/>
      <c r="T9" s="379">
        <f>H9+(I9/12*9)+J9+(L9/12)+(N9/12)</f>
        <v>7151.424</v>
      </c>
      <c r="U9" s="380">
        <f>H9+I9+J9+L9+N9</f>
        <v>9011.0879999999997</v>
      </c>
      <c r="V9" s="575">
        <f>H9+I9+J9+K9+L9+M9+N9+O9+Q9</f>
        <v>12491.328</v>
      </c>
      <c r="W9" s="379">
        <f>T9*$Y$5</f>
        <v>6650.8243200000006</v>
      </c>
      <c r="X9" s="380">
        <f>U9*$Y$5</f>
        <v>8380.3118400000003</v>
      </c>
      <c r="Y9" s="575">
        <f>V9*$Y$5</f>
        <v>11616.93504</v>
      </c>
      <c r="Z9" s="379">
        <f t="shared" ref="Z9:AB9" si="9">T9*$AB$5</f>
        <v>6150.2246399999995</v>
      </c>
      <c r="AA9" s="380">
        <f t="shared" si="9"/>
        <v>7749.53568</v>
      </c>
      <c r="AB9" s="381">
        <f t="shared" si="9"/>
        <v>10742.542079999999</v>
      </c>
      <c r="AC9" s="382">
        <f>T9*$AE$5</f>
        <v>5935.68192</v>
      </c>
      <c r="AD9" s="380">
        <f>U9*$AE$5</f>
        <v>7479.2030399999994</v>
      </c>
      <c r="AE9" s="575">
        <f>V9*$AE$5</f>
        <v>10367.802239999999</v>
      </c>
      <c r="AF9" s="379">
        <f>T9*$AH$5</f>
        <v>5363.5680000000002</v>
      </c>
      <c r="AG9" s="380">
        <f>U9*$AH$5</f>
        <v>6758.3159999999998</v>
      </c>
      <c r="AH9" s="381">
        <f>V9*$AH$5</f>
        <v>9368.4959999999992</v>
      </c>
      <c r="AI9" s="382">
        <f>T9*$AK$5</f>
        <v>5005.9967999999999</v>
      </c>
      <c r="AJ9" s="380">
        <f>U9*$AK$5</f>
        <v>6307.7615999999998</v>
      </c>
      <c r="AK9" s="381">
        <f>V9*$AK$5</f>
        <v>8743.9295999999995</v>
      </c>
      <c r="AL9" s="810"/>
      <c r="AM9" s="813"/>
      <c r="AN9" s="813"/>
      <c r="AO9" s="813"/>
    </row>
    <row r="10" spans="1:41" ht="18" customHeight="1" thickBot="1">
      <c r="B10" s="2531"/>
      <c r="C10" s="2523" t="s">
        <v>973</v>
      </c>
      <c r="D10" s="2523"/>
      <c r="E10" s="386">
        <v>1.7</v>
      </c>
      <c r="F10" s="2485"/>
      <c r="G10" s="2487"/>
      <c r="H10" s="2479"/>
      <c r="I10" s="2479"/>
      <c r="J10" s="2479"/>
      <c r="K10" s="2479"/>
      <c r="L10" s="2479"/>
      <c r="M10" s="2507"/>
      <c r="N10" s="2507"/>
      <c r="O10" s="2507"/>
      <c r="P10" s="2516"/>
      <c r="Q10" s="2507"/>
      <c r="R10" s="2516"/>
      <c r="S10" s="2516"/>
      <c r="T10" s="819">
        <f t="shared" ref="T10:AK10" si="10">T9/$F$9</f>
        <v>7.1514239999999996</v>
      </c>
      <c r="U10" s="820">
        <f t="shared" si="10"/>
        <v>9.0110879999999991</v>
      </c>
      <c r="V10" s="821">
        <f t="shared" si="10"/>
        <v>12.491327999999999</v>
      </c>
      <c r="W10" s="822">
        <f t="shared" si="10"/>
        <v>6.6508243200000008</v>
      </c>
      <c r="X10" s="823">
        <f t="shared" si="10"/>
        <v>8.380311840000001</v>
      </c>
      <c r="Y10" s="824">
        <f t="shared" si="10"/>
        <v>11.61693504</v>
      </c>
      <c r="Z10" s="822">
        <f t="shared" si="10"/>
        <v>6.1502246399999994</v>
      </c>
      <c r="AA10" s="823">
        <f t="shared" si="10"/>
        <v>7.7495356800000001</v>
      </c>
      <c r="AB10" s="825">
        <f t="shared" si="10"/>
        <v>10.74254208</v>
      </c>
      <c r="AC10" s="826">
        <f t="shared" si="10"/>
        <v>5.9356819200000004</v>
      </c>
      <c r="AD10" s="823">
        <f t="shared" si="10"/>
        <v>7.4792030399999998</v>
      </c>
      <c r="AE10" s="824">
        <f t="shared" si="10"/>
        <v>10.36780224</v>
      </c>
      <c r="AF10" s="822">
        <f t="shared" si="10"/>
        <v>5.3635679999999999</v>
      </c>
      <c r="AG10" s="823">
        <f t="shared" si="10"/>
        <v>6.7583159999999998</v>
      </c>
      <c r="AH10" s="825">
        <f t="shared" si="10"/>
        <v>9.3684959999999986</v>
      </c>
      <c r="AI10" s="826">
        <f t="shared" si="10"/>
        <v>5.0059968000000001</v>
      </c>
      <c r="AJ10" s="823">
        <f t="shared" si="10"/>
        <v>6.3077616000000001</v>
      </c>
      <c r="AK10" s="825">
        <f t="shared" si="10"/>
        <v>8.7439295999999995</v>
      </c>
      <c r="AL10" s="810"/>
      <c r="AM10" s="813"/>
      <c r="AN10" s="813"/>
      <c r="AO10" s="813"/>
    </row>
    <row r="11" spans="1:41" ht="18" customHeight="1">
      <c r="B11" s="2266" t="s">
        <v>974</v>
      </c>
      <c r="C11" s="2527" t="s">
        <v>975</v>
      </c>
      <c r="D11" s="2528"/>
      <c r="E11" s="2529"/>
      <c r="F11" s="2520">
        <v>1000</v>
      </c>
      <c r="G11" s="2512">
        <f>F11*E12</f>
        <v>2000</v>
      </c>
      <c r="H11" s="2512">
        <f t="shared" ref="H11" si="11">G11*$H$6</f>
        <v>5400</v>
      </c>
      <c r="I11" s="2512">
        <f>G11*12%*12</f>
        <v>2880</v>
      </c>
      <c r="J11" s="2512">
        <f>G11*3%*12</f>
        <v>720</v>
      </c>
      <c r="K11" s="2512">
        <f>G11*7%*12</f>
        <v>1680</v>
      </c>
      <c r="L11" s="2512">
        <f t="shared" si="6"/>
        <v>1169.2799999999997</v>
      </c>
      <c r="M11" s="2513">
        <f>(J11+K11)*70%*58%</f>
        <v>974.4</v>
      </c>
      <c r="N11" s="2513">
        <f>I11*15%</f>
        <v>432</v>
      </c>
      <c r="O11" s="2513">
        <f>(J11+K11)*15%</f>
        <v>360</v>
      </c>
      <c r="P11" s="2522"/>
      <c r="Q11" s="2513">
        <f>G11*4.5%*12</f>
        <v>1080</v>
      </c>
      <c r="R11" s="2522">
        <f>G11*7%*24</f>
        <v>3360</v>
      </c>
      <c r="S11" s="2522"/>
      <c r="T11" s="370">
        <f>H11+(I11/12*9)+J11+(L11/12)+(N11/12)</f>
        <v>8413.44</v>
      </c>
      <c r="U11" s="371">
        <f>H11+I11+J11+L11+N11</f>
        <v>10601.279999999999</v>
      </c>
      <c r="V11" s="573">
        <f>H11+I11+J11+K11+L11+M11+N11+O11+Q11+R11</f>
        <v>18055.68</v>
      </c>
      <c r="W11" s="370">
        <f>T11*$Y$5</f>
        <v>7824.4992000000011</v>
      </c>
      <c r="X11" s="371">
        <f>U11*$Y$5</f>
        <v>9859.1903999999995</v>
      </c>
      <c r="Y11" s="573">
        <f>V11*$Y$5</f>
        <v>16791.7824</v>
      </c>
      <c r="Z11" s="370">
        <f>T11*$AB$5</f>
        <v>7235.5583999999999</v>
      </c>
      <c r="AA11" s="371">
        <f>U11*$AB$5</f>
        <v>9117.1007999999983</v>
      </c>
      <c r="AB11" s="372">
        <f>V11*$AB$5</f>
        <v>15527.8848</v>
      </c>
      <c r="AC11" s="373">
        <f>T11*$AE$5</f>
        <v>6983.1552000000001</v>
      </c>
      <c r="AD11" s="371">
        <f>U11*$AE$5</f>
        <v>8799.0623999999989</v>
      </c>
      <c r="AE11" s="573">
        <f>V11*$AE$5</f>
        <v>14986.214399999999</v>
      </c>
      <c r="AF11" s="370">
        <f>T11*$AH$5</f>
        <v>6310.08</v>
      </c>
      <c r="AG11" s="371">
        <f>U11*$AH$5</f>
        <v>7950.9599999999991</v>
      </c>
      <c r="AH11" s="372">
        <f>V11*$AH$5</f>
        <v>13541.76</v>
      </c>
      <c r="AI11" s="373">
        <f>T11*$AK$5</f>
        <v>5889.4080000000004</v>
      </c>
      <c r="AJ11" s="371">
        <f>U11*$AK$5</f>
        <v>7420.8959999999988</v>
      </c>
      <c r="AK11" s="372">
        <f>V11*$AK$5</f>
        <v>12638.975999999999</v>
      </c>
      <c r="AL11" s="810"/>
      <c r="AM11" s="813"/>
      <c r="AN11" s="813"/>
      <c r="AO11" s="813"/>
    </row>
    <row r="12" spans="1:41" ht="18" customHeight="1" thickBot="1">
      <c r="B12" s="2267"/>
      <c r="C12" s="2524" t="s">
        <v>976</v>
      </c>
      <c r="D12" s="2524"/>
      <c r="E12" s="179">
        <v>2</v>
      </c>
      <c r="F12" s="2511"/>
      <c r="G12" s="2475"/>
      <c r="H12" s="2475"/>
      <c r="I12" s="2479"/>
      <c r="J12" s="2479"/>
      <c r="K12" s="2479"/>
      <c r="L12" s="2475"/>
      <c r="M12" s="2507"/>
      <c r="N12" s="2499"/>
      <c r="O12" s="2507"/>
      <c r="P12" s="2491"/>
      <c r="Q12" s="2499"/>
      <c r="R12" s="2491"/>
      <c r="S12" s="2491"/>
      <c r="T12" s="384">
        <f t="shared" ref="T12:AK12" si="12">T11/$F$11</f>
        <v>8.4134400000000014</v>
      </c>
      <c r="U12" s="385">
        <f t="shared" si="12"/>
        <v>10.601279999999999</v>
      </c>
      <c r="V12" s="578">
        <f t="shared" si="12"/>
        <v>18.055679999999999</v>
      </c>
      <c r="W12" s="375">
        <f t="shared" si="12"/>
        <v>7.8244992000000009</v>
      </c>
      <c r="X12" s="376">
        <f t="shared" si="12"/>
        <v>9.8591903999999992</v>
      </c>
      <c r="Y12" s="574">
        <f t="shared" si="12"/>
        <v>16.791782399999999</v>
      </c>
      <c r="Z12" s="375">
        <f>Z11/$F$11</f>
        <v>7.2355583999999995</v>
      </c>
      <c r="AA12" s="376">
        <f>AA11/$F$11</f>
        <v>9.1171007999999976</v>
      </c>
      <c r="AB12" s="377">
        <f>AB11/$F$11</f>
        <v>15.527884799999999</v>
      </c>
      <c r="AC12" s="378">
        <f t="shared" si="12"/>
        <v>6.9831552000000006</v>
      </c>
      <c r="AD12" s="376">
        <f t="shared" si="12"/>
        <v>8.7990623999999986</v>
      </c>
      <c r="AE12" s="574">
        <f t="shared" si="12"/>
        <v>14.9862144</v>
      </c>
      <c r="AF12" s="375">
        <f t="shared" si="12"/>
        <v>6.3100800000000001</v>
      </c>
      <c r="AG12" s="376">
        <f t="shared" si="12"/>
        <v>7.9509599999999994</v>
      </c>
      <c r="AH12" s="377">
        <f t="shared" si="12"/>
        <v>13.54176</v>
      </c>
      <c r="AI12" s="378">
        <f t="shared" si="12"/>
        <v>5.8894080000000004</v>
      </c>
      <c r="AJ12" s="376">
        <f t="shared" si="12"/>
        <v>7.420895999999999</v>
      </c>
      <c r="AK12" s="377">
        <f t="shared" si="12"/>
        <v>12.638976</v>
      </c>
      <c r="AL12" s="810"/>
      <c r="AM12" s="813"/>
      <c r="AN12" s="813"/>
      <c r="AO12" s="813"/>
    </row>
    <row r="13" spans="1:41" ht="18" customHeight="1">
      <c r="B13" s="2267"/>
      <c r="C13" s="2527" t="s">
        <v>977</v>
      </c>
      <c r="D13" s="2528"/>
      <c r="E13" s="2529"/>
      <c r="F13" s="2520">
        <v>1000</v>
      </c>
      <c r="G13" s="2512">
        <f>F13*E14</f>
        <v>1800</v>
      </c>
      <c r="H13" s="2512">
        <f t="shared" ref="H13" si="13">G13*$H$6</f>
        <v>4860</v>
      </c>
      <c r="I13" s="2512">
        <f>G13*12%*12</f>
        <v>2592</v>
      </c>
      <c r="J13" s="2512">
        <f>G13*3%*12</f>
        <v>648</v>
      </c>
      <c r="K13" s="2512">
        <f>G13*7%*12</f>
        <v>1512.0000000000002</v>
      </c>
      <c r="L13" s="2512">
        <f t="shared" si="6"/>
        <v>1052.3519999999999</v>
      </c>
      <c r="M13" s="2513">
        <f>(J13+K13)*70%*58%</f>
        <v>876.95999999999992</v>
      </c>
      <c r="N13" s="2513">
        <f>I13*15%</f>
        <v>388.8</v>
      </c>
      <c r="O13" s="2513">
        <f>(J13+K13)*15%</f>
        <v>324</v>
      </c>
      <c r="P13" s="2522"/>
      <c r="Q13" s="2513">
        <f>G13*4.5%*12</f>
        <v>972</v>
      </c>
      <c r="R13" s="2522">
        <f>G13*3.5%*24</f>
        <v>1512.0000000000002</v>
      </c>
      <c r="S13" s="2522"/>
      <c r="T13" s="370">
        <f>H13+(I13/12*9)+J13+(L13/12)+(N13/12)</f>
        <v>7572.0959999999995</v>
      </c>
      <c r="U13" s="371">
        <f>H13+I13+J13+L13+N13</f>
        <v>9541.1519999999982</v>
      </c>
      <c r="V13" s="573">
        <f>H13+I13+J13+K13+L13+M13+N13+O13+Q13+R13</f>
        <v>14738.111999999997</v>
      </c>
      <c r="W13" s="370">
        <f>T13*$Y$5</f>
        <v>7042.0492800000002</v>
      </c>
      <c r="X13" s="371">
        <f>U13*$Y$5</f>
        <v>8873.2713599999988</v>
      </c>
      <c r="Y13" s="573">
        <f>V13*$Y$5</f>
        <v>13706.444159999999</v>
      </c>
      <c r="Z13" s="370">
        <f>T13*$AB$5</f>
        <v>6512.0025599999999</v>
      </c>
      <c r="AA13" s="371">
        <f>U13*$AB$5</f>
        <v>8205.3907199999976</v>
      </c>
      <c r="AB13" s="372">
        <f>V13*$AB$5</f>
        <v>12674.776319999997</v>
      </c>
      <c r="AC13" s="373">
        <f>T13*$AE$5</f>
        <v>6284.8396799999991</v>
      </c>
      <c r="AD13" s="371">
        <f>U13*$AE$5</f>
        <v>7919.1561599999977</v>
      </c>
      <c r="AE13" s="573">
        <f>V13*$AE$5</f>
        <v>12232.632959999997</v>
      </c>
      <c r="AF13" s="370">
        <f>T13*$AH$5</f>
        <v>5679.0720000000001</v>
      </c>
      <c r="AG13" s="371">
        <f>U13*$AH$5</f>
        <v>7155.8639999999987</v>
      </c>
      <c r="AH13" s="372">
        <f>V13*$AH$5</f>
        <v>11053.583999999999</v>
      </c>
      <c r="AI13" s="373">
        <f>T13*$AK$5</f>
        <v>5300.4671999999991</v>
      </c>
      <c r="AJ13" s="371">
        <f>U13*$AK$5</f>
        <v>6678.8063999999986</v>
      </c>
      <c r="AK13" s="372">
        <f>V13*$AK$5</f>
        <v>10316.678399999997</v>
      </c>
      <c r="AL13" s="810"/>
      <c r="AM13" s="813"/>
      <c r="AN13" s="813"/>
      <c r="AO13" s="813"/>
    </row>
    <row r="14" spans="1:41" ht="18" customHeight="1" thickBot="1">
      <c r="B14" s="2267"/>
      <c r="C14" s="2524" t="s">
        <v>978</v>
      </c>
      <c r="D14" s="2524"/>
      <c r="E14" s="179">
        <v>1.8</v>
      </c>
      <c r="F14" s="2511"/>
      <c r="G14" s="2475"/>
      <c r="H14" s="2475"/>
      <c r="I14" s="2479"/>
      <c r="J14" s="2479"/>
      <c r="K14" s="2479"/>
      <c r="L14" s="2475"/>
      <c r="M14" s="2507"/>
      <c r="N14" s="2499"/>
      <c r="O14" s="2507"/>
      <c r="P14" s="2491"/>
      <c r="Q14" s="2499"/>
      <c r="R14" s="2491"/>
      <c r="S14" s="2491"/>
      <c r="T14" s="384">
        <f>T13/$F$13</f>
        <v>7.5720959999999993</v>
      </c>
      <c r="U14" s="385">
        <f t="shared" ref="U14:AK14" si="14">U13/$F$13</f>
        <v>9.5411519999999985</v>
      </c>
      <c r="V14" s="578">
        <f t="shared" si="14"/>
        <v>14.738111999999997</v>
      </c>
      <c r="W14" s="375">
        <f t="shared" si="14"/>
        <v>7.0420492800000005</v>
      </c>
      <c r="X14" s="376">
        <f t="shared" si="14"/>
        <v>8.8732713599999986</v>
      </c>
      <c r="Y14" s="574">
        <f t="shared" si="14"/>
        <v>13.706444159999998</v>
      </c>
      <c r="Z14" s="375">
        <f t="shared" si="14"/>
        <v>6.51200256</v>
      </c>
      <c r="AA14" s="376">
        <f t="shared" si="14"/>
        <v>8.2053907199999969</v>
      </c>
      <c r="AB14" s="377">
        <f t="shared" si="14"/>
        <v>12.674776319999998</v>
      </c>
      <c r="AC14" s="378">
        <f t="shared" si="14"/>
        <v>6.2848396799999993</v>
      </c>
      <c r="AD14" s="376">
        <f t="shared" si="14"/>
        <v>7.9191561599999973</v>
      </c>
      <c r="AE14" s="574">
        <f t="shared" si="14"/>
        <v>12.232632959999997</v>
      </c>
      <c r="AF14" s="375">
        <f t="shared" si="14"/>
        <v>5.6790719999999997</v>
      </c>
      <c r="AG14" s="376">
        <f t="shared" si="14"/>
        <v>7.1558639999999984</v>
      </c>
      <c r="AH14" s="377">
        <f t="shared" si="14"/>
        <v>11.053583999999999</v>
      </c>
      <c r="AI14" s="378">
        <f t="shared" si="14"/>
        <v>5.300467199999999</v>
      </c>
      <c r="AJ14" s="376">
        <f t="shared" si="14"/>
        <v>6.6788063999999983</v>
      </c>
      <c r="AK14" s="377">
        <f t="shared" si="14"/>
        <v>10.316678399999997</v>
      </c>
      <c r="AL14" s="810"/>
      <c r="AM14" s="813"/>
      <c r="AN14" s="813"/>
      <c r="AO14" s="813"/>
    </row>
    <row r="15" spans="1:41" ht="18" customHeight="1">
      <c r="B15" s="2267"/>
      <c r="C15" s="2527" t="s">
        <v>979</v>
      </c>
      <c r="D15" s="2528"/>
      <c r="E15" s="2529"/>
      <c r="F15" s="2520">
        <v>1000</v>
      </c>
      <c r="G15" s="2512">
        <f>F15*E16</f>
        <v>2000</v>
      </c>
      <c r="H15" s="2512">
        <f t="shared" ref="H15" si="15">G15*$H$6</f>
        <v>5400</v>
      </c>
      <c r="I15" s="2512">
        <f>G15*12%*12</f>
        <v>2880</v>
      </c>
      <c r="J15" s="2512">
        <f>G15*3%*12</f>
        <v>720</v>
      </c>
      <c r="K15" s="2512">
        <f>G15*7%*12</f>
        <v>1680</v>
      </c>
      <c r="L15" s="2512">
        <f t="shared" si="6"/>
        <v>1169.2799999999997</v>
      </c>
      <c r="M15" s="2513">
        <f>(J15+K15)*70%*58%</f>
        <v>974.4</v>
      </c>
      <c r="N15" s="2513">
        <f>I15*15%</f>
        <v>432</v>
      </c>
      <c r="O15" s="2513">
        <f>(J15+K15)*15%</f>
        <v>360</v>
      </c>
      <c r="P15" s="2522"/>
      <c r="Q15" s="2513">
        <f>G15*4.5%*12</f>
        <v>1080</v>
      </c>
      <c r="R15" s="2522">
        <f>G15*3.5%*24</f>
        <v>1680</v>
      </c>
      <c r="S15" s="2522"/>
      <c r="T15" s="370">
        <f>H15+(I15/12*9)+J15+(L15/12)+(N15/12)</f>
        <v>8413.44</v>
      </c>
      <c r="U15" s="371">
        <f>H15+I15+J15+L15+N15</f>
        <v>10601.279999999999</v>
      </c>
      <c r="V15" s="573">
        <f>H15+I15+J15+K15+L15+M15+N15+O15+Q15+R15</f>
        <v>16375.679999999998</v>
      </c>
      <c r="W15" s="370">
        <f>T15*$Y$5</f>
        <v>7824.4992000000011</v>
      </c>
      <c r="X15" s="371">
        <f>U15*$Y$5</f>
        <v>9859.1903999999995</v>
      </c>
      <c r="Y15" s="573">
        <f>V15*$Y$5</f>
        <v>15229.382399999999</v>
      </c>
      <c r="Z15" s="370">
        <f>T15*$AB$5</f>
        <v>7235.5583999999999</v>
      </c>
      <c r="AA15" s="371">
        <f>U15*$AB$5</f>
        <v>9117.1007999999983</v>
      </c>
      <c r="AB15" s="372">
        <f>V15*$AB$5</f>
        <v>14083.084799999999</v>
      </c>
      <c r="AC15" s="373">
        <f>T15*$AE$5</f>
        <v>6983.1552000000001</v>
      </c>
      <c r="AD15" s="371">
        <f>U15*$AE$5</f>
        <v>8799.0623999999989</v>
      </c>
      <c r="AE15" s="573">
        <f>V15*$AE$5</f>
        <v>13591.814399999997</v>
      </c>
      <c r="AF15" s="370">
        <f>T15*$AH$5</f>
        <v>6310.08</v>
      </c>
      <c r="AG15" s="371">
        <f>U15*$AH$5</f>
        <v>7950.9599999999991</v>
      </c>
      <c r="AH15" s="372">
        <f>V15*$AH$5</f>
        <v>12281.759999999998</v>
      </c>
      <c r="AI15" s="373">
        <f>T15*$AK$5</f>
        <v>5889.4080000000004</v>
      </c>
      <c r="AJ15" s="371">
        <f>U15*$AK$5</f>
        <v>7420.8959999999988</v>
      </c>
      <c r="AK15" s="372">
        <f>V15*$AK$5</f>
        <v>11462.975999999999</v>
      </c>
      <c r="AL15" s="810"/>
      <c r="AM15" s="813"/>
      <c r="AN15" s="813"/>
      <c r="AO15" s="813"/>
    </row>
    <row r="16" spans="1:41" ht="18" customHeight="1">
      <c r="B16" s="2267"/>
      <c r="C16" s="2524" t="s">
        <v>980</v>
      </c>
      <c r="D16" s="2524"/>
      <c r="E16" s="179">
        <v>2</v>
      </c>
      <c r="F16" s="2511"/>
      <c r="G16" s="2475"/>
      <c r="H16" s="2475"/>
      <c r="I16" s="2479"/>
      <c r="J16" s="2479"/>
      <c r="K16" s="2479"/>
      <c r="L16" s="2475"/>
      <c r="M16" s="2507"/>
      <c r="N16" s="2499"/>
      <c r="O16" s="2507"/>
      <c r="P16" s="2491"/>
      <c r="Q16" s="2499"/>
      <c r="R16" s="2491"/>
      <c r="S16" s="2491"/>
      <c r="T16" s="384">
        <f>T15/$F$15</f>
        <v>8.4134400000000014</v>
      </c>
      <c r="U16" s="385">
        <f t="shared" ref="U16:AK16" si="16">U15/$F$15</f>
        <v>10.601279999999999</v>
      </c>
      <c r="V16" s="578">
        <f t="shared" si="16"/>
        <v>16.375679999999999</v>
      </c>
      <c r="W16" s="375">
        <f t="shared" si="16"/>
        <v>7.8244992000000009</v>
      </c>
      <c r="X16" s="376">
        <f t="shared" si="16"/>
        <v>9.8591903999999992</v>
      </c>
      <c r="Y16" s="574">
        <f t="shared" si="16"/>
        <v>15.229382399999999</v>
      </c>
      <c r="Z16" s="375">
        <f t="shared" si="16"/>
        <v>7.2355583999999995</v>
      </c>
      <c r="AA16" s="376">
        <f t="shared" si="16"/>
        <v>9.1171007999999976</v>
      </c>
      <c r="AB16" s="377">
        <f t="shared" si="16"/>
        <v>14.083084799999998</v>
      </c>
      <c r="AC16" s="378">
        <f t="shared" si="16"/>
        <v>6.9831552000000006</v>
      </c>
      <c r="AD16" s="376">
        <f t="shared" si="16"/>
        <v>8.7990623999999986</v>
      </c>
      <c r="AE16" s="574">
        <f t="shared" si="16"/>
        <v>13.591814399999997</v>
      </c>
      <c r="AF16" s="375">
        <f t="shared" si="16"/>
        <v>6.3100800000000001</v>
      </c>
      <c r="AG16" s="376">
        <f t="shared" si="16"/>
        <v>7.9509599999999994</v>
      </c>
      <c r="AH16" s="377">
        <f t="shared" si="16"/>
        <v>12.281759999999998</v>
      </c>
      <c r="AI16" s="378">
        <f t="shared" si="16"/>
        <v>5.8894080000000004</v>
      </c>
      <c r="AJ16" s="376">
        <f t="shared" si="16"/>
        <v>7.420895999999999</v>
      </c>
      <c r="AK16" s="377">
        <f t="shared" si="16"/>
        <v>11.462975999999999</v>
      </c>
      <c r="AL16" s="810"/>
      <c r="AM16" s="813"/>
      <c r="AN16" s="813"/>
      <c r="AO16" s="813"/>
    </row>
    <row r="17" spans="2:41" ht="18" customHeight="1">
      <c r="B17" s="2267"/>
      <c r="C17" s="2504" t="s">
        <v>981</v>
      </c>
      <c r="D17" s="2504"/>
      <c r="E17" s="2505"/>
      <c r="F17" s="2525">
        <v>1000</v>
      </c>
      <c r="G17" s="2507">
        <f>F17*E18</f>
        <v>2050</v>
      </c>
      <c r="H17" s="2507">
        <f t="shared" ref="H17" si="17">G17*$H$6</f>
        <v>5535</v>
      </c>
      <c r="I17" s="2499">
        <f>G17*12%*12</f>
        <v>2952</v>
      </c>
      <c r="J17" s="2499">
        <f>G17*3%*12</f>
        <v>738</v>
      </c>
      <c r="K17" s="2499">
        <f>G17*7%*12</f>
        <v>1722</v>
      </c>
      <c r="L17" s="2507">
        <f t="shared" si="6"/>
        <v>1198.5119999999999</v>
      </c>
      <c r="M17" s="2499">
        <f>(J17+K17)*70%*58%</f>
        <v>998.75999999999988</v>
      </c>
      <c r="N17" s="2499">
        <f>I17*15%</f>
        <v>442.8</v>
      </c>
      <c r="O17" s="2499">
        <f>(J17+K17)*15%</f>
        <v>369</v>
      </c>
      <c r="P17" s="2491"/>
      <c r="Q17" s="2499">
        <f>G17*4.5%*12</f>
        <v>1107</v>
      </c>
      <c r="R17" s="2491"/>
      <c r="S17" s="2526"/>
      <c r="T17" s="379">
        <f>H17+(I17/12*9)+J17+(L17/12)+(N17/12)</f>
        <v>8623.7759999999998</v>
      </c>
      <c r="U17" s="380">
        <f>H17+I17+J17+L17+N17</f>
        <v>10866.312</v>
      </c>
      <c r="V17" s="575">
        <f>H17+I17+J17+K17+L17+M17+N17+O17+Q17</f>
        <v>15063.072</v>
      </c>
      <c r="W17" s="379">
        <f>T17*$Y$5</f>
        <v>8020.11168</v>
      </c>
      <c r="X17" s="380">
        <f>U17*$Y$5</f>
        <v>10105.67016</v>
      </c>
      <c r="Y17" s="575">
        <f>V17*$Y$5</f>
        <v>14008.65696</v>
      </c>
      <c r="Z17" s="379">
        <f>T17*$AB$5</f>
        <v>7416.4473600000001</v>
      </c>
      <c r="AA17" s="380">
        <f>U17*$AB$5</f>
        <v>9345.0283199999994</v>
      </c>
      <c r="AB17" s="381">
        <f>V17*$AB$5</f>
        <v>12954.24192</v>
      </c>
      <c r="AC17" s="382">
        <f>T17*$AE$5</f>
        <v>7157.7340799999993</v>
      </c>
      <c r="AD17" s="380">
        <f>U17*$AE$5</f>
        <v>9019.0389599999999</v>
      </c>
      <c r="AE17" s="575">
        <f>V17*$AE$5</f>
        <v>12502.349759999999</v>
      </c>
      <c r="AF17" s="379">
        <f>T17*$AH$5</f>
        <v>6467.8320000000003</v>
      </c>
      <c r="AG17" s="380">
        <f>U17*$AH$5</f>
        <v>8149.7340000000004</v>
      </c>
      <c r="AH17" s="381">
        <f>V17*$AH$5</f>
        <v>11297.304</v>
      </c>
      <c r="AI17" s="382">
        <f>T17*$AK$5</f>
        <v>6036.6431999999995</v>
      </c>
      <c r="AJ17" s="380">
        <f>U17*$AK$5</f>
        <v>7606.4183999999996</v>
      </c>
      <c r="AK17" s="381">
        <f>V17*$AK$5</f>
        <v>10544.150399999999</v>
      </c>
      <c r="AL17" s="810"/>
      <c r="AM17" s="813"/>
      <c r="AN17" s="813"/>
      <c r="AO17" s="813"/>
    </row>
    <row r="18" spans="2:41" ht="18" customHeight="1">
      <c r="B18" s="2267"/>
      <c r="C18" s="2517" t="s">
        <v>982</v>
      </c>
      <c r="D18" s="2517"/>
      <c r="E18" s="895">
        <v>2.0499999999999998</v>
      </c>
      <c r="F18" s="2506"/>
      <c r="G18" s="2475"/>
      <c r="H18" s="2475"/>
      <c r="I18" s="2499"/>
      <c r="J18" s="2499"/>
      <c r="K18" s="2499"/>
      <c r="L18" s="2475"/>
      <c r="M18" s="2499"/>
      <c r="N18" s="2499"/>
      <c r="O18" s="2499"/>
      <c r="P18" s="2491"/>
      <c r="Q18" s="2499"/>
      <c r="R18" s="2491"/>
      <c r="S18" s="2526"/>
      <c r="T18" s="384">
        <f>T17/$F$17</f>
        <v>8.6237759999999994</v>
      </c>
      <c r="U18" s="385">
        <f t="shared" ref="U18:AK18" si="18">U17/$F$17</f>
        <v>10.866312000000001</v>
      </c>
      <c r="V18" s="578">
        <f t="shared" si="18"/>
        <v>15.063072</v>
      </c>
      <c r="W18" s="375">
        <f t="shared" si="18"/>
        <v>8.0201116799999994</v>
      </c>
      <c r="X18" s="376">
        <f t="shared" si="18"/>
        <v>10.105670159999999</v>
      </c>
      <c r="Y18" s="574">
        <f t="shared" si="18"/>
        <v>14.00865696</v>
      </c>
      <c r="Z18" s="375">
        <f t="shared" si="18"/>
        <v>7.4164473600000003</v>
      </c>
      <c r="AA18" s="376">
        <f t="shared" si="18"/>
        <v>9.3450283199999991</v>
      </c>
      <c r="AB18" s="377">
        <f t="shared" si="18"/>
        <v>12.954241920000001</v>
      </c>
      <c r="AC18" s="378">
        <f t="shared" si="18"/>
        <v>7.1577340799999991</v>
      </c>
      <c r="AD18" s="376">
        <f t="shared" si="18"/>
        <v>9.0190389599999996</v>
      </c>
      <c r="AE18" s="574">
        <f t="shared" si="18"/>
        <v>12.50234976</v>
      </c>
      <c r="AF18" s="375">
        <f t="shared" si="18"/>
        <v>6.4678320000000005</v>
      </c>
      <c r="AG18" s="376">
        <f t="shared" si="18"/>
        <v>8.1497340000000005</v>
      </c>
      <c r="AH18" s="377">
        <f t="shared" si="18"/>
        <v>11.297304</v>
      </c>
      <c r="AI18" s="378">
        <f t="shared" si="18"/>
        <v>6.0366431999999994</v>
      </c>
      <c r="AJ18" s="376">
        <f t="shared" si="18"/>
        <v>7.6064183999999999</v>
      </c>
      <c r="AK18" s="377">
        <f t="shared" si="18"/>
        <v>10.544150399999999</v>
      </c>
      <c r="AL18" s="810"/>
      <c r="AM18" s="813"/>
      <c r="AN18" s="813"/>
      <c r="AO18" s="813"/>
    </row>
    <row r="19" spans="2:41" ht="18" customHeight="1">
      <c r="B19" s="2267"/>
      <c r="C19" s="2508" t="s">
        <v>983</v>
      </c>
      <c r="D19" s="2508"/>
      <c r="E19" s="2508"/>
      <c r="F19" s="2485">
        <v>1000</v>
      </c>
      <c r="G19" s="2479">
        <f>F19*E20</f>
        <v>1800</v>
      </c>
      <c r="H19" s="2479">
        <f t="shared" ref="H19" si="19">G19*$H$6</f>
        <v>4860</v>
      </c>
      <c r="I19" s="2475">
        <f>G19*12%*12</f>
        <v>2592</v>
      </c>
      <c r="J19" s="2475">
        <f>G19*3%*12</f>
        <v>648</v>
      </c>
      <c r="K19" s="2475">
        <f>G19*7%*12</f>
        <v>1512.0000000000002</v>
      </c>
      <c r="L19" s="2479">
        <f t="shared" si="6"/>
        <v>1052.3519999999999</v>
      </c>
      <c r="M19" s="2475">
        <f>(J19+K19)*70%*58%</f>
        <v>876.95999999999992</v>
      </c>
      <c r="N19" s="2475">
        <f>I19*15%</f>
        <v>388.8</v>
      </c>
      <c r="O19" s="2475">
        <f>(J19+K19)*15%</f>
        <v>324</v>
      </c>
      <c r="P19" s="2477"/>
      <c r="Q19" s="2475">
        <f>G19*4.5%*12</f>
        <v>972</v>
      </c>
      <c r="R19" s="2477">
        <f>G19*3.5%*24</f>
        <v>1512.0000000000002</v>
      </c>
      <c r="S19" s="2477"/>
      <c r="T19" s="379">
        <f>H19+(I19/12*9)+J19+(L19/12)+(N19/12)</f>
        <v>7572.0959999999995</v>
      </c>
      <c r="U19" s="380">
        <f>H19+I19+J19+L19+N19</f>
        <v>9541.1519999999982</v>
      </c>
      <c r="V19" s="575">
        <f>H19+I19+J19+K19+L19+M19+N19+O19+Q19</f>
        <v>13226.111999999997</v>
      </c>
      <c r="W19" s="379">
        <f>T19*$Y$5</f>
        <v>7042.0492800000002</v>
      </c>
      <c r="X19" s="380">
        <f>U19*$Y$5</f>
        <v>8873.2713599999988</v>
      </c>
      <c r="Y19" s="575">
        <f>V19*$Y$5</f>
        <v>12300.284159999997</v>
      </c>
      <c r="Z19" s="379">
        <f>T19*$AB$5</f>
        <v>6512.0025599999999</v>
      </c>
      <c r="AA19" s="380">
        <f>U19*$AB$5</f>
        <v>8205.3907199999976</v>
      </c>
      <c r="AB19" s="381">
        <f>V19*$AB$5</f>
        <v>11374.456319999998</v>
      </c>
      <c r="AC19" s="382">
        <f>T19*$AE$5</f>
        <v>6284.8396799999991</v>
      </c>
      <c r="AD19" s="380">
        <f>U19*$AE$5</f>
        <v>7919.1561599999977</v>
      </c>
      <c r="AE19" s="575">
        <f>V19*$AE$5</f>
        <v>10977.672959999998</v>
      </c>
      <c r="AF19" s="379">
        <f>T19*$AH$5</f>
        <v>5679.0720000000001</v>
      </c>
      <c r="AG19" s="380">
        <f>U19*$AH$5</f>
        <v>7155.8639999999987</v>
      </c>
      <c r="AH19" s="381">
        <f>V19*$AH$5</f>
        <v>9919.5839999999989</v>
      </c>
      <c r="AI19" s="382">
        <f>T19*$AK$5</f>
        <v>5300.4671999999991</v>
      </c>
      <c r="AJ19" s="380">
        <f>U19*$AK$5</f>
        <v>6678.8063999999986</v>
      </c>
      <c r="AK19" s="381">
        <f>V19*$AK$5</f>
        <v>9258.2783999999974</v>
      </c>
      <c r="AL19" s="810"/>
      <c r="AM19" s="813"/>
      <c r="AN19" s="813"/>
      <c r="AO19" s="813"/>
    </row>
    <row r="20" spans="2:41" ht="18" customHeight="1" thickBot="1">
      <c r="B20" s="2500"/>
      <c r="C20" s="2517" t="s">
        <v>984</v>
      </c>
      <c r="D20" s="2517"/>
      <c r="E20" s="895">
        <v>1.8</v>
      </c>
      <c r="F20" s="2485"/>
      <c r="G20" s="2479"/>
      <c r="H20" s="2475"/>
      <c r="I20" s="2499"/>
      <c r="J20" s="2499"/>
      <c r="K20" s="2499"/>
      <c r="L20" s="2479"/>
      <c r="M20" s="2499"/>
      <c r="N20" s="2507"/>
      <c r="O20" s="2499"/>
      <c r="P20" s="2516"/>
      <c r="Q20" s="2507"/>
      <c r="R20" s="2491"/>
      <c r="S20" s="2516"/>
      <c r="T20" s="384">
        <f>T19/$F$19</f>
        <v>7.5720959999999993</v>
      </c>
      <c r="U20" s="385">
        <f t="shared" ref="U20:AK20" si="20">U19/$F$19</f>
        <v>9.5411519999999985</v>
      </c>
      <c r="V20" s="578">
        <f t="shared" si="20"/>
        <v>13.226111999999997</v>
      </c>
      <c r="W20" s="375">
        <f t="shared" si="20"/>
        <v>7.0420492800000005</v>
      </c>
      <c r="X20" s="376">
        <f t="shared" si="20"/>
        <v>8.8732713599999986</v>
      </c>
      <c r="Y20" s="574">
        <f t="shared" si="20"/>
        <v>12.300284159999997</v>
      </c>
      <c r="Z20" s="375">
        <f t="shared" si="20"/>
        <v>6.51200256</v>
      </c>
      <c r="AA20" s="376">
        <f t="shared" si="20"/>
        <v>8.2053907199999969</v>
      </c>
      <c r="AB20" s="377">
        <f t="shared" si="20"/>
        <v>11.374456319999997</v>
      </c>
      <c r="AC20" s="378">
        <f t="shared" si="20"/>
        <v>6.2848396799999993</v>
      </c>
      <c r="AD20" s="376">
        <f t="shared" si="20"/>
        <v>7.9191561599999973</v>
      </c>
      <c r="AE20" s="574">
        <f t="shared" si="20"/>
        <v>10.977672959999998</v>
      </c>
      <c r="AF20" s="375">
        <f t="shared" si="20"/>
        <v>5.6790719999999997</v>
      </c>
      <c r="AG20" s="376">
        <f t="shared" si="20"/>
        <v>7.1558639999999984</v>
      </c>
      <c r="AH20" s="377">
        <f t="shared" si="20"/>
        <v>9.9195839999999986</v>
      </c>
      <c r="AI20" s="378">
        <f t="shared" si="20"/>
        <v>5.300467199999999</v>
      </c>
      <c r="AJ20" s="376">
        <f t="shared" si="20"/>
        <v>6.6788063999999983</v>
      </c>
      <c r="AK20" s="377">
        <f t="shared" si="20"/>
        <v>9.2582783999999982</v>
      </c>
      <c r="AL20" s="810"/>
      <c r="AM20" s="813"/>
      <c r="AN20" s="813"/>
      <c r="AO20" s="813"/>
    </row>
    <row r="21" spans="2:41" ht="18" customHeight="1">
      <c r="B21" s="2501" t="s">
        <v>985</v>
      </c>
      <c r="C21" s="2518" t="s">
        <v>986</v>
      </c>
      <c r="D21" s="2518"/>
      <c r="E21" s="2519"/>
      <c r="F21" s="2520">
        <v>1000</v>
      </c>
      <c r="G21" s="2521">
        <f>F21*E22</f>
        <v>850</v>
      </c>
      <c r="H21" s="2512">
        <f t="shared" ref="H21" si="21">G21*$H$6</f>
        <v>2295</v>
      </c>
      <c r="I21" s="2512">
        <f t="shared" ref="I21" si="22">G21*12%*12</f>
        <v>1224</v>
      </c>
      <c r="J21" s="2512">
        <f t="shared" ref="J21" si="23">G21*3%*12</f>
        <v>306</v>
      </c>
      <c r="K21" s="2512">
        <f t="shared" ref="K21" si="24">G21*7%*12</f>
        <v>714.00000000000011</v>
      </c>
      <c r="L21" s="2512">
        <f t="shared" ref="L21" si="25">I21*70%*58%</f>
        <v>496.94399999999996</v>
      </c>
      <c r="M21" s="2513">
        <f t="shared" ref="M21" si="26">(J21+K21)*70%*58%</f>
        <v>414.11999999999995</v>
      </c>
      <c r="N21" s="2513">
        <f t="shared" ref="N21" si="27">I21*15%</f>
        <v>183.6</v>
      </c>
      <c r="O21" s="2513">
        <f>(J21+K21)*15%</f>
        <v>153</v>
      </c>
      <c r="P21" s="2522">
        <f>G21*3.5%*12</f>
        <v>357.00000000000006</v>
      </c>
      <c r="Q21" s="2513">
        <f>G21*4%*12</f>
        <v>408</v>
      </c>
      <c r="R21" s="2522"/>
      <c r="S21" s="2522"/>
      <c r="T21" s="370">
        <f>H21+(I21/12*10)+J21+(L21/12)+(N21/12)+P21</f>
        <v>4034.712</v>
      </c>
      <c r="U21" s="371">
        <f>H21+I21+J21+L21+N21+P21</f>
        <v>4862.5439999999999</v>
      </c>
      <c r="V21" s="573">
        <f>H21+I21+J21+K21+L21+M21+N21+O21+P21+Q21</f>
        <v>6551.6639999999998</v>
      </c>
      <c r="W21" s="370">
        <f>T21*$Y$5</f>
        <v>3752.2821600000002</v>
      </c>
      <c r="X21" s="371">
        <f>U21*$Y$5</f>
        <v>4522.1659200000004</v>
      </c>
      <c r="Y21" s="573">
        <f>V21*$Y$5</f>
        <v>6093.0475200000001</v>
      </c>
      <c r="Z21" s="370">
        <f t="shared" ref="Z21:AB21" si="28">T21*$AB$5</f>
        <v>3469.85232</v>
      </c>
      <c r="AA21" s="371">
        <f t="shared" si="28"/>
        <v>4181.78784</v>
      </c>
      <c r="AB21" s="372">
        <f t="shared" si="28"/>
        <v>5634.4310399999995</v>
      </c>
      <c r="AC21" s="373">
        <f>T21*$AE$5</f>
        <v>3348.8109599999998</v>
      </c>
      <c r="AD21" s="371">
        <f>U21*$AE$5</f>
        <v>4035.9115199999997</v>
      </c>
      <c r="AE21" s="573">
        <f>V21*$AE$5</f>
        <v>5437.8811199999991</v>
      </c>
      <c r="AF21" s="370">
        <f>T21*$AH$5</f>
        <v>3026.0340000000001</v>
      </c>
      <c r="AG21" s="371">
        <f>U21*$AH$5</f>
        <v>3646.9079999999999</v>
      </c>
      <c r="AH21" s="372">
        <f>V21*$AH$5</f>
        <v>4913.7479999999996</v>
      </c>
      <c r="AI21" s="373">
        <f>T21*$AK$5</f>
        <v>2824.2983999999997</v>
      </c>
      <c r="AJ21" s="371">
        <f>U21*$AK$5</f>
        <v>3403.7807999999995</v>
      </c>
      <c r="AK21" s="372">
        <f>V21*$AK$5</f>
        <v>4586.1647999999996</v>
      </c>
      <c r="AL21" s="810"/>
      <c r="AM21" s="813"/>
      <c r="AN21" s="813"/>
      <c r="AO21" s="813"/>
    </row>
    <row r="22" spans="2:41" ht="18" customHeight="1">
      <c r="B22" s="2502"/>
      <c r="C22" s="2523" t="s">
        <v>987</v>
      </c>
      <c r="D22" s="2523"/>
      <c r="E22" s="386">
        <v>0.85</v>
      </c>
      <c r="F22" s="2485"/>
      <c r="G22" s="2487"/>
      <c r="H22" s="2479"/>
      <c r="I22" s="2479"/>
      <c r="J22" s="2479"/>
      <c r="K22" s="2479"/>
      <c r="L22" s="2479"/>
      <c r="M22" s="2507"/>
      <c r="N22" s="2507"/>
      <c r="O22" s="2507"/>
      <c r="P22" s="2516"/>
      <c r="Q22" s="2507"/>
      <c r="R22" s="2516"/>
      <c r="S22" s="2516"/>
      <c r="T22" s="384">
        <f>T21/$F$21</f>
        <v>4.0347119999999999</v>
      </c>
      <c r="U22" s="385">
        <f t="shared" ref="U22:AK22" si="29">U21/$F$21</f>
        <v>4.8625439999999998</v>
      </c>
      <c r="V22" s="578">
        <f t="shared" si="29"/>
        <v>6.5516639999999997</v>
      </c>
      <c r="W22" s="384">
        <f t="shared" si="29"/>
        <v>3.75228216</v>
      </c>
      <c r="X22" s="385">
        <f t="shared" si="29"/>
        <v>4.52216592</v>
      </c>
      <c r="Y22" s="578">
        <f t="shared" si="29"/>
        <v>6.0930475199999998</v>
      </c>
      <c r="Z22" s="384">
        <f>Z21/$F$21</f>
        <v>3.4698523199999998</v>
      </c>
      <c r="AA22" s="385">
        <f t="shared" ref="AA22:AB22" si="30">AA21/$F$21</f>
        <v>4.1817878400000001</v>
      </c>
      <c r="AB22" s="393">
        <f t="shared" si="30"/>
        <v>5.6344310399999991</v>
      </c>
      <c r="AC22" s="394">
        <f t="shared" si="29"/>
        <v>3.3488109599999998</v>
      </c>
      <c r="AD22" s="385">
        <f t="shared" si="29"/>
        <v>4.03591152</v>
      </c>
      <c r="AE22" s="578">
        <f t="shared" si="29"/>
        <v>5.4378811199999992</v>
      </c>
      <c r="AF22" s="384">
        <f t="shared" si="29"/>
        <v>3.0260340000000001</v>
      </c>
      <c r="AG22" s="385">
        <f t="shared" si="29"/>
        <v>3.6469079999999998</v>
      </c>
      <c r="AH22" s="393">
        <f t="shared" si="29"/>
        <v>4.913748</v>
      </c>
      <c r="AI22" s="394">
        <f t="shared" si="29"/>
        <v>2.8242983999999995</v>
      </c>
      <c r="AJ22" s="385">
        <f t="shared" si="29"/>
        <v>3.4037807999999994</v>
      </c>
      <c r="AK22" s="393">
        <f t="shared" si="29"/>
        <v>4.5861647999999997</v>
      </c>
      <c r="AL22" s="810"/>
      <c r="AM22" s="813"/>
      <c r="AN22" s="813"/>
      <c r="AO22" s="813"/>
    </row>
    <row r="23" spans="2:41" ht="18" customHeight="1">
      <c r="B23" s="2502"/>
      <c r="C23" s="2508" t="s">
        <v>988</v>
      </c>
      <c r="D23" s="2508"/>
      <c r="E23" s="2509"/>
      <c r="F23" s="2510">
        <v>1000</v>
      </c>
      <c r="G23" s="2514">
        <f>F23*E24</f>
        <v>950</v>
      </c>
      <c r="H23" s="2507">
        <f t="shared" ref="H23" si="31">G23*$H$6</f>
        <v>2565</v>
      </c>
      <c r="I23" s="2507">
        <f t="shared" ref="I23" si="32">G23*12%*12</f>
        <v>1368</v>
      </c>
      <c r="J23" s="2507">
        <f t="shared" ref="J23" si="33">G23*3%*12</f>
        <v>342</v>
      </c>
      <c r="K23" s="2507">
        <f t="shared" ref="K23" si="34">G23*7%*12</f>
        <v>798</v>
      </c>
      <c r="L23" s="2507">
        <f t="shared" ref="L23" si="35">I23*70%*58%</f>
        <v>555.4079999999999</v>
      </c>
      <c r="M23" s="2499">
        <f t="shared" ref="M23" si="36">(J23+K23)*70%*58%</f>
        <v>462.84</v>
      </c>
      <c r="N23" s="2499">
        <f t="shared" ref="N23" si="37">I23*15%</f>
        <v>205.2</v>
      </c>
      <c r="O23" s="2499">
        <f>(J23+K23)*15%</f>
        <v>171</v>
      </c>
      <c r="P23" s="2491">
        <f>G23*3.5%*12</f>
        <v>399</v>
      </c>
      <c r="Q23" s="2499">
        <f>G23*4%*12</f>
        <v>456</v>
      </c>
      <c r="R23" s="2491"/>
      <c r="S23" s="2491"/>
      <c r="T23" s="379">
        <f>H23+(I23/12*10)+J23+(L23/12)+(N23/12)+P23</f>
        <v>4509.384</v>
      </c>
      <c r="U23" s="380">
        <f>H23+I23+J23+L23+N23+P23</f>
        <v>5434.6079999999993</v>
      </c>
      <c r="V23" s="575">
        <f>H23+I23+J23+K23+L23+M23+N23+O23+P23+Q23</f>
        <v>7322.4479999999994</v>
      </c>
      <c r="W23" s="379">
        <f>T23*$Y$5</f>
        <v>4193.7271200000005</v>
      </c>
      <c r="X23" s="380">
        <f>U23*$Y$5</f>
        <v>5054.1854399999993</v>
      </c>
      <c r="Y23" s="575">
        <f>V23*$Y$5</f>
        <v>6809.8766399999995</v>
      </c>
      <c r="Z23" s="379">
        <f t="shared" ref="Z23:AB23" si="38">T23*$AB$5</f>
        <v>3878.07024</v>
      </c>
      <c r="AA23" s="380">
        <f t="shared" si="38"/>
        <v>4673.7628799999993</v>
      </c>
      <c r="AB23" s="381">
        <f t="shared" si="38"/>
        <v>6297.3052799999996</v>
      </c>
      <c r="AC23" s="382">
        <f>T23*$AE$5</f>
        <v>3742.78872</v>
      </c>
      <c r="AD23" s="380">
        <f>U23*$AE$5</f>
        <v>4510.7246399999995</v>
      </c>
      <c r="AE23" s="575">
        <f>V23*$AE$5</f>
        <v>6077.6318399999991</v>
      </c>
      <c r="AF23" s="379">
        <f>T23*$AH$5</f>
        <v>3382.038</v>
      </c>
      <c r="AG23" s="380">
        <f>U23*$AH$5</f>
        <v>4075.9559999999992</v>
      </c>
      <c r="AH23" s="381">
        <f>V23*$AH$5</f>
        <v>5491.8359999999993</v>
      </c>
      <c r="AI23" s="382">
        <f>T23*$AK$5</f>
        <v>3156.5688</v>
      </c>
      <c r="AJ23" s="380">
        <f>U23*$AK$5</f>
        <v>3804.2255999999993</v>
      </c>
      <c r="AK23" s="381">
        <f>V23*$AK$5</f>
        <v>5125.7135999999991</v>
      </c>
      <c r="AL23" s="810"/>
      <c r="AM23" s="813"/>
      <c r="AN23" s="813"/>
      <c r="AO23" s="813"/>
    </row>
    <row r="24" spans="2:41" ht="18" customHeight="1">
      <c r="B24" s="2502"/>
      <c r="C24" s="2492" t="s">
        <v>987</v>
      </c>
      <c r="D24" s="2492"/>
      <c r="E24" s="374">
        <v>0.95</v>
      </c>
      <c r="F24" s="2511"/>
      <c r="G24" s="2515"/>
      <c r="H24" s="2475"/>
      <c r="I24" s="2475"/>
      <c r="J24" s="2475"/>
      <c r="K24" s="2475"/>
      <c r="L24" s="2475"/>
      <c r="M24" s="2499"/>
      <c r="N24" s="2499"/>
      <c r="O24" s="2499"/>
      <c r="P24" s="2491"/>
      <c r="Q24" s="2499"/>
      <c r="R24" s="2491"/>
      <c r="S24" s="2491"/>
      <c r="T24" s="384">
        <f>T23/$F$23</f>
        <v>4.5093839999999998</v>
      </c>
      <c r="U24" s="385">
        <f t="shared" ref="U24:AK24" si="39">U23/$F$23</f>
        <v>5.434607999999999</v>
      </c>
      <c r="V24" s="578">
        <f t="shared" si="39"/>
        <v>7.3224479999999996</v>
      </c>
      <c r="W24" s="384">
        <f t="shared" si="39"/>
        <v>4.1937271200000001</v>
      </c>
      <c r="X24" s="385">
        <f t="shared" si="39"/>
        <v>5.0541854399999995</v>
      </c>
      <c r="Y24" s="578">
        <f t="shared" si="39"/>
        <v>6.8098766399999997</v>
      </c>
      <c r="Z24" s="384">
        <f>Z23/$F$23</f>
        <v>3.87807024</v>
      </c>
      <c r="AA24" s="385">
        <f t="shared" ref="AA24:AB24" si="40">AA23/$F$23</f>
        <v>4.6737628799999991</v>
      </c>
      <c r="AB24" s="393">
        <f t="shared" si="40"/>
        <v>6.2973052799999998</v>
      </c>
      <c r="AC24" s="394">
        <f t="shared" si="39"/>
        <v>3.7427887200000001</v>
      </c>
      <c r="AD24" s="385">
        <f t="shared" si="39"/>
        <v>4.5107246399999994</v>
      </c>
      <c r="AE24" s="578">
        <f t="shared" si="39"/>
        <v>6.0776318399999987</v>
      </c>
      <c r="AF24" s="384">
        <f t="shared" si="39"/>
        <v>3.3820380000000001</v>
      </c>
      <c r="AG24" s="385">
        <f t="shared" si="39"/>
        <v>4.0759559999999988</v>
      </c>
      <c r="AH24" s="393">
        <f t="shared" si="39"/>
        <v>5.4918359999999993</v>
      </c>
      <c r="AI24" s="394">
        <f t="shared" si="39"/>
        <v>3.1565688000000001</v>
      </c>
      <c r="AJ24" s="385">
        <f t="shared" si="39"/>
        <v>3.8042255999999992</v>
      </c>
      <c r="AK24" s="393">
        <f t="shared" si="39"/>
        <v>5.1257135999999992</v>
      </c>
      <c r="AL24" s="810"/>
      <c r="AM24" s="813"/>
      <c r="AN24" s="813"/>
      <c r="AO24" s="813"/>
    </row>
    <row r="25" spans="2:41" ht="18" customHeight="1">
      <c r="B25" s="2502"/>
      <c r="C25" s="2504" t="s">
        <v>989</v>
      </c>
      <c r="D25" s="2504"/>
      <c r="E25" s="2505"/>
      <c r="F25" s="2485">
        <v>1000</v>
      </c>
      <c r="G25" s="2487">
        <f>F25*E26</f>
        <v>850</v>
      </c>
      <c r="H25" s="2507">
        <f t="shared" ref="H25" si="41">G25*$H$6</f>
        <v>2295</v>
      </c>
      <c r="I25" s="2507">
        <f t="shared" ref="I25" si="42">G25*12%*12</f>
        <v>1224</v>
      </c>
      <c r="J25" s="2507"/>
      <c r="K25" s="2507">
        <f>G25*10%*12</f>
        <v>1020</v>
      </c>
      <c r="L25" s="2479">
        <f t="shared" ref="L25" si="43">I25*70%*58%</f>
        <v>496.94399999999996</v>
      </c>
      <c r="M25" s="2475">
        <f t="shared" ref="M25" si="44">(J25+K25)*70%*58%</f>
        <v>414.11999999999995</v>
      </c>
      <c r="N25" s="2475">
        <f t="shared" ref="N25" si="45">I25*15%</f>
        <v>183.6</v>
      </c>
      <c r="O25" s="2475">
        <f>(J25+K25)*15%</f>
        <v>153</v>
      </c>
      <c r="P25" s="2477"/>
      <c r="Q25" s="2475">
        <f>G25*4%*12</f>
        <v>408</v>
      </c>
      <c r="R25" s="2477"/>
      <c r="S25" s="2477"/>
      <c r="T25" s="379">
        <f>H25+(I25/12*7)+(L25/12)+(N25/12)</f>
        <v>3065.712</v>
      </c>
      <c r="U25" s="380">
        <f>H25+I25+J25+L25+N25</f>
        <v>4199.5439999999999</v>
      </c>
      <c r="V25" s="575">
        <f>H25+I25+J25+K25+L25+M25+N25+O25+P25+Q25</f>
        <v>6194.6639999999998</v>
      </c>
      <c r="W25" s="379">
        <f>T25*$Y$5</f>
        <v>2851.1121600000001</v>
      </c>
      <c r="X25" s="380">
        <f>U25*$Y$5</f>
        <v>3905.5759200000002</v>
      </c>
      <c r="Y25" s="575">
        <f>V25*$Y$5</f>
        <v>5761.0375199999999</v>
      </c>
      <c r="Z25" s="379">
        <f t="shared" ref="Z25:AB25" si="46">T25*$AB$5</f>
        <v>2636.5123199999998</v>
      </c>
      <c r="AA25" s="380">
        <f t="shared" si="46"/>
        <v>3611.6078399999997</v>
      </c>
      <c r="AB25" s="381">
        <f t="shared" si="46"/>
        <v>5327.41104</v>
      </c>
      <c r="AC25" s="382">
        <f>T25*$AE$5</f>
        <v>2544.5409599999998</v>
      </c>
      <c r="AD25" s="380">
        <f>U25*$AE$5</f>
        <v>3485.6215199999997</v>
      </c>
      <c r="AE25" s="575">
        <f>V25*$AE$5</f>
        <v>5141.5711199999996</v>
      </c>
      <c r="AF25" s="379">
        <f>T25*$AH$5</f>
        <v>2299.2840000000001</v>
      </c>
      <c r="AG25" s="380">
        <f>U25*$AH$5</f>
        <v>3149.6579999999999</v>
      </c>
      <c r="AH25" s="381">
        <f>V25*$AH$5</f>
        <v>4645.9979999999996</v>
      </c>
      <c r="AI25" s="382">
        <f>T25*$AK$5</f>
        <v>2145.9983999999999</v>
      </c>
      <c r="AJ25" s="380">
        <f>U25*$AK$5</f>
        <v>2939.6807999999996</v>
      </c>
      <c r="AK25" s="381">
        <f>V25*$AK$5</f>
        <v>4336.2647999999999</v>
      </c>
      <c r="AL25" s="810"/>
      <c r="AM25" s="813"/>
      <c r="AN25" s="813"/>
      <c r="AO25" s="813"/>
    </row>
    <row r="26" spans="2:41" ht="18" customHeight="1" thickBot="1">
      <c r="B26" s="2503"/>
      <c r="C26" s="2498" t="s">
        <v>987</v>
      </c>
      <c r="D26" s="2498"/>
      <c r="E26" s="383">
        <v>0.85</v>
      </c>
      <c r="F26" s="2486"/>
      <c r="G26" s="2488"/>
      <c r="H26" s="2480"/>
      <c r="I26" s="2480"/>
      <c r="J26" s="2480"/>
      <c r="K26" s="2480"/>
      <c r="L26" s="2480"/>
      <c r="M26" s="2476"/>
      <c r="N26" s="2476"/>
      <c r="O26" s="2476"/>
      <c r="P26" s="2478"/>
      <c r="Q26" s="2476"/>
      <c r="R26" s="2478"/>
      <c r="S26" s="2478"/>
      <c r="T26" s="387">
        <f t="shared" ref="T26:AK26" si="47">T25/$F$25</f>
        <v>3.065712</v>
      </c>
      <c r="U26" s="388">
        <f t="shared" si="47"/>
        <v>4.1995439999999995</v>
      </c>
      <c r="V26" s="576">
        <f t="shared" si="47"/>
        <v>6.1946639999999995</v>
      </c>
      <c r="W26" s="387">
        <f t="shared" si="47"/>
        <v>2.85111216</v>
      </c>
      <c r="X26" s="388">
        <f t="shared" si="47"/>
        <v>3.9055759200000004</v>
      </c>
      <c r="Y26" s="576">
        <f t="shared" si="47"/>
        <v>5.7610375199999995</v>
      </c>
      <c r="Z26" s="387">
        <f>Z25/$F$25</f>
        <v>2.63651232</v>
      </c>
      <c r="AA26" s="388">
        <f t="shared" ref="AA26:AB26" si="48">AA25/$F$25</f>
        <v>3.6116078399999996</v>
      </c>
      <c r="AB26" s="395">
        <f t="shared" si="48"/>
        <v>5.3274110400000003</v>
      </c>
      <c r="AC26" s="396">
        <f t="shared" si="47"/>
        <v>2.54454096</v>
      </c>
      <c r="AD26" s="388">
        <f t="shared" si="47"/>
        <v>3.4856215199999996</v>
      </c>
      <c r="AE26" s="576">
        <f t="shared" si="47"/>
        <v>5.1415711200000001</v>
      </c>
      <c r="AF26" s="387">
        <f t="shared" si="47"/>
        <v>2.2992840000000001</v>
      </c>
      <c r="AG26" s="388">
        <f t="shared" si="47"/>
        <v>3.1496580000000001</v>
      </c>
      <c r="AH26" s="395">
        <f t="shared" si="47"/>
        <v>4.6459979999999996</v>
      </c>
      <c r="AI26" s="396">
        <f t="shared" si="47"/>
        <v>2.1459983999999999</v>
      </c>
      <c r="AJ26" s="388">
        <f t="shared" si="47"/>
        <v>2.9396807999999996</v>
      </c>
      <c r="AK26" s="390">
        <f t="shared" si="47"/>
        <v>4.3362648000000004</v>
      </c>
      <c r="AL26" s="810"/>
      <c r="AM26" s="813"/>
      <c r="AN26" s="813"/>
      <c r="AO26" s="813"/>
    </row>
    <row r="27" spans="2:41" ht="18" customHeight="1">
      <c r="B27" s="2267" t="s">
        <v>990</v>
      </c>
      <c r="C27" s="2493" t="s">
        <v>991</v>
      </c>
      <c r="D27" s="2494"/>
      <c r="E27" s="2495"/>
      <c r="F27" s="2496">
        <v>1000</v>
      </c>
      <c r="G27" s="2479">
        <f>F27*E28</f>
        <v>430</v>
      </c>
      <c r="H27" s="2479">
        <f t="shared" ref="H27" si="49">G27*$H$6</f>
        <v>1161</v>
      </c>
      <c r="I27" s="2479">
        <f t="shared" ref="I27" si="50">G27*12%*12</f>
        <v>619.20000000000005</v>
      </c>
      <c r="J27" s="2479"/>
      <c r="K27" s="2477">
        <f t="shared" ref="K27" si="51">G27*10%*12</f>
        <v>516</v>
      </c>
      <c r="L27" s="2479">
        <f t="shared" ref="L27" si="52">I27*70%*58%</f>
        <v>251.39519999999999</v>
      </c>
      <c r="M27" s="2479">
        <f t="shared" ref="M27" si="53">(J27+K27)*70%*58%</f>
        <v>209.49599999999998</v>
      </c>
      <c r="N27" s="2475">
        <f t="shared" ref="N27" si="54">I27*15%</f>
        <v>92.88000000000001</v>
      </c>
      <c r="O27" s="2475">
        <f>(J27+K27)*15%</f>
        <v>77.399999999999991</v>
      </c>
      <c r="P27" s="2477"/>
      <c r="Q27" s="2475">
        <f>G27*3%*12</f>
        <v>154.80000000000001</v>
      </c>
      <c r="R27" s="2477"/>
      <c r="S27" s="2477"/>
      <c r="T27" s="814">
        <f>H27+(I27/12*7)+(L27/12)+(N27/12)</f>
        <v>1550.8896</v>
      </c>
      <c r="U27" s="815">
        <f>H27+I27+J27+L27+N27</f>
        <v>2124.4751999999999</v>
      </c>
      <c r="V27" s="816">
        <f>H27+I27+J27+K27+L27+M27+N27+O27+P27+Q27</f>
        <v>3082.1712000000002</v>
      </c>
      <c r="W27" s="814">
        <f>T27*$Y$5</f>
        <v>1442.3273280000001</v>
      </c>
      <c r="X27" s="815">
        <f>U27*$Y$5</f>
        <v>1975.7619359999999</v>
      </c>
      <c r="Y27" s="816">
        <f>V27*$Y$5</f>
        <v>2866.4192160000002</v>
      </c>
      <c r="Z27" s="814">
        <f t="shared" ref="Z27:AB27" si="55">T27*$AB$5</f>
        <v>1333.765056</v>
      </c>
      <c r="AA27" s="815">
        <f t="shared" si="55"/>
        <v>1827.0486719999999</v>
      </c>
      <c r="AB27" s="817">
        <f t="shared" si="55"/>
        <v>2650.6672320000002</v>
      </c>
      <c r="AC27" s="818">
        <f>T27*$AE$5</f>
        <v>1287.2383679999998</v>
      </c>
      <c r="AD27" s="815">
        <f>U27*$AE$5</f>
        <v>1763.3144159999997</v>
      </c>
      <c r="AE27" s="816">
        <f>V27*$AE$5</f>
        <v>2558.202096</v>
      </c>
      <c r="AF27" s="814">
        <f>T27*$AH$5</f>
        <v>1163.1671999999999</v>
      </c>
      <c r="AG27" s="815">
        <f>U27*$AH$5</f>
        <v>1593.3563999999999</v>
      </c>
      <c r="AH27" s="817">
        <f>V27*$AH$5</f>
        <v>2311.6284000000001</v>
      </c>
      <c r="AI27" s="818">
        <f>T27*$AK$5</f>
        <v>1085.6227199999998</v>
      </c>
      <c r="AJ27" s="815">
        <f>U27*$AK$5</f>
        <v>1487.1326399999998</v>
      </c>
      <c r="AK27" s="817">
        <f>V27*$AK$5</f>
        <v>2157.5198399999999</v>
      </c>
      <c r="AL27" s="810"/>
      <c r="AM27" s="813"/>
      <c r="AN27" s="813"/>
      <c r="AO27" s="813"/>
    </row>
    <row r="28" spans="2:41" ht="18" customHeight="1">
      <c r="B28" s="2267"/>
      <c r="C28" s="2492" t="s">
        <v>442</v>
      </c>
      <c r="D28" s="2492"/>
      <c r="E28" s="374">
        <v>0.43</v>
      </c>
      <c r="F28" s="2506"/>
      <c r="G28" s="2475"/>
      <c r="H28" s="2475"/>
      <c r="I28" s="2475"/>
      <c r="J28" s="2475"/>
      <c r="K28" s="2491"/>
      <c r="L28" s="2475"/>
      <c r="M28" s="2475"/>
      <c r="N28" s="2499"/>
      <c r="O28" s="2499"/>
      <c r="P28" s="2491"/>
      <c r="Q28" s="2499"/>
      <c r="R28" s="2491"/>
      <c r="S28" s="2491"/>
      <c r="T28" s="375">
        <f t="shared" ref="T28:AK28" si="56">T27/$F27</f>
        <v>1.5508895999999999</v>
      </c>
      <c r="U28" s="376">
        <f t="shared" si="56"/>
        <v>2.1244752</v>
      </c>
      <c r="V28" s="574">
        <f t="shared" si="56"/>
        <v>3.0821712000000003</v>
      </c>
      <c r="W28" s="375">
        <f t="shared" si="56"/>
        <v>1.4423273280000002</v>
      </c>
      <c r="X28" s="376">
        <f t="shared" si="56"/>
        <v>1.9757619359999998</v>
      </c>
      <c r="Y28" s="574">
        <f t="shared" si="56"/>
        <v>2.8664192160000002</v>
      </c>
      <c r="Z28" s="375">
        <f t="shared" si="56"/>
        <v>1.3337650560000001</v>
      </c>
      <c r="AA28" s="376">
        <f t="shared" si="56"/>
        <v>1.8270486719999999</v>
      </c>
      <c r="AB28" s="377">
        <f t="shared" si="56"/>
        <v>2.6506672320000004</v>
      </c>
      <c r="AC28" s="378">
        <f t="shared" si="56"/>
        <v>1.2872383679999999</v>
      </c>
      <c r="AD28" s="376">
        <f t="shared" si="56"/>
        <v>1.7633144159999996</v>
      </c>
      <c r="AE28" s="574">
        <f t="shared" si="56"/>
        <v>2.558202096</v>
      </c>
      <c r="AF28" s="375">
        <f t="shared" si="56"/>
        <v>1.1631672</v>
      </c>
      <c r="AG28" s="376">
        <f t="shared" si="56"/>
        <v>1.5933563999999998</v>
      </c>
      <c r="AH28" s="377">
        <f t="shared" si="56"/>
        <v>2.3116284</v>
      </c>
      <c r="AI28" s="378">
        <f t="shared" si="56"/>
        <v>1.0856227199999999</v>
      </c>
      <c r="AJ28" s="376">
        <f t="shared" si="56"/>
        <v>1.4871326399999998</v>
      </c>
      <c r="AK28" s="377">
        <f t="shared" si="56"/>
        <v>2.15751984</v>
      </c>
      <c r="AL28" s="810"/>
      <c r="AM28" s="813"/>
      <c r="AN28" s="813"/>
      <c r="AO28" s="813"/>
    </row>
    <row r="29" spans="2:41" ht="18" customHeight="1">
      <c r="B29" s="2267"/>
      <c r="C29" s="2493" t="s">
        <v>992</v>
      </c>
      <c r="D29" s="2494"/>
      <c r="E29" s="2495"/>
      <c r="F29" s="2496">
        <v>1000</v>
      </c>
      <c r="G29" s="2479">
        <f>F29*E30</f>
        <v>800</v>
      </c>
      <c r="H29" s="2479">
        <f t="shared" ref="H29" si="57">G29*$H$6</f>
        <v>2160</v>
      </c>
      <c r="I29" s="2479">
        <f t="shared" ref="I29" si="58">G29*12%*12</f>
        <v>1152</v>
      </c>
      <c r="J29" s="2479"/>
      <c r="K29" s="2477">
        <f t="shared" ref="K29" si="59">G29*10%*12</f>
        <v>960</v>
      </c>
      <c r="L29" s="2479">
        <f t="shared" ref="L29" si="60">I29*70%*58%</f>
        <v>467.71199999999993</v>
      </c>
      <c r="M29" s="2479">
        <f t="shared" ref="M29" si="61">(J29+K29)*70%*58%</f>
        <v>389.76</v>
      </c>
      <c r="N29" s="2475">
        <f t="shared" ref="N29" si="62">I29*15%</f>
        <v>172.79999999999998</v>
      </c>
      <c r="O29" s="2475">
        <f>(J29+K29)*15%</f>
        <v>144</v>
      </c>
      <c r="P29" s="2477"/>
      <c r="Q29" s="2475">
        <f>G29*3%*12</f>
        <v>288</v>
      </c>
      <c r="R29" s="2477"/>
      <c r="S29" s="2477"/>
      <c r="T29" s="814">
        <f>H29+(I29/12*7)+(L29/12)+(N29/12)</f>
        <v>2885.3760000000002</v>
      </c>
      <c r="U29" s="815">
        <f>H29+I29+J29+L29+N29</f>
        <v>3952.5120000000002</v>
      </c>
      <c r="V29" s="816">
        <f>H29+I29+J29+K29+L29+M29+N29+O29+P29+Q29</f>
        <v>5734.2719999999999</v>
      </c>
      <c r="W29" s="814">
        <f>T29*$Y$5</f>
        <v>2683.3996800000004</v>
      </c>
      <c r="X29" s="815">
        <f>U29*$Y$5</f>
        <v>3675.8361600000003</v>
      </c>
      <c r="Y29" s="816">
        <f>V29*$Y$5</f>
        <v>5332.8729600000006</v>
      </c>
      <c r="Z29" s="379">
        <f t="shared" ref="Z29:AB29" si="63">T29*$AB$5</f>
        <v>2481.4233600000002</v>
      </c>
      <c r="AA29" s="380">
        <f t="shared" si="63"/>
        <v>3399.16032</v>
      </c>
      <c r="AB29" s="381">
        <f t="shared" si="63"/>
        <v>4931.4739199999995</v>
      </c>
      <c r="AC29" s="818">
        <f>T29*$AE$5</f>
        <v>2394.8620799999999</v>
      </c>
      <c r="AD29" s="815">
        <f>U29*$AE$5</f>
        <v>3280.5849600000001</v>
      </c>
      <c r="AE29" s="816">
        <f>V29*$AE$5</f>
        <v>4759.4457599999996</v>
      </c>
      <c r="AF29" s="814">
        <f>T29*$AH$5</f>
        <v>2164.0320000000002</v>
      </c>
      <c r="AG29" s="815">
        <f>U29*$AH$5</f>
        <v>2964.384</v>
      </c>
      <c r="AH29" s="817">
        <f>V29*$AH$5</f>
        <v>4300.7039999999997</v>
      </c>
      <c r="AI29" s="818">
        <f>T29*$AK$5</f>
        <v>2019.7632000000001</v>
      </c>
      <c r="AJ29" s="815">
        <f>U29*$AK$5</f>
        <v>2766.7584000000002</v>
      </c>
      <c r="AK29" s="817">
        <f>V29*$AK$5</f>
        <v>4013.9903999999997</v>
      </c>
      <c r="AL29" s="810"/>
      <c r="AM29" s="813"/>
      <c r="AN29" s="813"/>
      <c r="AO29" s="813"/>
    </row>
    <row r="30" spans="2:41" ht="18" customHeight="1" thickBot="1">
      <c r="B30" s="2500"/>
      <c r="C30" s="2498" t="s">
        <v>993</v>
      </c>
      <c r="D30" s="2498"/>
      <c r="E30" s="383">
        <v>0.8</v>
      </c>
      <c r="F30" s="2497"/>
      <c r="G30" s="2480"/>
      <c r="H30" s="2480"/>
      <c r="I30" s="2480"/>
      <c r="J30" s="2480"/>
      <c r="K30" s="2478"/>
      <c r="L30" s="2480"/>
      <c r="M30" s="2480"/>
      <c r="N30" s="2476"/>
      <c r="O30" s="2476"/>
      <c r="P30" s="2478"/>
      <c r="Q30" s="2476"/>
      <c r="R30" s="2478"/>
      <c r="S30" s="2478"/>
      <c r="T30" s="391">
        <f t="shared" ref="T30:AK30" si="64">T29/$F29</f>
        <v>2.8853760000000004</v>
      </c>
      <c r="U30" s="389">
        <f t="shared" si="64"/>
        <v>3.952512</v>
      </c>
      <c r="V30" s="577">
        <f t="shared" si="64"/>
        <v>5.7342719999999998</v>
      </c>
      <c r="W30" s="391">
        <f t="shared" si="64"/>
        <v>2.6833996800000004</v>
      </c>
      <c r="X30" s="389">
        <f t="shared" si="64"/>
        <v>3.6758361600000002</v>
      </c>
      <c r="Y30" s="577">
        <f t="shared" si="64"/>
        <v>5.3328729600000004</v>
      </c>
      <c r="Z30" s="375">
        <f t="shared" si="64"/>
        <v>2.4814233600000004</v>
      </c>
      <c r="AA30" s="376">
        <f t="shared" si="64"/>
        <v>3.39916032</v>
      </c>
      <c r="AB30" s="377">
        <f t="shared" si="64"/>
        <v>4.9314739199999993</v>
      </c>
      <c r="AC30" s="392">
        <f t="shared" si="64"/>
        <v>2.3948620799999998</v>
      </c>
      <c r="AD30" s="389">
        <f t="shared" si="64"/>
        <v>3.2805849600000001</v>
      </c>
      <c r="AE30" s="577">
        <f t="shared" si="64"/>
        <v>4.7594457599999993</v>
      </c>
      <c r="AF30" s="391">
        <f t="shared" si="64"/>
        <v>2.1640320000000002</v>
      </c>
      <c r="AG30" s="389">
        <f t="shared" si="64"/>
        <v>2.9643839999999999</v>
      </c>
      <c r="AH30" s="390">
        <f t="shared" si="64"/>
        <v>4.3007039999999996</v>
      </c>
      <c r="AI30" s="392">
        <f t="shared" si="64"/>
        <v>2.0197632000000003</v>
      </c>
      <c r="AJ30" s="389">
        <f t="shared" si="64"/>
        <v>2.7667584000000001</v>
      </c>
      <c r="AK30" s="390">
        <f t="shared" si="64"/>
        <v>4.0139904</v>
      </c>
      <c r="AL30" s="810"/>
      <c r="AM30" s="813"/>
      <c r="AN30" s="813"/>
      <c r="AO30" s="813"/>
    </row>
    <row r="31" spans="2:41" ht="18" customHeight="1">
      <c r="B31" s="2483" t="s">
        <v>994</v>
      </c>
      <c r="C31" s="827" t="s">
        <v>55</v>
      </c>
      <c r="D31" s="422" t="s">
        <v>995</v>
      </c>
      <c r="E31" s="423" t="s">
        <v>996</v>
      </c>
      <c r="F31" s="2485">
        <v>100000</v>
      </c>
      <c r="G31" s="2487"/>
      <c r="H31" s="2489"/>
      <c r="I31" s="2479"/>
      <c r="J31" s="2479"/>
      <c r="K31" s="2479"/>
      <c r="L31" s="2479"/>
      <c r="M31" s="2475"/>
      <c r="N31" s="2475"/>
      <c r="O31" s="2475"/>
      <c r="P31" s="2477"/>
      <c r="Q31" s="2479"/>
      <c r="R31" s="2479"/>
      <c r="S31" s="2481">
        <f>F31*E32</f>
        <v>1600</v>
      </c>
      <c r="T31" s="814">
        <f>H31+I31+L31+N31+S31</f>
        <v>1600</v>
      </c>
      <c r="U31" s="815">
        <f>T31</f>
        <v>1600</v>
      </c>
      <c r="V31" s="816">
        <f>T31</f>
        <v>1600</v>
      </c>
      <c r="W31" s="814">
        <f>T31*$Y$5</f>
        <v>1488</v>
      </c>
      <c r="X31" s="815">
        <f>U31*$Y$5</f>
        <v>1488</v>
      </c>
      <c r="Y31" s="816">
        <f>V31*$Y$5</f>
        <v>1488</v>
      </c>
      <c r="Z31" s="379">
        <f t="shared" ref="Z31:AB31" si="65">T31*$AB$5</f>
        <v>1376</v>
      </c>
      <c r="AA31" s="380">
        <f t="shared" si="65"/>
        <v>1376</v>
      </c>
      <c r="AB31" s="381">
        <f t="shared" si="65"/>
        <v>1376</v>
      </c>
      <c r="AC31" s="818">
        <f>T31*$AE$5</f>
        <v>1328</v>
      </c>
      <c r="AD31" s="815">
        <f>U31*$AE$5</f>
        <v>1328</v>
      </c>
      <c r="AE31" s="816">
        <f>V31*$AE$5</f>
        <v>1328</v>
      </c>
      <c r="AF31" s="814">
        <f>T31*$AH$5</f>
        <v>1200</v>
      </c>
      <c r="AG31" s="815">
        <f>U31*$AH$5</f>
        <v>1200</v>
      </c>
      <c r="AH31" s="817">
        <f>V31*$AH$5</f>
        <v>1200</v>
      </c>
      <c r="AI31" s="818">
        <f>T31*$AK$5</f>
        <v>1120</v>
      </c>
      <c r="AJ31" s="815">
        <f>U31*$AK$5</f>
        <v>1120</v>
      </c>
      <c r="AK31" s="817">
        <f>V31*$AK$5</f>
        <v>1120</v>
      </c>
      <c r="AL31" s="810"/>
      <c r="AM31" s="813"/>
      <c r="AN31" s="813"/>
      <c r="AO31" s="813"/>
    </row>
    <row r="32" spans="2:41" ht="18" customHeight="1" thickBot="1">
      <c r="B32" s="2484"/>
      <c r="C32" s="397" t="s">
        <v>997</v>
      </c>
      <c r="D32" s="398">
        <v>0</v>
      </c>
      <c r="E32" s="399">
        <v>1.6E-2</v>
      </c>
      <c r="F32" s="2486"/>
      <c r="G32" s="2488"/>
      <c r="H32" s="2490"/>
      <c r="I32" s="2480"/>
      <c r="J32" s="2480"/>
      <c r="K32" s="2480"/>
      <c r="L32" s="2480"/>
      <c r="M32" s="2476"/>
      <c r="N32" s="2476"/>
      <c r="O32" s="2476"/>
      <c r="P32" s="2478"/>
      <c r="Q32" s="2480"/>
      <c r="R32" s="2480"/>
      <c r="S32" s="2482"/>
      <c r="T32" s="400">
        <f>T31/$F$31</f>
        <v>1.6E-2</v>
      </c>
      <c r="U32" s="401">
        <f t="shared" ref="U32:V32" si="66">U31/$F$31</f>
        <v>1.6E-2</v>
      </c>
      <c r="V32" s="579">
        <f t="shared" si="66"/>
        <v>1.6E-2</v>
      </c>
      <c r="W32" s="400">
        <f>W31/$F$31</f>
        <v>1.4880000000000001E-2</v>
      </c>
      <c r="X32" s="401">
        <f t="shared" ref="X32:Y32" si="67">X31/$F$31</f>
        <v>1.4880000000000001E-2</v>
      </c>
      <c r="Y32" s="579">
        <f t="shared" si="67"/>
        <v>1.4880000000000001E-2</v>
      </c>
      <c r="Z32" s="400">
        <f>Z31/$F$31</f>
        <v>1.376E-2</v>
      </c>
      <c r="AA32" s="401">
        <f t="shared" ref="AA32:AB32" si="68">AA31/$F$31</f>
        <v>1.376E-2</v>
      </c>
      <c r="AB32" s="402">
        <f t="shared" si="68"/>
        <v>1.376E-2</v>
      </c>
      <c r="AC32" s="403">
        <f>AC31/$F$31</f>
        <v>1.328E-2</v>
      </c>
      <c r="AD32" s="401">
        <f t="shared" ref="AD32:AE32" si="69">AD31/$F$31</f>
        <v>1.328E-2</v>
      </c>
      <c r="AE32" s="579">
        <f t="shared" si="69"/>
        <v>1.328E-2</v>
      </c>
      <c r="AF32" s="400">
        <f>AF31/$F$31</f>
        <v>1.2E-2</v>
      </c>
      <c r="AG32" s="401">
        <f t="shared" ref="AG32:AH32" si="70">AG31/$F$31</f>
        <v>1.2E-2</v>
      </c>
      <c r="AH32" s="402">
        <f t="shared" si="70"/>
        <v>1.2E-2</v>
      </c>
      <c r="AI32" s="403">
        <f>AI31/$F$31</f>
        <v>1.12E-2</v>
      </c>
      <c r="AJ32" s="401">
        <f t="shared" ref="AJ32:AK32" si="71">AJ31/$F$31</f>
        <v>1.12E-2</v>
      </c>
      <c r="AK32" s="402">
        <f t="shared" si="71"/>
        <v>1.12E-2</v>
      </c>
      <c r="AL32" s="810"/>
      <c r="AM32" s="813"/>
      <c r="AN32" s="813"/>
      <c r="AO32" s="813"/>
    </row>
    <row r="33" spans="2:41" ht="18" customHeight="1">
      <c r="U33" s="897"/>
      <c r="AL33" s="810"/>
      <c r="AM33" s="813"/>
      <c r="AN33" s="813"/>
      <c r="AO33" s="813"/>
    </row>
    <row r="34" spans="2:41" s="76" customFormat="1" ht="18" customHeight="1">
      <c r="B34" s="74" t="s">
        <v>945</v>
      </c>
      <c r="C34" s="74"/>
      <c r="D34" s="45"/>
      <c r="E34" s="45"/>
      <c r="F34" s="75"/>
      <c r="G34" s="75"/>
      <c r="L34" s="108"/>
      <c r="P34" s="898"/>
      <c r="AL34" s="828"/>
      <c r="AM34" s="828"/>
      <c r="AN34" s="828"/>
      <c r="AO34" s="828"/>
    </row>
    <row r="35" spans="2:41" s="76" customFormat="1" ht="18" customHeight="1">
      <c r="B35" s="76" t="s">
        <v>998</v>
      </c>
      <c r="C35" s="74"/>
      <c r="D35" s="75"/>
      <c r="E35" s="75"/>
      <c r="F35" s="75"/>
      <c r="G35" s="75"/>
      <c r="W35" s="112"/>
    </row>
    <row r="36" spans="2:41" s="76" customFormat="1" ht="18" customHeight="1">
      <c r="B36" s="77" t="s">
        <v>1726</v>
      </c>
      <c r="C36" s="74"/>
      <c r="D36" s="75"/>
      <c r="E36" s="75"/>
      <c r="F36" s="75"/>
      <c r="G36" s="75"/>
      <c r="S36" s="112"/>
      <c r="T36" s="112"/>
    </row>
    <row r="37" spans="2:41" s="47" customFormat="1" ht="18" customHeight="1">
      <c r="B37" s="47" t="s">
        <v>999</v>
      </c>
      <c r="C37" s="45"/>
      <c r="D37" s="45"/>
      <c r="E37" s="45"/>
      <c r="F37" s="45"/>
      <c r="S37" s="112"/>
    </row>
    <row r="38" spans="2:41" s="47" customFormat="1" ht="18" customHeight="1">
      <c r="B38" s="47" t="s">
        <v>744</v>
      </c>
      <c r="C38" s="45"/>
      <c r="D38" s="45"/>
      <c r="E38" s="45"/>
      <c r="F38" s="45"/>
      <c r="S38" s="112"/>
      <c r="T38" s="112"/>
    </row>
    <row r="39" spans="2:41" s="404" customFormat="1" ht="18" customHeight="1">
      <c r="B39" s="404" t="s">
        <v>1000</v>
      </c>
      <c r="D39" s="405"/>
      <c r="E39" s="405"/>
      <c r="F39" s="405"/>
      <c r="G39" s="405"/>
      <c r="S39" s="406"/>
      <c r="W39" s="310"/>
      <c r="X39" s="310"/>
      <c r="Y39" s="310"/>
      <c r="Z39" s="310"/>
      <c r="AA39" s="310"/>
      <c r="AB39" s="310"/>
      <c r="AC39" s="310"/>
      <c r="AD39" s="310"/>
    </row>
    <row r="40" spans="2:41" s="76" customFormat="1" ht="18" customHeight="1">
      <c r="B40" s="76" t="s">
        <v>1001</v>
      </c>
      <c r="C40" s="74"/>
      <c r="D40" s="75"/>
      <c r="E40" s="75"/>
      <c r="F40" s="75"/>
      <c r="G40" s="75"/>
      <c r="S40" s="112"/>
    </row>
    <row r="41" spans="2:41" s="76" customFormat="1" ht="18" customHeight="1">
      <c r="B41" s="76" t="s">
        <v>1002</v>
      </c>
      <c r="C41" s="74"/>
      <c r="D41" s="75"/>
      <c r="E41" s="75"/>
      <c r="F41" s="75"/>
      <c r="G41" s="75"/>
      <c r="S41" s="112"/>
      <c r="T41" s="112"/>
    </row>
    <row r="42" spans="2:41" s="76" customFormat="1" ht="18" customHeight="1">
      <c r="B42" s="77" t="s">
        <v>1003</v>
      </c>
      <c r="C42" s="75"/>
      <c r="D42" s="75"/>
      <c r="E42" s="75"/>
      <c r="F42" s="75"/>
      <c r="G42" s="75"/>
      <c r="S42" s="112"/>
    </row>
    <row r="49" spans="4:5" ht="18" customHeight="1">
      <c r="D49" s="894"/>
      <c r="E49" s="894"/>
    </row>
    <row r="50" spans="4:5" ht="18" customHeight="1">
      <c r="D50" s="894"/>
      <c r="E50" s="894"/>
    </row>
    <row r="51" spans="4:5" ht="18" customHeight="1">
      <c r="D51" s="894"/>
      <c r="E51" s="894"/>
    </row>
    <row r="52" spans="4:5" ht="18" customHeight="1">
      <c r="D52" s="894"/>
      <c r="E52" s="894"/>
    </row>
    <row r="53" spans="4:5" ht="18" customHeight="1">
      <c r="D53" s="894"/>
      <c r="E53" s="894"/>
    </row>
  </sheetData>
  <mergeCells count="227">
    <mergeCell ref="Z5:AA5"/>
    <mergeCell ref="AC5:AD5"/>
    <mergeCell ref="AF5:AG5"/>
    <mergeCell ref="AI5:AJ5"/>
    <mergeCell ref="C6:D6"/>
    <mergeCell ref="J6:K6"/>
    <mergeCell ref="B1:AK1"/>
    <mergeCell ref="B5:E5"/>
    <mergeCell ref="F5:F6"/>
    <mergeCell ref="G5:G6"/>
    <mergeCell ref="I5:K5"/>
    <mergeCell ref="L5:M5"/>
    <mergeCell ref="N5:O5"/>
    <mergeCell ref="S5:S6"/>
    <mergeCell ref="T5:V5"/>
    <mergeCell ref="W5:X5"/>
    <mergeCell ref="M7:M8"/>
    <mergeCell ref="N7:N8"/>
    <mergeCell ref="O7:O8"/>
    <mergeCell ref="C7:E7"/>
    <mergeCell ref="F7:F8"/>
    <mergeCell ref="G7:G8"/>
    <mergeCell ref="H7:H8"/>
    <mergeCell ref="I7:I8"/>
    <mergeCell ref="P9:P10"/>
    <mergeCell ref="B7:B10"/>
    <mergeCell ref="O11:O12"/>
    <mergeCell ref="P11:P12"/>
    <mergeCell ref="Q11:Q12"/>
    <mergeCell ref="R11:R12"/>
    <mergeCell ref="S11:S12"/>
    <mergeCell ref="C12:D12"/>
    <mergeCell ref="I11:I12"/>
    <mergeCell ref="J11:J12"/>
    <mergeCell ref="K11:K12"/>
    <mergeCell ref="L11:L12"/>
    <mergeCell ref="P7:P8"/>
    <mergeCell ref="Q7:Q8"/>
    <mergeCell ref="R7:R8"/>
    <mergeCell ref="S7:S8"/>
    <mergeCell ref="C8:D8"/>
    <mergeCell ref="C9:E9"/>
    <mergeCell ref="F9:F10"/>
    <mergeCell ref="G9:G10"/>
    <mergeCell ref="H9:H10"/>
    <mergeCell ref="I9:I10"/>
    <mergeCell ref="J7:J8"/>
    <mergeCell ref="K7:K8"/>
    <mergeCell ref="L7:L8"/>
    <mergeCell ref="S9:S10"/>
    <mergeCell ref="C10:D10"/>
    <mergeCell ref="C11:E11"/>
    <mergeCell ref="F11:F12"/>
    <mergeCell ref="G11:G12"/>
    <mergeCell ref="H11:H12"/>
    <mergeCell ref="J9:J10"/>
    <mergeCell ref="K9:K10"/>
    <mergeCell ref="L9:L10"/>
    <mergeCell ref="M9:M10"/>
    <mergeCell ref="N9:N10"/>
    <mergeCell ref="O9:O10"/>
    <mergeCell ref="Q9:Q10"/>
    <mergeCell ref="R9:R10"/>
    <mergeCell ref="M11:M12"/>
    <mergeCell ref="N11:N12"/>
    <mergeCell ref="Q13:Q14"/>
    <mergeCell ref="R13:R14"/>
    <mergeCell ref="S13:S14"/>
    <mergeCell ref="C14:D14"/>
    <mergeCell ref="C15:E15"/>
    <mergeCell ref="F15:F16"/>
    <mergeCell ref="G15:G16"/>
    <mergeCell ref="H15:H16"/>
    <mergeCell ref="I15:I16"/>
    <mergeCell ref="K13:K14"/>
    <mergeCell ref="L13:L14"/>
    <mergeCell ref="M13:M14"/>
    <mergeCell ref="N13:N14"/>
    <mergeCell ref="O13:O14"/>
    <mergeCell ref="P13:P14"/>
    <mergeCell ref="C13:E13"/>
    <mergeCell ref="F13:F14"/>
    <mergeCell ref="G13:G14"/>
    <mergeCell ref="H13:H14"/>
    <mergeCell ref="I13:I14"/>
    <mergeCell ref="J13:J14"/>
    <mergeCell ref="M17:M18"/>
    <mergeCell ref="P15:P16"/>
    <mergeCell ref="Q15:Q16"/>
    <mergeCell ref="R15:R16"/>
    <mergeCell ref="S15:S16"/>
    <mergeCell ref="C16:D16"/>
    <mergeCell ref="C17:E17"/>
    <mergeCell ref="F17:F18"/>
    <mergeCell ref="G17:G18"/>
    <mergeCell ref="H17:H18"/>
    <mergeCell ref="I17:I18"/>
    <mergeCell ref="J15:J16"/>
    <mergeCell ref="K15:K16"/>
    <mergeCell ref="L15:L16"/>
    <mergeCell ref="M15:M16"/>
    <mergeCell ref="N15:N16"/>
    <mergeCell ref="O15:O16"/>
    <mergeCell ref="P17:P18"/>
    <mergeCell ref="Q17:Q18"/>
    <mergeCell ref="R17:R18"/>
    <mergeCell ref="S17:S18"/>
    <mergeCell ref="C18:D18"/>
    <mergeCell ref="N17:N18"/>
    <mergeCell ref="O17:O18"/>
    <mergeCell ref="J21:J22"/>
    <mergeCell ref="C19:E19"/>
    <mergeCell ref="F19:F20"/>
    <mergeCell ref="G19:G20"/>
    <mergeCell ref="H19:H20"/>
    <mergeCell ref="I19:I20"/>
    <mergeCell ref="J17:J18"/>
    <mergeCell ref="K17:K18"/>
    <mergeCell ref="L17:L18"/>
    <mergeCell ref="G23:G24"/>
    <mergeCell ref="H23:H24"/>
    <mergeCell ref="P19:P20"/>
    <mergeCell ref="Q19:Q20"/>
    <mergeCell ref="R19:R20"/>
    <mergeCell ref="S19:S20"/>
    <mergeCell ref="C20:D20"/>
    <mergeCell ref="C21:E21"/>
    <mergeCell ref="F21:F22"/>
    <mergeCell ref="G21:G22"/>
    <mergeCell ref="H21:H22"/>
    <mergeCell ref="J19:J20"/>
    <mergeCell ref="K19:K20"/>
    <mergeCell ref="L19:L20"/>
    <mergeCell ref="M19:M20"/>
    <mergeCell ref="N19:N20"/>
    <mergeCell ref="O19:O20"/>
    <mergeCell ref="O21:O22"/>
    <mergeCell ref="P21:P22"/>
    <mergeCell ref="Q21:Q22"/>
    <mergeCell ref="R21:R22"/>
    <mergeCell ref="S21:S22"/>
    <mergeCell ref="C22:D22"/>
    <mergeCell ref="I21:I22"/>
    <mergeCell ref="R25:R26"/>
    <mergeCell ref="S25:S26"/>
    <mergeCell ref="K25:K26"/>
    <mergeCell ref="L25:L26"/>
    <mergeCell ref="M25:M26"/>
    <mergeCell ref="N25:N26"/>
    <mergeCell ref="O25:O26"/>
    <mergeCell ref="P25:P26"/>
    <mergeCell ref="K21:K22"/>
    <mergeCell ref="L21:L22"/>
    <mergeCell ref="M21:M22"/>
    <mergeCell ref="N21:N22"/>
    <mergeCell ref="Q23:Q24"/>
    <mergeCell ref="R23:R24"/>
    <mergeCell ref="S23:S24"/>
    <mergeCell ref="K23:K24"/>
    <mergeCell ref="L23:L24"/>
    <mergeCell ref="M23:M24"/>
    <mergeCell ref="N23:N24"/>
    <mergeCell ref="O23:O24"/>
    <mergeCell ref="P23:P24"/>
    <mergeCell ref="N27:N28"/>
    <mergeCell ref="O27:O28"/>
    <mergeCell ref="P27:P28"/>
    <mergeCell ref="Q27:Q28"/>
    <mergeCell ref="B11:B20"/>
    <mergeCell ref="B21:B26"/>
    <mergeCell ref="C25:E25"/>
    <mergeCell ref="C26:D26"/>
    <mergeCell ref="B27:B30"/>
    <mergeCell ref="C27:E27"/>
    <mergeCell ref="F27:F28"/>
    <mergeCell ref="G27:G28"/>
    <mergeCell ref="H27:H28"/>
    <mergeCell ref="I23:I24"/>
    <mergeCell ref="J23:J24"/>
    <mergeCell ref="Q25:Q26"/>
    <mergeCell ref="C24:D24"/>
    <mergeCell ref="F25:F26"/>
    <mergeCell ref="G25:G26"/>
    <mergeCell ref="H25:H26"/>
    <mergeCell ref="I25:I26"/>
    <mergeCell ref="J25:J26"/>
    <mergeCell ref="C23:E23"/>
    <mergeCell ref="F23:F24"/>
    <mergeCell ref="R27:R28"/>
    <mergeCell ref="S27:S28"/>
    <mergeCell ref="C28:D28"/>
    <mergeCell ref="C29:E29"/>
    <mergeCell ref="F29:F30"/>
    <mergeCell ref="G29:G30"/>
    <mergeCell ref="H29:H30"/>
    <mergeCell ref="I29:I30"/>
    <mergeCell ref="J29:J30"/>
    <mergeCell ref="K29:K30"/>
    <mergeCell ref="L29:L30"/>
    <mergeCell ref="M29:M30"/>
    <mergeCell ref="N29:N30"/>
    <mergeCell ref="O29:O30"/>
    <mergeCell ref="P29:P30"/>
    <mergeCell ref="Q29:Q30"/>
    <mergeCell ref="R29:R30"/>
    <mergeCell ref="S29:S30"/>
    <mergeCell ref="C30:D30"/>
    <mergeCell ref="I27:I28"/>
    <mergeCell ref="J27:J28"/>
    <mergeCell ref="K27:K28"/>
    <mergeCell ref="L27:L28"/>
    <mergeCell ref="M27:M28"/>
    <mergeCell ref="N31:N32"/>
    <mergeCell ref="O31:O32"/>
    <mergeCell ref="P31:P32"/>
    <mergeCell ref="Q31:Q32"/>
    <mergeCell ref="R31:R32"/>
    <mergeCell ref="S31:S32"/>
    <mergeCell ref="B31:B32"/>
    <mergeCell ref="F31:F32"/>
    <mergeCell ref="G31:G32"/>
    <mergeCell ref="H31:H32"/>
    <mergeCell ref="I31:I32"/>
    <mergeCell ref="J31:J32"/>
    <mergeCell ref="K31:K32"/>
    <mergeCell ref="L31:L32"/>
    <mergeCell ref="M31:M32"/>
  </mergeCells>
  <phoneticPr fontId="100" type="noConversion"/>
  <pageMargins left="0.31496062992125984" right="0.31496062992125984" top="0.31496062992125984" bottom="0.31496062992125984" header="0" footer="0"/>
  <pageSetup paperSize="9" scale="51" orientation="landscape" cellComments="asDisplayed" r:id="rId1"/>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rgb="FF0066FF"/>
    <pageSetUpPr fitToPage="1"/>
  </sheetPr>
  <dimension ref="A1:P18"/>
  <sheetViews>
    <sheetView zoomScaleNormal="100" workbookViewId="0"/>
  </sheetViews>
  <sheetFormatPr defaultRowHeight="18" customHeight="1"/>
  <cols>
    <col min="1" max="1" width="1" style="215" customWidth="1"/>
    <col min="2" max="10" width="9" style="215"/>
    <col min="11" max="11" width="14" style="215" customWidth="1"/>
    <col min="12" max="16384" width="9" style="215"/>
  </cols>
  <sheetData>
    <row r="1" spans="1:16" s="226" customFormat="1" ht="30" customHeight="1" thickBot="1">
      <c r="A1" s="312"/>
      <c r="B1" s="2575" t="s">
        <v>1698</v>
      </c>
      <c r="C1" s="2575"/>
      <c r="D1" s="2575"/>
      <c r="E1" s="2575"/>
      <c r="F1" s="2575"/>
      <c r="G1" s="2575"/>
      <c r="H1" s="2575"/>
      <c r="I1" s="2575"/>
      <c r="J1" s="2575"/>
      <c r="K1" s="2575"/>
      <c r="L1" s="2575"/>
      <c r="M1" s="2575"/>
      <c r="N1" s="2575"/>
      <c r="O1" s="2575"/>
      <c r="P1" s="2575"/>
    </row>
    <row r="2" spans="1:16" ht="18" customHeight="1" thickTop="1">
      <c r="A2" s="240"/>
      <c r="B2" s="35"/>
      <c r="C2" s="35"/>
      <c r="D2" s="5"/>
      <c r="E2" s="5"/>
      <c r="F2" s="6"/>
      <c r="G2" s="6"/>
      <c r="H2" s="6"/>
      <c r="I2" s="6"/>
      <c r="J2" s="6"/>
      <c r="K2" s="5"/>
      <c r="L2" s="5"/>
      <c r="M2" s="5"/>
      <c r="N2" s="5"/>
      <c r="O2" s="5"/>
      <c r="P2" s="5"/>
    </row>
    <row r="3" spans="1:16" ht="18" customHeight="1" thickBot="1">
      <c r="A3" s="240"/>
      <c r="B3" s="4" t="s">
        <v>0</v>
      </c>
      <c r="C3" s="5"/>
      <c r="D3" s="5"/>
      <c r="E3" s="5"/>
      <c r="F3" s="6"/>
      <c r="G3" s="6"/>
      <c r="H3" s="6"/>
      <c r="I3" s="6"/>
      <c r="J3" s="6"/>
      <c r="K3" s="6"/>
      <c r="L3" s="6"/>
      <c r="M3" s="6"/>
      <c r="N3" s="6"/>
      <c r="O3" s="6"/>
      <c r="P3" s="6"/>
    </row>
    <row r="4" spans="1:16" ht="18" customHeight="1">
      <c r="A4" s="173"/>
      <c r="B4" s="1853" t="s">
        <v>854</v>
      </c>
      <c r="C4" s="1854"/>
      <c r="D4" s="1303" t="s">
        <v>855</v>
      </c>
      <c r="E4" s="1304"/>
      <c r="F4" s="1304"/>
      <c r="G4" s="1304"/>
      <c r="H4" s="1304"/>
      <c r="I4" s="1304"/>
      <c r="J4" s="1302"/>
      <c r="K4" s="1854" t="s">
        <v>121</v>
      </c>
      <c r="L4" s="1854"/>
      <c r="M4" s="1854"/>
      <c r="N4" s="1854"/>
      <c r="O4" s="1303"/>
      <c r="P4" s="1855"/>
    </row>
    <row r="5" spans="1:16" ht="18" customHeight="1">
      <c r="A5" s="173"/>
      <c r="B5" s="1867" t="s">
        <v>856</v>
      </c>
      <c r="C5" s="1868"/>
      <c r="D5" s="1869" t="s">
        <v>230</v>
      </c>
      <c r="E5" s="1870"/>
      <c r="F5" s="1870"/>
      <c r="G5" s="1870" t="s">
        <v>857</v>
      </c>
      <c r="H5" s="1870"/>
      <c r="I5" s="1870"/>
      <c r="J5" s="1871"/>
      <c r="K5" s="1907"/>
      <c r="L5" s="1926"/>
      <c r="M5" s="1926"/>
      <c r="N5" s="1926"/>
      <c r="O5" s="1926"/>
      <c r="P5" s="1927"/>
    </row>
    <row r="6" spans="1:16" ht="23.25" customHeight="1">
      <c r="A6" s="173"/>
      <c r="B6" s="1306" t="s">
        <v>858</v>
      </c>
      <c r="C6" s="1307"/>
      <c r="D6" s="1858" t="s">
        <v>859</v>
      </c>
      <c r="E6" s="1859"/>
      <c r="F6" s="1859"/>
      <c r="G6" s="1859"/>
      <c r="H6" s="1859"/>
      <c r="I6" s="1859"/>
      <c r="J6" s="1860"/>
      <c r="K6" s="1858" t="s">
        <v>49</v>
      </c>
      <c r="L6" s="1859"/>
      <c r="M6" s="1859"/>
      <c r="N6" s="1859"/>
      <c r="O6" s="1859"/>
      <c r="P6" s="2045"/>
    </row>
    <row r="7" spans="1:16" ht="26.25" customHeight="1">
      <c r="A7" s="173"/>
      <c r="B7" s="1856"/>
      <c r="C7" s="1857"/>
      <c r="D7" s="1861"/>
      <c r="E7" s="1862"/>
      <c r="F7" s="1862"/>
      <c r="G7" s="1862"/>
      <c r="H7" s="1862"/>
      <c r="I7" s="1862"/>
      <c r="J7" s="1863"/>
      <c r="K7" s="2569" t="s">
        <v>860</v>
      </c>
      <c r="L7" s="1926"/>
      <c r="M7" s="1926"/>
      <c r="N7" s="1926"/>
      <c r="O7" s="1926"/>
      <c r="P7" s="1927"/>
    </row>
    <row r="8" spans="1:16" ht="26.25" customHeight="1">
      <c r="A8" s="173"/>
      <c r="B8" s="2570" t="s">
        <v>861</v>
      </c>
      <c r="C8" s="1887"/>
      <c r="D8" s="1907" t="s">
        <v>862</v>
      </c>
      <c r="E8" s="1926"/>
      <c r="F8" s="1926"/>
      <c r="G8" s="1926"/>
      <c r="H8" s="1926"/>
      <c r="I8" s="1926"/>
      <c r="J8" s="2571"/>
      <c r="K8" s="2569" t="s">
        <v>50</v>
      </c>
      <c r="L8" s="1926"/>
      <c r="M8" s="1926"/>
      <c r="N8" s="1926"/>
      <c r="O8" s="1926"/>
      <c r="P8" s="1927"/>
    </row>
    <row r="9" spans="1:16" ht="18" customHeight="1" thickBot="1">
      <c r="A9" s="173"/>
      <c r="B9" s="1913" t="s">
        <v>863</v>
      </c>
      <c r="C9" s="1914"/>
      <c r="D9" s="2572" t="s">
        <v>864</v>
      </c>
      <c r="E9" s="2573"/>
      <c r="F9" s="2573"/>
      <c r="G9" s="2573"/>
      <c r="H9" s="2573"/>
      <c r="I9" s="2573"/>
      <c r="J9" s="2573"/>
      <c r="K9" s="2573"/>
      <c r="L9" s="2573"/>
      <c r="M9" s="2573"/>
      <c r="N9" s="2573"/>
      <c r="O9" s="2573"/>
      <c r="P9" s="2574"/>
    </row>
    <row r="10" spans="1:16" ht="18" customHeight="1">
      <c r="A10" s="240"/>
      <c r="B10" s="35"/>
      <c r="C10" s="35"/>
      <c r="D10" s="5"/>
      <c r="E10" s="5"/>
      <c r="F10" s="6"/>
      <c r="G10" s="6"/>
      <c r="H10" s="6"/>
      <c r="I10" s="6"/>
      <c r="J10" s="6"/>
      <c r="K10" s="5"/>
      <c r="L10" s="5"/>
      <c r="M10" s="5"/>
      <c r="N10" s="5"/>
      <c r="O10" s="5"/>
      <c r="P10" s="5"/>
    </row>
    <row r="11" spans="1:16" ht="18" customHeight="1" thickBot="1">
      <c r="A11" s="240"/>
      <c r="B11" s="4" t="s">
        <v>865</v>
      </c>
      <c r="C11" s="5"/>
      <c r="D11" s="5"/>
      <c r="E11" s="10"/>
      <c r="F11" s="6"/>
      <c r="G11" s="6"/>
      <c r="H11" s="6"/>
      <c r="I11" s="6"/>
      <c r="J11" s="6"/>
      <c r="K11" s="5"/>
      <c r="L11" s="5"/>
      <c r="M11" s="5"/>
      <c r="N11" s="5"/>
      <c r="O11" s="5"/>
      <c r="P11" s="5"/>
    </row>
    <row r="12" spans="1:16" ht="18" customHeight="1">
      <c r="A12" s="173"/>
      <c r="B12" s="1853" t="s">
        <v>854</v>
      </c>
      <c r="C12" s="1854"/>
      <c r="D12" s="1854" t="s">
        <v>866</v>
      </c>
      <c r="E12" s="1854"/>
      <c r="F12" s="1854"/>
      <c r="G12" s="1854"/>
      <c r="H12" s="1854"/>
      <c r="I12" s="1854"/>
      <c r="J12" s="1854"/>
      <c r="K12" s="1854" t="s">
        <v>867</v>
      </c>
      <c r="L12" s="1854"/>
      <c r="M12" s="1854"/>
      <c r="N12" s="1854"/>
      <c r="O12" s="1854"/>
      <c r="P12" s="1855"/>
    </row>
    <row r="13" spans="1:16" ht="18" customHeight="1">
      <c r="A13" s="173"/>
      <c r="B13" s="1867" t="s">
        <v>868</v>
      </c>
      <c r="C13" s="1868"/>
      <c r="D13" s="2052" t="s">
        <v>231</v>
      </c>
      <c r="E13" s="2052"/>
      <c r="F13" s="2052"/>
      <c r="G13" s="2052"/>
      <c r="H13" s="2052"/>
      <c r="I13" s="2052"/>
      <c r="J13" s="2052"/>
      <c r="K13" s="2052" t="s">
        <v>869</v>
      </c>
      <c r="L13" s="2052"/>
      <c r="M13" s="2052"/>
      <c r="N13" s="2052"/>
      <c r="O13" s="2052"/>
      <c r="P13" s="2053"/>
    </row>
    <row r="14" spans="1:16" ht="18" customHeight="1">
      <c r="A14" s="173"/>
      <c r="B14" s="1867" t="s">
        <v>63</v>
      </c>
      <c r="C14" s="2568"/>
      <c r="D14" s="1872" t="s">
        <v>870</v>
      </c>
      <c r="E14" s="1872"/>
      <c r="F14" s="1872"/>
      <c r="G14" s="1872"/>
      <c r="H14" s="1872"/>
      <c r="I14" s="1872"/>
      <c r="J14" s="1872"/>
      <c r="K14" s="2052"/>
      <c r="L14" s="2052"/>
      <c r="M14" s="2052"/>
      <c r="N14" s="2052"/>
      <c r="O14" s="2052"/>
      <c r="P14" s="2053"/>
    </row>
    <row r="15" spans="1:16" ht="18" customHeight="1" thickBot="1">
      <c r="A15" s="173"/>
      <c r="B15" s="2056" t="s">
        <v>871</v>
      </c>
      <c r="C15" s="1868"/>
      <c r="D15" s="2557" t="s">
        <v>51</v>
      </c>
      <c r="E15" s="2557"/>
      <c r="F15" s="2557"/>
      <c r="G15" s="2557"/>
      <c r="H15" s="2557"/>
      <c r="I15" s="2557"/>
      <c r="J15" s="2557"/>
      <c r="K15" s="1868" t="s">
        <v>37</v>
      </c>
      <c r="L15" s="1868"/>
      <c r="M15" s="1868"/>
      <c r="N15" s="1868"/>
      <c r="O15" s="2558"/>
      <c r="P15" s="2559"/>
    </row>
    <row r="16" spans="1:16" ht="18" customHeight="1">
      <c r="A16" s="173"/>
      <c r="B16" s="1867"/>
      <c r="C16" s="1868"/>
      <c r="D16" s="2551" t="s">
        <v>872</v>
      </c>
      <c r="E16" s="2552"/>
      <c r="F16" s="2552"/>
      <c r="G16" s="2552"/>
      <c r="H16" s="2552"/>
      <c r="I16" s="2552"/>
      <c r="J16" s="2553"/>
      <c r="K16" s="515" t="s">
        <v>873</v>
      </c>
      <c r="L16" s="934" t="s">
        <v>874</v>
      </c>
      <c r="M16" s="934" t="s">
        <v>875</v>
      </c>
      <c r="N16" s="933" t="s">
        <v>876</v>
      </c>
      <c r="O16" s="471" t="s">
        <v>232</v>
      </c>
      <c r="P16" s="296"/>
    </row>
    <row r="17" spans="1:16" ht="18" customHeight="1">
      <c r="A17" s="173"/>
      <c r="B17" s="1867"/>
      <c r="C17" s="1868"/>
      <c r="D17" s="2551" t="s">
        <v>877</v>
      </c>
      <c r="E17" s="2552"/>
      <c r="F17" s="2552"/>
      <c r="G17" s="2552"/>
      <c r="H17" s="2552"/>
      <c r="I17" s="2552"/>
      <c r="J17" s="2553"/>
      <c r="K17" s="516" t="s">
        <v>878</v>
      </c>
      <c r="L17" s="2560">
        <v>0</v>
      </c>
      <c r="M17" s="2560">
        <v>0.17</v>
      </c>
      <c r="N17" s="2562">
        <v>0.2</v>
      </c>
      <c r="O17" s="2564">
        <v>0.25</v>
      </c>
      <c r="P17" s="2566"/>
    </row>
    <row r="18" spans="1:16" ht="18" customHeight="1" thickBot="1">
      <c r="A18" s="173"/>
      <c r="B18" s="1874"/>
      <c r="C18" s="1875"/>
      <c r="D18" s="2554" t="s">
        <v>233</v>
      </c>
      <c r="E18" s="2555"/>
      <c r="F18" s="2555"/>
      <c r="G18" s="2555"/>
      <c r="H18" s="2555"/>
      <c r="I18" s="2555"/>
      <c r="J18" s="2556"/>
      <c r="K18" s="935" t="s">
        <v>879</v>
      </c>
      <c r="L18" s="2561"/>
      <c r="M18" s="2561"/>
      <c r="N18" s="2563"/>
      <c r="O18" s="2565"/>
      <c r="P18" s="2567"/>
    </row>
  </sheetData>
  <mergeCells count="35">
    <mergeCell ref="B1:P1"/>
    <mergeCell ref="B4:C4"/>
    <mergeCell ref="D4:J4"/>
    <mergeCell ref="K4:P4"/>
    <mergeCell ref="B5:C5"/>
    <mergeCell ref="D5:J5"/>
    <mergeCell ref="K5:P5"/>
    <mergeCell ref="B6:C7"/>
    <mergeCell ref="D6:J7"/>
    <mergeCell ref="K6:P6"/>
    <mergeCell ref="K7:P7"/>
    <mergeCell ref="B9:C9"/>
    <mergeCell ref="B8:C8"/>
    <mergeCell ref="D8:J8"/>
    <mergeCell ref="K8:P8"/>
    <mergeCell ref="D9:P9"/>
    <mergeCell ref="B12:C12"/>
    <mergeCell ref="D12:J12"/>
    <mergeCell ref="K12:P12"/>
    <mergeCell ref="B13:C13"/>
    <mergeCell ref="D13:J13"/>
    <mergeCell ref="K13:P14"/>
    <mergeCell ref="B14:C14"/>
    <mergeCell ref="D14:J14"/>
    <mergeCell ref="K15:P15"/>
    <mergeCell ref="L17:L18"/>
    <mergeCell ref="M17:M18"/>
    <mergeCell ref="N17:N18"/>
    <mergeCell ref="O17:O18"/>
    <mergeCell ref="P17:P18"/>
    <mergeCell ref="D17:J17"/>
    <mergeCell ref="D18:J18"/>
    <mergeCell ref="B15:C18"/>
    <mergeCell ref="D15:J15"/>
    <mergeCell ref="D16:J16"/>
  </mergeCells>
  <phoneticPr fontId="17" type="noConversion"/>
  <printOptions horizontalCentered="1"/>
  <pageMargins left="0.31496062992125984" right="0.31496062992125984" top="0.31496062992125984" bottom="0.31496062992125984" header="0" footer="0"/>
  <pageSetup paperSize="9" scale="92" orientation="landscape" r:id="rId1"/>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E67"/>
  <sheetViews>
    <sheetView zoomScaleNormal="100" workbookViewId="0">
      <pane ySplit="4" topLeftCell="A5" activePane="bottomLeft" state="frozen"/>
      <selection activeCell="B1" sqref="B1:O1"/>
      <selection pane="bottomLeft"/>
    </sheetView>
  </sheetViews>
  <sheetFormatPr defaultRowHeight="18" customHeight="1"/>
  <cols>
    <col min="1" max="1" width="1.25" style="217" customWidth="1"/>
    <col min="2" max="2" width="18.375" style="438" customWidth="1"/>
    <col min="3" max="5" width="11.625" style="217" customWidth="1"/>
    <col min="6" max="6" width="10.875" style="217" customWidth="1"/>
    <col min="7" max="8" width="8.625" style="217" customWidth="1"/>
    <col min="9" max="10" width="6.875" style="217" hidden="1" customWidth="1"/>
    <col min="11" max="13" width="5.375" style="217" hidden="1" customWidth="1"/>
    <col min="14" max="14" width="5.75" style="217" customWidth="1"/>
    <col min="15" max="18" width="8.125" style="217" customWidth="1"/>
    <col min="19" max="19" width="8.125" style="470" customWidth="1"/>
    <col min="20" max="31" width="8.125" style="217" customWidth="1"/>
    <col min="32" max="16384" width="9" style="217"/>
  </cols>
  <sheetData>
    <row r="1" spans="1:31" s="226" customFormat="1" ht="30" customHeight="1" thickBot="1">
      <c r="A1" s="681"/>
      <c r="B1" s="2575" t="s">
        <v>882</v>
      </c>
      <c r="C1" s="2575"/>
      <c r="D1" s="2575"/>
      <c r="E1" s="2575"/>
      <c r="F1" s="2575"/>
      <c r="G1" s="2575"/>
      <c r="H1" s="2575"/>
      <c r="I1" s="2575"/>
      <c r="J1" s="2575"/>
      <c r="K1" s="2575"/>
      <c r="L1" s="2575"/>
      <c r="M1" s="2575"/>
      <c r="N1" s="2575"/>
      <c r="O1" s="2575"/>
      <c r="P1" s="2575"/>
      <c r="Q1" s="2575"/>
      <c r="R1" s="2575"/>
      <c r="S1" s="2575"/>
      <c r="T1" s="2575"/>
      <c r="U1" s="2575"/>
      <c r="V1" s="2575"/>
      <c r="W1" s="2575"/>
      <c r="X1" s="2575"/>
      <c r="Y1" s="2575"/>
      <c r="Z1" s="2575"/>
      <c r="AA1" s="2575"/>
      <c r="AB1" s="2575"/>
      <c r="AC1" s="2575"/>
      <c r="AD1" s="2575"/>
      <c r="AE1" s="2575"/>
    </row>
    <row r="2" spans="1:31" s="215" customFormat="1" ht="9.75" customHeight="1" thickTop="1" thickBot="1">
      <c r="A2" s="241"/>
      <c r="B2" s="438"/>
      <c r="C2" s="242"/>
      <c r="D2" s="242"/>
      <c r="E2" s="242"/>
      <c r="F2" s="241"/>
      <c r="G2" s="241"/>
      <c r="H2" s="241"/>
      <c r="I2" s="241"/>
      <c r="J2" s="241"/>
      <c r="K2" s="241"/>
      <c r="L2" s="241"/>
      <c r="M2" s="241"/>
      <c r="N2" s="241"/>
      <c r="O2" s="241"/>
      <c r="P2" s="241"/>
      <c r="Q2" s="241"/>
      <c r="R2" s="241"/>
      <c r="S2" s="243"/>
      <c r="T2" s="241"/>
      <c r="U2" s="241"/>
      <c r="V2" s="241"/>
      <c r="W2" s="241"/>
      <c r="X2" s="241"/>
      <c r="Y2" s="241"/>
      <c r="Z2" s="241"/>
      <c r="AA2" s="241"/>
      <c r="AB2" s="241"/>
      <c r="AC2" s="241"/>
      <c r="AD2" s="241"/>
      <c r="AE2" s="241"/>
    </row>
    <row r="3" spans="1:31" s="215" customFormat="1" ht="18" customHeight="1">
      <c r="A3" s="36"/>
      <c r="B3" s="2576" t="s">
        <v>883</v>
      </c>
      <c r="C3" s="2577"/>
      <c r="D3" s="2577"/>
      <c r="E3" s="2577"/>
      <c r="F3" s="2576" t="s">
        <v>884</v>
      </c>
      <c r="G3" s="2577"/>
      <c r="H3" s="2577"/>
      <c r="I3" s="1959" t="s">
        <v>885</v>
      </c>
      <c r="J3" s="1957"/>
      <c r="K3" s="1957"/>
      <c r="L3" s="1957"/>
      <c r="M3" s="2578"/>
      <c r="N3" s="1960" t="s">
        <v>886</v>
      </c>
      <c r="O3" s="1953"/>
      <c r="P3" s="1956"/>
      <c r="Q3" s="2579" t="s">
        <v>887</v>
      </c>
      <c r="R3" s="2580"/>
      <c r="S3" s="248">
        <v>0.93</v>
      </c>
      <c r="T3" s="2579" t="s">
        <v>888</v>
      </c>
      <c r="U3" s="2580"/>
      <c r="V3" s="937">
        <v>0.86</v>
      </c>
      <c r="W3" s="1952" t="s">
        <v>889</v>
      </c>
      <c r="X3" s="1954"/>
      <c r="Y3" s="937">
        <v>0.83</v>
      </c>
      <c r="Z3" s="1952" t="s">
        <v>890</v>
      </c>
      <c r="AA3" s="1954"/>
      <c r="AB3" s="937">
        <v>0.75</v>
      </c>
      <c r="AC3" s="1952" t="s">
        <v>891</v>
      </c>
      <c r="AD3" s="1954"/>
      <c r="AE3" s="937">
        <v>0.7</v>
      </c>
    </row>
    <row r="4" spans="1:31" s="215" customFormat="1" ht="24.95" customHeight="1" thickBot="1">
      <c r="A4" s="36"/>
      <c r="B4" s="17" t="s">
        <v>892</v>
      </c>
      <c r="C4" s="2587" t="s">
        <v>893</v>
      </c>
      <c r="D4" s="2587"/>
      <c r="E4" s="2588"/>
      <c r="F4" s="508" t="s">
        <v>894</v>
      </c>
      <c r="G4" s="192" t="s">
        <v>895</v>
      </c>
      <c r="H4" s="192" t="s">
        <v>896</v>
      </c>
      <c r="I4" s="17" t="s">
        <v>897</v>
      </c>
      <c r="J4" s="18" t="s">
        <v>898</v>
      </c>
      <c r="K4" s="18" t="s">
        <v>899</v>
      </c>
      <c r="L4" s="18" t="s">
        <v>900</v>
      </c>
      <c r="M4" s="19" t="s">
        <v>901</v>
      </c>
      <c r="N4" s="719" t="s">
        <v>902</v>
      </c>
      <c r="O4" s="720" t="s">
        <v>903</v>
      </c>
      <c r="P4" s="721" t="s">
        <v>904</v>
      </c>
      <c r="Q4" s="719" t="s">
        <v>902</v>
      </c>
      <c r="R4" s="720" t="s">
        <v>903</v>
      </c>
      <c r="S4" s="721" t="s">
        <v>904</v>
      </c>
      <c r="T4" s="719" t="s">
        <v>902</v>
      </c>
      <c r="U4" s="720" t="s">
        <v>903</v>
      </c>
      <c r="V4" s="721" t="s">
        <v>904</v>
      </c>
      <c r="W4" s="719" t="s">
        <v>902</v>
      </c>
      <c r="X4" s="720" t="s">
        <v>903</v>
      </c>
      <c r="Y4" s="721" t="s">
        <v>904</v>
      </c>
      <c r="Z4" s="719" t="s">
        <v>902</v>
      </c>
      <c r="AA4" s="720" t="s">
        <v>903</v>
      </c>
      <c r="AB4" s="721" t="s">
        <v>904</v>
      </c>
      <c r="AC4" s="719" t="s">
        <v>902</v>
      </c>
      <c r="AD4" s="720" t="s">
        <v>903</v>
      </c>
      <c r="AE4" s="721" t="s">
        <v>904</v>
      </c>
    </row>
    <row r="5" spans="1:31" s="215" customFormat="1" ht="18" customHeight="1">
      <c r="A5" s="36"/>
      <c r="B5" s="2589" t="s">
        <v>905</v>
      </c>
      <c r="C5" s="2591" t="s">
        <v>906</v>
      </c>
      <c r="D5" s="2592"/>
      <c r="E5" s="2593"/>
      <c r="F5" s="2581">
        <v>1000</v>
      </c>
      <c r="G5" s="2583">
        <f>F5*C6</f>
        <v>2760</v>
      </c>
      <c r="H5" s="2583">
        <f>F5*12*20%*115%*25%</f>
        <v>690</v>
      </c>
      <c r="I5" s="2581">
        <f>SUM(G5:H6)</f>
        <v>3450</v>
      </c>
      <c r="J5" s="2583">
        <f>F5*D6</f>
        <v>480</v>
      </c>
      <c r="K5" s="2583">
        <f>F5*E6</f>
        <v>480</v>
      </c>
      <c r="L5" s="2583"/>
      <c r="M5" s="2585"/>
      <c r="N5" s="114">
        <f>G5/12</f>
        <v>230</v>
      </c>
      <c r="O5" s="249">
        <f>SUM(G5:H6)</f>
        <v>3450</v>
      </c>
      <c r="P5" s="250">
        <f>SUM(I5:M6)</f>
        <v>4410</v>
      </c>
      <c r="Q5" s="251">
        <f>N5*$S$3</f>
        <v>213.9</v>
      </c>
      <c r="R5" s="249">
        <f>O5*$S$3</f>
        <v>3208.5</v>
      </c>
      <c r="S5" s="250">
        <f>P5*$S$3</f>
        <v>4101.3</v>
      </c>
      <c r="T5" s="251">
        <f>N5*$V$3</f>
        <v>197.79999999999998</v>
      </c>
      <c r="U5" s="249">
        <f>O5*$V$3</f>
        <v>2967</v>
      </c>
      <c r="V5" s="250">
        <f>P5*$V$3</f>
        <v>3792.6</v>
      </c>
      <c r="W5" s="251">
        <f>N5*$Y$3</f>
        <v>190.89999999999998</v>
      </c>
      <c r="X5" s="249">
        <f>O5*$Y$3</f>
        <v>2863.5</v>
      </c>
      <c r="Y5" s="250">
        <f>P5*$Y$3</f>
        <v>3660.2999999999997</v>
      </c>
      <c r="Z5" s="251">
        <f>N5*$AB$3</f>
        <v>172.5</v>
      </c>
      <c r="AA5" s="249">
        <f>O5*$AB$3</f>
        <v>2587.5</v>
      </c>
      <c r="AB5" s="250">
        <f>P5*$AB$3</f>
        <v>3307.5</v>
      </c>
      <c r="AC5" s="251">
        <f>N5*$AE$3</f>
        <v>161</v>
      </c>
      <c r="AD5" s="249">
        <f>O5*$AE$3</f>
        <v>2415</v>
      </c>
      <c r="AE5" s="250">
        <f>P5*$AE$3</f>
        <v>3087</v>
      </c>
    </row>
    <row r="6" spans="1:31" s="215" customFormat="1" ht="18" customHeight="1" thickBot="1">
      <c r="A6" s="36"/>
      <c r="B6" s="2590"/>
      <c r="C6" s="227">
        <f>20%*115%*12</f>
        <v>2.76</v>
      </c>
      <c r="D6" s="37">
        <f>4%*12</f>
        <v>0.48</v>
      </c>
      <c r="E6" s="37">
        <f>4%*12</f>
        <v>0.48</v>
      </c>
      <c r="F6" s="2582"/>
      <c r="G6" s="2584"/>
      <c r="H6" s="2584"/>
      <c r="I6" s="2582"/>
      <c r="J6" s="2584"/>
      <c r="K6" s="2584"/>
      <c r="L6" s="2584"/>
      <c r="M6" s="2586"/>
      <c r="N6" s="247">
        <f>N5/F5</f>
        <v>0.23</v>
      </c>
      <c r="O6" s="228">
        <f>O5/F5</f>
        <v>3.45</v>
      </c>
      <c r="P6" s="229">
        <f>P5/F5</f>
        <v>4.41</v>
      </c>
      <c r="Q6" s="247">
        <f>Q5/F5</f>
        <v>0.21390000000000001</v>
      </c>
      <c r="R6" s="228">
        <f>R5/F5</f>
        <v>3.2084999999999999</v>
      </c>
      <c r="S6" s="229">
        <f>S5/F5</f>
        <v>4.1013000000000002</v>
      </c>
      <c r="T6" s="247">
        <f>T5/F5</f>
        <v>0.19779999999999998</v>
      </c>
      <c r="U6" s="228">
        <f>U5/F5</f>
        <v>2.9670000000000001</v>
      </c>
      <c r="V6" s="229">
        <f>V5/F5</f>
        <v>3.7925999999999997</v>
      </c>
      <c r="W6" s="247">
        <f>W5/F5</f>
        <v>0.19089999999999999</v>
      </c>
      <c r="X6" s="228">
        <f>X5/F5</f>
        <v>2.8635000000000002</v>
      </c>
      <c r="Y6" s="229">
        <f>Y5/F5</f>
        <v>3.6602999999999999</v>
      </c>
      <c r="Z6" s="247">
        <f>Z5/F5</f>
        <v>0.17249999999999999</v>
      </c>
      <c r="AA6" s="228">
        <f>AA5/F5</f>
        <v>2.5874999999999999</v>
      </c>
      <c r="AB6" s="229">
        <f>AB5/F5</f>
        <v>3.3075000000000001</v>
      </c>
      <c r="AC6" s="247">
        <f>AC5/F5</f>
        <v>0.161</v>
      </c>
      <c r="AD6" s="228">
        <f>AD5/F5</f>
        <v>2.415</v>
      </c>
      <c r="AE6" s="229">
        <f>AE5/F5</f>
        <v>3.0870000000000002</v>
      </c>
    </row>
    <row r="7" spans="1:31" s="215" customFormat="1" ht="18" customHeight="1">
      <c r="A7" s="36"/>
      <c r="B7" s="2598" t="s">
        <v>907</v>
      </c>
      <c r="C7" s="2599" t="s">
        <v>908</v>
      </c>
      <c r="D7" s="2600" t="s">
        <v>909</v>
      </c>
      <c r="E7" s="2601" t="s">
        <v>910</v>
      </c>
      <c r="F7" s="2581">
        <v>1000</v>
      </c>
      <c r="G7" s="2583">
        <f>F7*C8</f>
        <v>3174.0000000000005</v>
      </c>
      <c r="H7" s="2583">
        <f>G7*25%</f>
        <v>793.50000000000011</v>
      </c>
      <c r="I7" s="2581">
        <f>SUM(G7:H8)</f>
        <v>3967.5000000000005</v>
      </c>
      <c r="J7" s="2583">
        <f>F7*D8</f>
        <v>600.00000000000011</v>
      </c>
      <c r="K7" s="2583">
        <f>F7*E8</f>
        <v>600.00000000000011</v>
      </c>
      <c r="L7" s="941"/>
      <c r="M7" s="943"/>
      <c r="N7" s="114">
        <f t="shared" ref="N7" si="0">G7/12</f>
        <v>264.50000000000006</v>
      </c>
      <c r="O7" s="249">
        <f>SUM(G7:H8)</f>
        <v>3967.5000000000005</v>
      </c>
      <c r="P7" s="250">
        <f>SUM(I7:K8)</f>
        <v>5167.5000000000009</v>
      </c>
      <c r="Q7" s="252">
        <f>N7*$S$3</f>
        <v>245.98500000000007</v>
      </c>
      <c r="R7" s="253">
        <f>O7*$S$3</f>
        <v>3689.7750000000005</v>
      </c>
      <c r="S7" s="254">
        <f>P7*$S$3</f>
        <v>4805.7750000000015</v>
      </c>
      <c r="T7" s="252">
        <f>N7*$V$3</f>
        <v>227.47000000000006</v>
      </c>
      <c r="U7" s="253">
        <f>O7*$V$3</f>
        <v>3412.05</v>
      </c>
      <c r="V7" s="254">
        <f>P7*$V$3</f>
        <v>4444.0500000000011</v>
      </c>
      <c r="W7" s="252">
        <f>N7*$Y$3</f>
        <v>219.53500000000003</v>
      </c>
      <c r="X7" s="253">
        <f>O7*$Y$3</f>
        <v>3293.0250000000001</v>
      </c>
      <c r="Y7" s="254">
        <f>P7*$Y$3</f>
        <v>4289.0250000000005</v>
      </c>
      <c r="Z7" s="252">
        <f>N7*$AB$3</f>
        <v>198.37500000000006</v>
      </c>
      <c r="AA7" s="253">
        <f>O7*$AB$3</f>
        <v>2975.6250000000005</v>
      </c>
      <c r="AB7" s="254">
        <f>P7*$AB$3</f>
        <v>3875.6250000000009</v>
      </c>
      <c r="AC7" s="252">
        <f>N7*$AE$3</f>
        <v>185.15000000000003</v>
      </c>
      <c r="AD7" s="253">
        <f>O7*$AE$3</f>
        <v>2777.25</v>
      </c>
      <c r="AE7" s="254">
        <f>P7*$AE$3</f>
        <v>3617.2500000000005</v>
      </c>
    </row>
    <row r="8" spans="1:31" s="215" customFormat="1" ht="18" customHeight="1" thickBot="1">
      <c r="A8" s="36"/>
      <c r="B8" s="2594"/>
      <c r="C8" s="227">
        <f>23%*115%*12</f>
        <v>3.1740000000000004</v>
      </c>
      <c r="D8" s="37">
        <f>5%*12</f>
        <v>0.60000000000000009</v>
      </c>
      <c r="E8" s="37">
        <f>5%*12</f>
        <v>0.60000000000000009</v>
      </c>
      <c r="F8" s="2582"/>
      <c r="G8" s="2584"/>
      <c r="H8" s="2584"/>
      <c r="I8" s="2582"/>
      <c r="J8" s="2584"/>
      <c r="K8" s="2584"/>
      <c r="L8" s="942"/>
      <c r="M8" s="944"/>
      <c r="N8" s="247">
        <f t="shared" ref="N8" si="1">N7/F7</f>
        <v>0.26450000000000007</v>
      </c>
      <c r="O8" s="228">
        <f>O7/F7</f>
        <v>3.9675000000000002</v>
      </c>
      <c r="P8" s="229">
        <f>P7/F7</f>
        <v>5.1675000000000013</v>
      </c>
      <c r="Q8" s="247">
        <f>Q7/F7</f>
        <v>0.24598500000000006</v>
      </c>
      <c r="R8" s="228">
        <f>R7/F7</f>
        <v>3.6897750000000005</v>
      </c>
      <c r="S8" s="229">
        <f>S7/F7</f>
        <v>4.8057750000000015</v>
      </c>
      <c r="T8" s="247">
        <f>T7/F7</f>
        <v>0.22747000000000006</v>
      </c>
      <c r="U8" s="228">
        <f>U7/F7</f>
        <v>3.4120500000000002</v>
      </c>
      <c r="V8" s="229">
        <f>V7/F7</f>
        <v>4.4440500000000007</v>
      </c>
      <c r="W8" s="247">
        <f>W7/F7</f>
        <v>0.21953500000000004</v>
      </c>
      <c r="X8" s="228">
        <f>X7/F7</f>
        <v>3.2930250000000001</v>
      </c>
      <c r="Y8" s="229">
        <f>Y7/F7</f>
        <v>4.2890250000000005</v>
      </c>
      <c r="Z8" s="247">
        <f>Z7/F7</f>
        <v>0.19837500000000005</v>
      </c>
      <c r="AA8" s="228">
        <f>AA7/F7</f>
        <v>2.9756250000000004</v>
      </c>
      <c r="AB8" s="229">
        <f>AB7/F7</f>
        <v>3.8756250000000008</v>
      </c>
      <c r="AC8" s="247">
        <f>AC7/F7</f>
        <v>0.18515000000000004</v>
      </c>
      <c r="AD8" s="228">
        <f>AD7/F7</f>
        <v>2.77725</v>
      </c>
      <c r="AE8" s="229">
        <f>AE7/F7</f>
        <v>3.6172500000000003</v>
      </c>
    </row>
    <row r="9" spans="1:31" s="215" customFormat="1" ht="18" customHeight="1">
      <c r="A9" s="36"/>
      <c r="B9" s="2594"/>
      <c r="C9" s="2595" t="s">
        <v>911</v>
      </c>
      <c r="D9" s="2596"/>
      <c r="E9" s="2597"/>
      <c r="F9" s="2581">
        <v>1000</v>
      </c>
      <c r="G9" s="2583">
        <f>F9*C10</f>
        <v>3036</v>
      </c>
      <c r="H9" s="2583">
        <f>F9*12*20%*115%*25%</f>
        <v>690</v>
      </c>
      <c r="I9" s="2581">
        <f>SUM(G9:H10)</f>
        <v>3726</v>
      </c>
      <c r="J9" s="2583">
        <f>F9*D10</f>
        <v>1200.0000000000002</v>
      </c>
      <c r="K9" s="2583">
        <f>F9*E10</f>
        <v>482.4</v>
      </c>
      <c r="L9" s="2583">
        <f>F9*E10</f>
        <v>482.4</v>
      </c>
      <c r="M9" s="2585">
        <f>F9*E10</f>
        <v>482.4</v>
      </c>
      <c r="N9" s="114">
        <f t="shared" ref="N9" si="2">G9/12</f>
        <v>253</v>
      </c>
      <c r="O9" s="249">
        <f>SUM(G9:H10)</f>
        <v>3726</v>
      </c>
      <c r="P9" s="250">
        <f>SUM(I9:M10)</f>
        <v>6373.1999999999989</v>
      </c>
      <c r="Q9" s="251">
        <f>N9*$S$3</f>
        <v>235.29000000000002</v>
      </c>
      <c r="R9" s="249">
        <f>O9*$S$3</f>
        <v>3465.1800000000003</v>
      </c>
      <c r="S9" s="250">
        <f>P9*$S$3</f>
        <v>5927.0759999999991</v>
      </c>
      <c r="T9" s="251">
        <f>N9*$V$3</f>
        <v>217.57999999999998</v>
      </c>
      <c r="U9" s="249">
        <f>O9*$V$3</f>
        <v>3204.36</v>
      </c>
      <c r="V9" s="250">
        <f>P9*$V$3</f>
        <v>5480.9519999999993</v>
      </c>
      <c r="W9" s="251">
        <f>N9*$Y$3</f>
        <v>209.98999999999998</v>
      </c>
      <c r="X9" s="249">
        <f>O9*$Y$3</f>
        <v>3092.58</v>
      </c>
      <c r="Y9" s="250">
        <f>P9*$Y$3</f>
        <v>5289.7559999999985</v>
      </c>
      <c r="Z9" s="251">
        <f>N9*$AB$3</f>
        <v>189.75</v>
      </c>
      <c r="AA9" s="249">
        <f>O9*$AB$3</f>
        <v>2794.5</v>
      </c>
      <c r="AB9" s="250">
        <f>P9*$AB$3</f>
        <v>4779.8999999999996</v>
      </c>
      <c r="AC9" s="251">
        <f>N9*$AE$3</f>
        <v>177.1</v>
      </c>
      <c r="AD9" s="249">
        <f>O9*$AE$3</f>
        <v>2608.1999999999998</v>
      </c>
      <c r="AE9" s="250">
        <f>P9*$AE$3</f>
        <v>4461.2399999999989</v>
      </c>
    </row>
    <row r="10" spans="1:31" s="215" customFormat="1" ht="17.25" customHeight="1" thickBot="1">
      <c r="A10" s="36"/>
      <c r="B10" s="2594"/>
      <c r="C10" s="227">
        <f>22%*115%*12</f>
        <v>3.036</v>
      </c>
      <c r="D10" s="37">
        <f>10%*12</f>
        <v>1.2000000000000002</v>
      </c>
      <c r="E10" s="507">
        <f>2%*12+2%*12%+2%*12</f>
        <v>0.4824</v>
      </c>
      <c r="F10" s="2582"/>
      <c r="G10" s="2584"/>
      <c r="H10" s="2584"/>
      <c r="I10" s="2582"/>
      <c r="J10" s="2584"/>
      <c r="K10" s="2584"/>
      <c r="L10" s="2584"/>
      <c r="M10" s="2586"/>
      <c r="N10" s="247">
        <f t="shared" ref="N10" si="3">N9/F9</f>
        <v>0.253</v>
      </c>
      <c r="O10" s="228">
        <f>O9/F9</f>
        <v>3.726</v>
      </c>
      <c r="P10" s="229">
        <f>P9/F9</f>
        <v>6.3731999999999989</v>
      </c>
      <c r="Q10" s="247">
        <f>Q9/F9</f>
        <v>0.23529000000000003</v>
      </c>
      <c r="R10" s="228">
        <f>R9/F9</f>
        <v>3.4651800000000001</v>
      </c>
      <c r="S10" s="229">
        <f>S9/F9</f>
        <v>5.9270759999999987</v>
      </c>
      <c r="T10" s="247">
        <f>T9/F9</f>
        <v>0.21758</v>
      </c>
      <c r="U10" s="228">
        <f>U9/F9</f>
        <v>3.2043600000000003</v>
      </c>
      <c r="V10" s="229">
        <f>V9/F9</f>
        <v>5.4809519999999994</v>
      </c>
      <c r="W10" s="247">
        <f>W9/F9</f>
        <v>0.20998999999999998</v>
      </c>
      <c r="X10" s="228">
        <f>X9/F9</f>
        <v>3.0925799999999999</v>
      </c>
      <c r="Y10" s="229">
        <f>Y9/F9</f>
        <v>5.2897559999999988</v>
      </c>
      <c r="Z10" s="247">
        <f>Z9/F9</f>
        <v>0.18975</v>
      </c>
      <c r="AA10" s="228">
        <f>AA9/F9</f>
        <v>2.7945000000000002</v>
      </c>
      <c r="AB10" s="229">
        <f>AB9/F9</f>
        <v>4.7798999999999996</v>
      </c>
      <c r="AC10" s="247">
        <f>AC9/F9</f>
        <v>0.17710000000000001</v>
      </c>
      <c r="AD10" s="228">
        <f>AD9/F9</f>
        <v>2.6081999999999996</v>
      </c>
      <c r="AE10" s="229">
        <f>AE9/F9</f>
        <v>4.4612399999999992</v>
      </c>
    </row>
    <row r="11" spans="1:31" s="215" customFormat="1" ht="18" customHeight="1">
      <c r="A11" s="36"/>
      <c r="B11" s="2594"/>
      <c r="C11" s="2595" t="s">
        <v>912</v>
      </c>
      <c r="D11" s="2596"/>
      <c r="E11" s="2597"/>
      <c r="F11" s="2581">
        <v>1000</v>
      </c>
      <c r="G11" s="2583">
        <f>F11*C12</f>
        <v>2484</v>
      </c>
      <c r="H11" s="2583">
        <f>F11*12*20%*115%*25%</f>
        <v>690</v>
      </c>
      <c r="I11" s="2581">
        <f>SUM(G11:H12)</f>
        <v>3174</v>
      </c>
      <c r="J11" s="2583">
        <f>F11*D12</f>
        <v>600.00000000000011</v>
      </c>
      <c r="K11" s="2583">
        <f>F11*E12</f>
        <v>482.4</v>
      </c>
      <c r="L11" s="2583">
        <f>F11*E12</f>
        <v>482.4</v>
      </c>
      <c r="M11" s="2585">
        <f>F11*E12</f>
        <v>482.4</v>
      </c>
      <c r="N11" s="114">
        <f t="shared" ref="N11" si="4">G11/12</f>
        <v>207</v>
      </c>
      <c r="O11" s="249">
        <f>SUM(G11:H12)</f>
        <v>3174</v>
      </c>
      <c r="P11" s="250">
        <f>SUM(I11:M12)</f>
        <v>5221.1999999999989</v>
      </c>
      <c r="Q11" s="251">
        <f>N11*$S$3</f>
        <v>192.51000000000002</v>
      </c>
      <c r="R11" s="249">
        <f>O11*$S$3</f>
        <v>2951.82</v>
      </c>
      <c r="S11" s="250">
        <f>P11*$S$3</f>
        <v>4855.7159999999994</v>
      </c>
      <c r="T11" s="251">
        <f>N11*$V$3</f>
        <v>178.02</v>
      </c>
      <c r="U11" s="249">
        <f>O11*$V$3</f>
        <v>2729.64</v>
      </c>
      <c r="V11" s="250">
        <f>P11*$V$3</f>
        <v>4490.2319999999991</v>
      </c>
      <c r="W11" s="251">
        <f>N11*$Y$3</f>
        <v>171.81</v>
      </c>
      <c r="X11" s="249">
        <f>O11*$Y$3</f>
        <v>2634.42</v>
      </c>
      <c r="Y11" s="250">
        <f>P11*$Y$3</f>
        <v>4333.5959999999986</v>
      </c>
      <c r="Z11" s="251">
        <f>N11*$AB$3</f>
        <v>155.25</v>
      </c>
      <c r="AA11" s="249">
        <f>O11*$AB$3</f>
        <v>2380.5</v>
      </c>
      <c r="AB11" s="250">
        <f>P11*$AB$3</f>
        <v>3915.8999999999992</v>
      </c>
      <c r="AC11" s="251">
        <f>N11*$AE$3</f>
        <v>144.89999999999998</v>
      </c>
      <c r="AD11" s="249">
        <f>O11*$AE$3</f>
        <v>2221.7999999999997</v>
      </c>
      <c r="AE11" s="250">
        <f>P11*$AE$3</f>
        <v>3654.8399999999988</v>
      </c>
    </row>
    <row r="12" spans="1:31" s="215" customFormat="1" ht="17.25" customHeight="1" thickBot="1">
      <c r="A12" s="36"/>
      <c r="B12" s="2634"/>
      <c r="C12" s="227">
        <f>18%*115%*12</f>
        <v>2.484</v>
      </c>
      <c r="D12" s="37">
        <f>5%*12</f>
        <v>0.60000000000000009</v>
      </c>
      <c r="E12" s="507">
        <f>2%*12+2%*12%+2%*12</f>
        <v>0.4824</v>
      </c>
      <c r="F12" s="2582"/>
      <c r="G12" s="2584"/>
      <c r="H12" s="2584"/>
      <c r="I12" s="2582"/>
      <c r="J12" s="2584"/>
      <c r="K12" s="2584"/>
      <c r="L12" s="2584"/>
      <c r="M12" s="2586"/>
      <c r="N12" s="247">
        <f t="shared" ref="N12" si="5">N11/F11</f>
        <v>0.20699999999999999</v>
      </c>
      <c r="O12" s="228">
        <f>O11/F11</f>
        <v>3.1739999999999999</v>
      </c>
      <c r="P12" s="229">
        <f>P11/F11</f>
        <v>5.2211999999999987</v>
      </c>
      <c r="Q12" s="247">
        <f>Q11/F11</f>
        <v>0.19251000000000001</v>
      </c>
      <c r="R12" s="228">
        <f>R11/F11</f>
        <v>2.9518200000000001</v>
      </c>
      <c r="S12" s="229">
        <f>S11/F11</f>
        <v>4.8557159999999993</v>
      </c>
      <c r="T12" s="247">
        <f>T11/F11</f>
        <v>0.17802000000000001</v>
      </c>
      <c r="U12" s="228">
        <f>U11/F11</f>
        <v>2.7296399999999998</v>
      </c>
      <c r="V12" s="229">
        <f>V11/F11</f>
        <v>4.4902319999999989</v>
      </c>
      <c r="W12" s="247">
        <f>W11/F11</f>
        <v>0.17180999999999999</v>
      </c>
      <c r="X12" s="228">
        <f>X11/F11</f>
        <v>2.63442</v>
      </c>
      <c r="Y12" s="229">
        <f>Y11/F11</f>
        <v>4.3335959999999982</v>
      </c>
      <c r="Z12" s="247">
        <f>Z11/F11</f>
        <v>0.15525</v>
      </c>
      <c r="AA12" s="228">
        <f>AA11/F11</f>
        <v>2.3805000000000001</v>
      </c>
      <c r="AB12" s="229">
        <f>AB11/F11</f>
        <v>3.9158999999999993</v>
      </c>
      <c r="AC12" s="247">
        <f>AC11/F11</f>
        <v>0.14489999999999997</v>
      </c>
      <c r="AD12" s="228">
        <f>AD11/F11</f>
        <v>2.2217999999999996</v>
      </c>
      <c r="AE12" s="229">
        <f>AE11/F11</f>
        <v>3.6548399999999988</v>
      </c>
    </row>
    <row r="13" spans="1:31" s="215" customFormat="1" ht="18" customHeight="1">
      <c r="A13" s="174"/>
      <c r="B13" s="946" t="s">
        <v>913</v>
      </c>
      <c r="C13" s="2599" t="s">
        <v>914</v>
      </c>
      <c r="D13" s="2600"/>
      <c r="E13" s="2601"/>
      <c r="F13" s="2606">
        <v>1000</v>
      </c>
      <c r="G13" s="2607">
        <f>F13*C14</f>
        <v>4554</v>
      </c>
      <c r="H13" s="2607">
        <f>G13*25%</f>
        <v>1138.5</v>
      </c>
      <c r="I13" s="2606">
        <f>SUM(G13:H14)</f>
        <v>5692.5</v>
      </c>
      <c r="J13" s="2607">
        <f>F13*D14</f>
        <v>2088</v>
      </c>
      <c r="K13" s="2583">
        <f>F13*E14</f>
        <v>300.00000000000006</v>
      </c>
      <c r="L13" s="941"/>
      <c r="M13" s="943"/>
      <c r="N13" s="114">
        <f>G13/12</f>
        <v>379.5</v>
      </c>
      <c r="O13" s="249">
        <f>SUM(G13:H14)</f>
        <v>5692.5</v>
      </c>
      <c r="P13" s="250">
        <f>SUM(I13:K14)</f>
        <v>8080.5</v>
      </c>
      <c r="Q13" s="252">
        <f>N13*$S$3</f>
        <v>352.935</v>
      </c>
      <c r="R13" s="253">
        <f>O13*$S$3</f>
        <v>5294.0250000000005</v>
      </c>
      <c r="S13" s="254">
        <f>P13*$S$3</f>
        <v>7514.8650000000007</v>
      </c>
      <c r="T13" s="252">
        <f>N13*$V$3</f>
        <v>326.37</v>
      </c>
      <c r="U13" s="253">
        <f>O13*$V$3</f>
        <v>4895.55</v>
      </c>
      <c r="V13" s="254">
        <f>P13*$V$3</f>
        <v>6949.23</v>
      </c>
      <c r="W13" s="252">
        <f>N13*$Y$3</f>
        <v>314.98499999999996</v>
      </c>
      <c r="X13" s="253">
        <f>O13*$Y$3</f>
        <v>4724.7749999999996</v>
      </c>
      <c r="Y13" s="254">
        <f>P13*$Y$3</f>
        <v>6706.8149999999996</v>
      </c>
      <c r="Z13" s="252">
        <f>N13*$AB$3</f>
        <v>284.625</v>
      </c>
      <c r="AA13" s="253">
        <f>O13*$AB$3</f>
        <v>4269.375</v>
      </c>
      <c r="AB13" s="254">
        <f>P13*$AB$3</f>
        <v>6060.375</v>
      </c>
      <c r="AC13" s="252">
        <f>N13*$AE$3</f>
        <v>265.64999999999998</v>
      </c>
      <c r="AD13" s="253">
        <f>O13*$AE$3</f>
        <v>3984.7499999999995</v>
      </c>
      <c r="AE13" s="254">
        <f>P13*$AE$3</f>
        <v>5656.3499999999995</v>
      </c>
    </row>
    <row r="14" spans="1:31" s="215" customFormat="1" ht="17.25" customHeight="1" thickBot="1">
      <c r="A14" s="174"/>
      <c r="B14" s="947"/>
      <c r="C14" s="13">
        <f>33%*115%*12</f>
        <v>4.5540000000000003</v>
      </c>
      <c r="D14" s="38">
        <f>17.4%*12</f>
        <v>2.0880000000000001</v>
      </c>
      <c r="E14" s="193">
        <f>2.5%*12</f>
        <v>0.30000000000000004</v>
      </c>
      <c r="F14" s="2605"/>
      <c r="G14" s="2603"/>
      <c r="H14" s="2603"/>
      <c r="I14" s="2605"/>
      <c r="J14" s="2603"/>
      <c r="K14" s="2602"/>
      <c r="L14" s="945"/>
      <c r="M14" s="506"/>
      <c r="N14" s="247">
        <f t="shared" ref="N14" si="6">N13/F13</f>
        <v>0.3795</v>
      </c>
      <c r="O14" s="228">
        <f>O13/F13</f>
        <v>5.6924999999999999</v>
      </c>
      <c r="P14" s="229">
        <f>P13/F13</f>
        <v>8.0805000000000007</v>
      </c>
      <c r="Q14" s="247">
        <f>Q13/F13</f>
        <v>0.352935</v>
      </c>
      <c r="R14" s="228">
        <f>R13/F13</f>
        <v>5.2940250000000004</v>
      </c>
      <c r="S14" s="229">
        <f>S13/F13</f>
        <v>7.5148650000000004</v>
      </c>
      <c r="T14" s="247">
        <f>T13/F13</f>
        <v>0.32636999999999999</v>
      </c>
      <c r="U14" s="228">
        <f>U13/F13</f>
        <v>4.8955500000000001</v>
      </c>
      <c r="V14" s="229">
        <f>V13/F13</f>
        <v>6.9492299999999991</v>
      </c>
      <c r="W14" s="247">
        <f>W13/F13</f>
        <v>0.31498499999999996</v>
      </c>
      <c r="X14" s="228">
        <f>X13/F13</f>
        <v>4.7247749999999993</v>
      </c>
      <c r="Y14" s="229">
        <f>Y13/F13</f>
        <v>6.7068149999999997</v>
      </c>
      <c r="Z14" s="247">
        <f>Z13/F13</f>
        <v>0.28462500000000002</v>
      </c>
      <c r="AA14" s="228">
        <f>AA13/F13</f>
        <v>4.2693750000000001</v>
      </c>
      <c r="AB14" s="229">
        <f>AB13/F13</f>
        <v>6.0603749999999996</v>
      </c>
      <c r="AC14" s="247">
        <f>AC13/F13</f>
        <v>0.26565</v>
      </c>
      <c r="AD14" s="228">
        <f>AD13/F13</f>
        <v>3.9847499999999996</v>
      </c>
      <c r="AE14" s="229">
        <f>AE13/F13</f>
        <v>5.6563499999999998</v>
      </c>
    </row>
    <row r="15" spans="1:31" s="215" customFormat="1" ht="18" customHeight="1">
      <c r="A15" s="174"/>
      <c r="B15" s="947"/>
      <c r="C15" s="1934" t="s">
        <v>915</v>
      </c>
      <c r="D15" s="1936"/>
      <c r="E15" s="2604"/>
      <c r="F15" s="2605">
        <v>1000</v>
      </c>
      <c r="G15" s="2603">
        <f>F15*C16</f>
        <v>3449.9999999999995</v>
      </c>
      <c r="H15" s="2603">
        <f>G15*25%</f>
        <v>862.49999999999989</v>
      </c>
      <c r="I15" s="2605">
        <f>SUM(G15:H16)</f>
        <v>4312.4999999999991</v>
      </c>
      <c r="J15" s="2603">
        <f>F15*D16</f>
        <v>1584</v>
      </c>
      <c r="K15" s="2603">
        <f>F15*E16</f>
        <v>300.00000000000006</v>
      </c>
      <c r="L15" s="949"/>
      <c r="M15" s="299"/>
      <c r="N15" s="114">
        <f t="shared" ref="N15" si="7">G15/12</f>
        <v>287.49999999999994</v>
      </c>
      <c r="O15" s="249">
        <f>SUM(G15:H16)</f>
        <v>4312.4999999999991</v>
      </c>
      <c r="P15" s="250">
        <f>SUM(I15:K16)</f>
        <v>6196.4999999999991</v>
      </c>
      <c r="Q15" s="122">
        <f>N15*$S$3</f>
        <v>267.37499999999994</v>
      </c>
      <c r="R15" s="123">
        <f>O15*$S$3</f>
        <v>4010.6249999999995</v>
      </c>
      <c r="S15" s="124">
        <f>P15*$S$3</f>
        <v>5762.7449999999999</v>
      </c>
      <c r="T15" s="122">
        <f>N15*$V$3</f>
        <v>247.24999999999994</v>
      </c>
      <c r="U15" s="123">
        <f>O15*$V$3</f>
        <v>3708.7499999999991</v>
      </c>
      <c r="V15" s="124">
        <f>P15*$V$3</f>
        <v>5328.9899999999989</v>
      </c>
      <c r="W15" s="122">
        <f>N15*$Y$3</f>
        <v>238.62499999999994</v>
      </c>
      <c r="X15" s="123">
        <f>O15*$Y$3</f>
        <v>3579.3749999999991</v>
      </c>
      <c r="Y15" s="124">
        <f>P15*$Y$3</f>
        <v>5143.0949999999993</v>
      </c>
      <c r="Z15" s="122">
        <f>N15*$AB$3</f>
        <v>215.62499999999994</v>
      </c>
      <c r="AA15" s="123">
        <f>O15*$AB$3</f>
        <v>3234.3749999999991</v>
      </c>
      <c r="AB15" s="124">
        <f>P15*$AB$3</f>
        <v>4647.3749999999991</v>
      </c>
      <c r="AC15" s="122">
        <f>N15*$AE$3</f>
        <v>201.24999999999994</v>
      </c>
      <c r="AD15" s="123">
        <f>O15*$AE$3</f>
        <v>3018.7499999999991</v>
      </c>
      <c r="AE15" s="124">
        <f>P15*$AE$3</f>
        <v>4337.5499999999993</v>
      </c>
    </row>
    <row r="16" spans="1:31" s="215" customFormat="1" ht="17.25" customHeight="1" thickBot="1">
      <c r="A16" s="174"/>
      <c r="B16" s="947"/>
      <c r="C16" s="13">
        <f>25%*115%*12</f>
        <v>3.4499999999999997</v>
      </c>
      <c r="D16" s="38">
        <f>13.2%*12</f>
        <v>1.5840000000000001</v>
      </c>
      <c r="E16" s="193">
        <f>2.5%*12</f>
        <v>0.30000000000000004</v>
      </c>
      <c r="F16" s="2605"/>
      <c r="G16" s="2603"/>
      <c r="H16" s="2603"/>
      <c r="I16" s="2605"/>
      <c r="J16" s="2603"/>
      <c r="K16" s="2603"/>
      <c r="L16" s="945"/>
      <c r="M16" s="506"/>
      <c r="N16" s="247">
        <f t="shared" ref="N16" si="8">N15/F15</f>
        <v>0.28749999999999992</v>
      </c>
      <c r="O16" s="228">
        <f>O15/F15</f>
        <v>4.3124999999999991</v>
      </c>
      <c r="P16" s="229">
        <f>P15/F15</f>
        <v>6.1964999999999995</v>
      </c>
      <c r="Q16" s="247">
        <f>Q15/F15</f>
        <v>0.26737499999999992</v>
      </c>
      <c r="R16" s="228">
        <f>R15/F15</f>
        <v>4.0106249999999992</v>
      </c>
      <c r="S16" s="229">
        <f>S15/F15</f>
        <v>5.7627449999999998</v>
      </c>
      <c r="T16" s="247">
        <f>T15/F15</f>
        <v>0.24724999999999994</v>
      </c>
      <c r="U16" s="228">
        <f>U15/F15</f>
        <v>3.7087499999999989</v>
      </c>
      <c r="V16" s="229">
        <f>V15/F15</f>
        <v>5.3289899999999992</v>
      </c>
      <c r="W16" s="247">
        <f>W15/F15</f>
        <v>0.23862499999999995</v>
      </c>
      <c r="X16" s="228">
        <f>X15/F15</f>
        <v>3.5793749999999993</v>
      </c>
      <c r="Y16" s="229">
        <f>Y15/F15</f>
        <v>5.1430949999999998</v>
      </c>
      <c r="Z16" s="247">
        <f>Z15/F15</f>
        <v>0.21562499999999996</v>
      </c>
      <c r="AA16" s="228">
        <f>AA15/F15</f>
        <v>3.2343749999999991</v>
      </c>
      <c r="AB16" s="229">
        <f>AB15/F15</f>
        <v>4.6473749999999994</v>
      </c>
      <c r="AC16" s="247">
        <f>AC15/F15</f>
        <v>0.20124999999999996</v>
      </c>
      <c r="AD16" s="228">
        <f>AD15/F15</f>
        <v>3.0187499999999989</v>
      </c>
      <c r="AE16" s="229">
        <f>AE15/F15</f>
        <v>4.3375499999999994</v>
      </c>
    </row>
    <row r="17" spans="1:31" s="215" customFormat="1" ht="18" customHeight="1">
      <c r="A17" s="174"/>
      <c r="B17" s="947"/>
      <c r="C17" s="1934" t="s">
        <v>916</v>
      </c>
      <c r="D17" s="1936"/>
      <c r="E17" s="2604"/>
      <c r="F17" s="2605">
        <v>1000</v>
      </c>
      <c r="G17" s="2603">
        <f>F17*C18</f>
        <v>2760</v>
      </c>
      <c r="H17" s="2603">
        <f>G17*25%</f>
        <v>690</v>
      </c>
      <c r="I17" s="2605">
        <f>SUM(G17:H18)</f>
        <v>3450</v>
      </c>
      <c r="J17" s="2603">
        <f>F17*D18</f>
        <v>1260</v>
      </c>
      <c r="K17" s="2602">
        <f>F17*E18</f>
        <v>300.00000000000006</v>
      </c>
      <c r="L17" s="949"/>
      <c r="M17" s="299"/>
      <c r="N17" s="114">
        <f t="shared" ref="N17" si="9">G17/12</f>
        <v>230</v>
      </c>
      <c r="O17" s="249">
        <f>SUM(G17:H18)</f>
        <v>3450</v>
      </c>
      <c r="P17" s="250">
        <f>SUM(I17:K18)</f>
        <v>5010</v>
      </c>
      <c r="Q17" s="114">
        <f>N17*$S$3</f>
        <v>213.9</v>
      </c>
      <c r="R17" s="115">
        <f>O17*$S$3</f>
        <v>3208.5</v>
      </c>
      <c r="S17" s="116">
        <f>P17*$S$3</f>
        <v>4659.3</v>
      </c>
      <c r="T17" s="114">
        <f>N17*$V$3</f>
        <v>197.79999999999998</v>
      </c>
      <c r="U17" s="115">
        <f>O17*$V$3</f>
        <v>2967</v>
      </c>
      <c r="V17" s="116">
        <f>P17*$V$3</f>
        <v>4308.6000000000004</v>
      </c>
      <c r="W17" s="114">
        <f>N17*$Y$3</f>
        <v>190.89999999999998</v>
      </c>
      <c r="X17" s="115">
        <f>O17*$Y$3</f>
        <v>2863.5</v>
      </c>
      <c r="Y17" s="116">
        <f>P17*$Y$3</f>
        <v>4158.3</v>
      </c>
      <c r="Z17" s="114">
        <f>N17*$AB$3</f>
        <v>172.5</v>
      </c>
      <c r="AA17" s="115">
        <f>O17*$AB$3</f>
        <v>2587.5</v>
      </c>
      <c r="AB17" s="116">
        <f>P17*$AB$3</f>
        <v>3757.5</v>
      </c>
      <c r="AC17" s="114">
        <f>N17*$AE$3</f>
        <v>161</v>
      </c>
      <c r="AD17" s="115">
        <f>O17*$AE$3</f>
        <v>2415</v>
      </c>
      <c r="AE17" s="116">
        <f>P17*$AE$3</f>
        <v>3507</v>
      </c>
    </row>
    <row r="18" spans="1:31" s="215" customFormat="1" ht="18" customHeight="1" thickBot="1">
      <c r="A18" s="174"/>
      <c r="B18" s="948"/>
      <c r="C18" s="227">
        <f>20%*115%*12</f>
        <v>2.76</v>
      </c>
      <c r="D18" s="37">
        <f>10.5%*12</f>
        <v>1.26</v>
      </c>
      <c r="E18" s="507">
        <f>2.5%*12</f>
        <v>0.30000000000000004</v>
      </c>
      <c r="F18" s="2610"/>
      <c r="G18" s="2611"/>
      <c r="H18" s="2611"/>
      <c r="I18" s="2610"/>
      <c r="J18" s="2611"/>
      <c r="K18" s="2584"/>
      <c r="L18" s="942"/>
      <c r="M18" s="944"/>
      <c r="N18" s="247">
        <f t="shared" ref="N18" si="10">N17/F17</f>
        <v>0.23</v>
      </c>
      <c r="O18" s="228">
        <f>O17/F17</f>
        <v>3.45</v>
      </c>
      <c r="P18" s="229">
        <f>P17/F17</f>
        <v>5.01</v>
      </c>
      <c r="Q18" s="247">
        <f>Q17/F17</f>
        <v>0.21390000000000001</v>
      </c>
      <c r="R18" s="228">
        <f>R17/F17</f>
        <v>3.2084999999999999</v>
      </c>
      <c r="S18" s="229">
        <f>S17/F17</f>
        <v>4.6593</v>
      </c>
      <c r="T18" s="247">
        <f>T17/F17</f>
        <v>0.19779999999999998</v>
      </c>
      <c r="U18" s="228">
        <f>U17/F17</f>
        <v>2.9670000000000001</v>
      </c>
      <c r="V18" s="229">
        <f>V17/F17</f>
        <v>4.3086000000000002</v>
      </c>
      <c r="W18" s="247">
        <f>W17/F17</f>
        <v>0.19089999999999999</v>
      </c>
      <c r="X18" s="228">
        <f>X17/F17</f>
        <v>2.8635000000000002</v>
      </c>
      <c r="Y18" s="229">
        <f>Y17/F17</f>
        <v>4.1583000000000006</v>
      </c>
      <c r="Z18" s="247">
        <f>Z17/F17</f>
        <v>0.17249999999999999</v>
      </c>
      <c r="AA18" s="228">
        <f>AA17/F17</f>
        <v>2.5874999999999999</v>
      </c>
      <c r="AB18" s="229">
        <f>AB17/F17</f>
        <v>3.7574999999999998</v>
      </c>
      <c r="AC18" s="247">
        <f>AC17/F17</f>
        <v>0.161</v>
      </c>
      <c r="AD18" s="228">
        <f>AD17/F17</f>
        <v>2.415</v>
      </c>
      <c r="AE18" s="229">
        <f>AE17/F17</f>
        <v>3.5070000000000001</v>
      </c>
    </row>
    <row r="19" spans="1:31" s="215" customFormat="1" ht="18.75" customHeight="1">
      <c r="A19" s="36"/>
      <c r="B19" s="946"/>
      <c r="C19" s="2616" t="s">
        <v>917</v>
      </c>
      <c r="D19" s="2617" t="s">
        <v>918</v>
      </c>
      <c r="E19" s="2618" t="s">
        <v>919</v>
      </c>
      <c r="F19" s="2619">
        <v>1000</v>
      </c>
      <c r="G19" s="2603">
        <f>F19*C20</f>
        <v>5361.3</v>
      </c>
      <c r="H19" s="2603">
        <f>G19*25%</f>
        <v>1340.325</v>
      </c>
      <c r="I19" s="2605">
        <f>SUM(G19:H20)</f>
        <v>6701.625</v>
      </c>
      <c r="J19" s="2603">
        <f>F19*D20</f>
        <v>2340</v>
      </c>
      <c r="K19" s="2583">
        <f>F19*E20</f>
        <v>300.00000000000006</v>
      </c>
      <c r="L19" s="941"/>
      <c r="M19" s="439"/>
      <c r="N19" s="114">
        <f t="shared" ref="N19" si="11">G19/12</f>
        <v>446.77500000000003</v>
      </c>
      <c r="O19" s="249">
        <f>SUM(G19:H20)</f>
        <v>6701.625</v>
      </c>
      <c r="P19" s="250">
        <f>SUM(I19:K20)</f>
        <v>9341.625</v>
      </c>
      <c r="Q19" s="442">
        <f>N19*$S$3</f>
        <v>415.50075000000004</v>
      </c>
      <c r="R19" s="596">
        <f>O19*$S$3</f>
        <v>6232.5112500000005</v>
      </c>
      <c r="S19" s="441">
        <f>P19*$S$3</f>
        <v>8687.7112500000003</v>
      </c>
      <c r="T19" s="442">
        <f>N19*$V$3</f>
        <v>384.22650000000004</v>
      </c>
      <c r="U19" s="596">
        <f>O19*$V$3</f>
        <v>5763.3975</v>
      </c>
      <c r="V19" s="443">
        <f>P19*$V$3</f>
        <v>8033.7974999999997</v>
      </c>
      <c r="W19" s="442">
        <f>N19*$Y$3</f>
        <v>370.82325000000003</v>
      </c>
      <c r="X19" s="596">
        <f>O19*$Y$3</f>
        <v>5562.3487500000001</v>
      </c>
      <c r="Y19" s="443">
        <f>P19*$Y$3</f>
        <v>7753.5487499999999</v>
      </c>
      <c r="Z19" s="442">
        <f>N19*$AB$3</f>
        <v>335.08125000000001</v>
      </c>
      <c r="AA19" s="596">
        <f>O19*$AB$3</f>
        <v>5026.21875</v>
      </c>
      <c r="AB19" s="443">
        <f>P19*$AB$3</f>
        <v>7006.21875</v>
      </c>
      <c r="AC19" s="442">
        <f>N19*$AE$3</f>
        <v>312.74250000000001</v>
      </c>
      <c r="AD19" s="596">
        <f>O19*$AE$3</f>
        <v>4691.1374999999998</v>
      </c>
      <c r="AE19" s="443">
        <f>P19*$AE$3</f>
        <v>6539.1374999999998</v>
      </c>
    </row>
    <row r="20" spans="1:31" s="215" customFormat="1" ht="18.75" customHeight="1" thickBot="1">
      <c r="A20" s="36"/>
      <c r="B20" s="947" t="s">
        <v>920</v>
      </c>
      <c r="C20" s="13">
        <f>37%*115%*105%*12</f>
        <v>5.3613</v>
      </c>
      <c r="D20" s="38">
        <f>19.5%*12</f>
        <v>2.34</v>
      </c>
      <c r="E20" s="193">
        <f>2.5%*12</f>
        <v>0.30000000000000004</v>
      </c>
      <c r="F20" s="2620"/>
      <c r="G20" s="2609"/>
      <c r="H20" s="2609"/>
      <c r="I20" s="2615"/>
      <c r="J20" s="2609"/>
      <c r="K20" s="2612"/>
      <c r="L20" s="951"/>
      <c r="M20" s="444"/>
      <c r="N20" s="247">
        <f t="shared" ref="N20" si="12">N19/F19</f>
        <v>0.44677500000000003</v>
      </c>
      <c r="O20" s="228">
        <f>O19/F19</f>
        <v>6.7016249999999999</v>
      </c>
      <c r="P20" s="229">
        <f>P19/F19</f>
        <v>9.3416250000000005</v>
      </c>
      <c r="Q20" s="247">
        <f>Q19/F19</f>
        <v>0.41550075000000003</v>
      </c>
      <c r="R20" s="228">
        <f>R19/F19</f>
        <v>6.2325112500000008</v>
      </c>
      <c r="S20" s="229">
        <f>S19/F19</f>
        <v>8.6877112499999996</v>
      </c>
      <c r="T20" s="247">
        <f>T19/F19</f>
        <v>0.38422650000000003</v>
      </c>
      <c r="U20" s="228">
        <f>U19/F19</f>
        <v>5.7633975</v>
      </c>
      <c r="V20" s="229">
        <f>V19/F19</f>
        <v>8.0337975000000004</v>
      </c>
      <c r="W20" s="247">
        <f>W19/F19</f>
        <v>0.37082325000000005</v>
      </c>
      <c r="X20" s="228">
        <f>X19/F19</f>
        <v>5.56234875</v>
      </c>
      <c r="Y20" s="229">
        <f>Y19/F19</f>
        <v>7.7535487500000002</v>
      </c>
      <c r="Z20" s="247">
        <f>Z19/F19</f>
        <v>0.33508125</v>
      </c>
      <c r="AA20" s="228">
        <f>AA19/F19</f>
        <v>5.02621875</v>
      </c>
      <c r="AB20" s="229">
        <f>AB19/F19</f>
        <v>7.0062187500000004</v>
      </c>
      <c r="AC20" s="247">
        <f>AC19/F19</f>
        <v>0.31274250000000003</v>
      </c>
      <c r="AD20" s="228">
        <f>AD19/F19</f>
        <v>4.6911375</v>
      </c>
      <c r="AE20" s="229">
        <f>AE19/F19</f>
        <v>6.5391374999999998</v>
      </c>
    </row>
    <row r="21" spans="1:31" s="215" customFormat="1" ht="18" customHeight="1">
      <c r="A21" s="36"/>
      <c r="B21" s="947"/>
      <c r="C21" s="2613" t="s">
        <v>921</v>
      </c>
      <c r="D21" s="1936" t="s">
        <v>922</v>
      </c>
      <c r="E21" s="2604" t="s">
        <v>919</v>
      </c>
      <c r="F21" s="2614">
        <v>1000</v>
      </c>
      <c r="G21" s="2608">
        <f>F21*C22</f>
        <v>4346.9999999999991</v>
      </c>
      <c r="H21" s="2608">
        <f>G21*25%</f>
        <v>1086.7499999999998</v>
      </c>
      <c r="I21" s="2614">
        <f>SUM(G21:H22)</f>
        <v>5433.7499999999991</v>
      </c>
      <c r="J21" s="2608">
        <f>F21*D22</f>
        <v>1896</v>
      </c>
      <c r="K21" s="2608">
        <f>F21*E22</f>
        <v>300.00000000000006</v>
      </c>
      <c r="L21" s="949"/>
      <c r="M21" s="445"/>
      <c r="N21" s="114">
        <f t="shared" ref="N21" si="13">G21/12</f>
        <v>362.24999999999994</v>
      </c>
      <c r="O21" s="249">
        <f>SUM(G21:H22)</f>
        <v>5433.7499999999991</v>
      </c>
      <c r="P21" s="250">
        <f>SUM(I21:K22)</f>
        <v>7629.7499999999991</v>
      </c>
      <c r="Q21" s="447">
        <f>N21*$S$3</f>
        <v>336.89249999999998</v>
      </c>
      <c r="R21" s="910">
        <f>O21*$S$3</f>
        <v>5053.3874999999998</v>
      </c>
      <c r="S21" s="911">
        <f>P21*$S$3</f>
        <v>7095.6674999999996</v>
      </c>
      <c r="T21" s="447">
        <f>N21*$V$3</f>
        <v>311.53499999999997</v>
      </c>
      <c r="U21" s="910">
        <f>O21*$V$3</f>
        <v>4673.0249999999987</v>
      </c>
      <c r="V21" s="911">
        <f>P21*$V$3</f>
        <v>6561.5849999999991</v>
      </c>
      <c r="W21" s="447">
        <f>N21*$Y$3</f>
        <v>300.66749999999996</v>
      </c>
      <c r="X21" s="910">
        <f>O21*$Y$3</f>
        <v>4510.0124999999989</v>
      </c>
      <c r="Y21" s="911">
        <f>P21*$Y$3</f>
        <v>6332.6924999999992</v>
      </c>
      <c r="Z21" s="447">
        <f>N21*$AB$3</f>
        <v>271.68749999999994</v>
      </c>
      <c r="AA21" s="910">
        <f>O21*$AB$3</f>
        <v>4075.3124999999991</v>
      </c>
      <c r="AB21" s="911">
        <f>P21*$AB$3</f>
        <v>5722.3124999999991</v>
      </c>
      <c r="AC21" s="447">
        <f>N21*$AE$3</f>
        <v>253.57499999999993</v>
      </c>
      <c r="AD21" s="910">
        <f>O21*$AE$3</f>
        <v>3803.6249999999991</v>
      </c>
      <c r="AE21" s="911">
        <f>P21*$AE$3</f>
        <v>5340.8249999999989</v>
      </c>
    </row>
    <row r="22" spans="1:31" s="215" customFormat="1" ht="18" customHeight="1" thickBot="1">
      <c r="A22" s="36"/>
      <c r="B22" s="947"/>
      <c r="C22" s="685">
        <f>30%*115%*105%*12</f>
        <v>4.3469999999999995</v>
      </c>
      <c r="D22" s="38">
        <f>15.8%*12</f>
        <v>1.8959999999999999</v>
      </c>
      <c r="E22" s="193">
        <f>2.5%*12</f>
        <v>0.30000000000000004</v>
      </c>
      <c r="F22" s="2615"/>
      <c r="G22" s="2609"/>
      <c r="H22" s="2609"/>
      <c r="I22" s="2615"/>
      <c r="J22" s="2609"/>
      <c r="K22" s="2609"/>
      <c r="L22" s="951"/>
      <c r="M22" s="444"/>
      <c r="N22" s="247">
        <f t="shared" ref="N22" si="14">N21/F21</f>
        <v>0.36224999999999996</v>
      </c>
      <c r="O22" s="228">
        <f>O21/F21</f>
        <v>5.433749999999999</v>
      </c>
      <c r="P22" s="229">
        <f>P21/F21</f>
        <v>7.6297499999999987</v>
      </c>
      <c r="Q22" s="247">
        <f>Q21/F21</f>
        <v>0.33689249999999998</v>
      </c>
      <c r="R22" s="228">
        <f>R21/F21</f>
        <v>5.0533874999999995</v>
      </c>
      <c r="S22" s="229">
        <f>S21/F21</f>
        <v>7.0956674999999994</v>
      </c>
      <c r="T22" s="247">
        <f>T21/F21</f>
        <v>0.31153499999999995</v>
      </c>
      <c r="U22" s="228">
        <f>U21/F21</f>
        <v>4.6730249999999991</v>
      </c>
      <c r="V22" s="229">
        <f>V21/F21</f>
        <v>6.5615849999999991</v>
      </c>
      <c r="W22" s="247">
        <f>W21/F21</f>
        <v>0.30066749999999998</v>
      </c>
      <c r="X22" s="228">
        <f>X21/F21</f>
        <v>4.5100124999999993</v>
      </c>
      <c r="Y22" s="229">
        <f>Y21/F21</f>
        <v>6.3326924999999994</v>
      </c>
      <c r="Z22" s="247">
        <f>Z21/F21</f>
        <v>0.27168749999999997</v>
      </c>
      <c r="AA22" s="228">
        <f>AA21/F21</f>
        <v>4.075312499999999</v>
      </c>
      <c r="AB22" s="229">
        <f>AB21/F21</f>
        <v>5.7223124999999992</v>
      </c>
      <c r="AC22" s="247">
        <f>AC21/F21</f>
        <v>0.25357499999999994</v>
      </c>
      <c r="AD22" s="228">
        <f>AD21/F21</f>
        <v>3.8036249999999989</v>
      </c>
      <c r="AE22" s="229">
        <f>AE21/F21</f>
        <v>5.3408249999999988</v>
      </c>
    </row>
    <row r="23" spans="1:31" s="215" customFormat="1" ht="18" customHeight="1">
      <c r="A23" s="36"/>
      <c r="B23" s="2635"/>
      <c r="C23" s="2621" t="s">
        <v>923</v>
      </c>
      <c r="D23" s="1940" t="s">
        <v>918</v>
      </c>
      <c r="E23" s="1963" t="s">
        <v>924</v>
      </c>
      <c r="F23" s="2614">
        <v>1000</v>
      </c>
      <c r="G23" s="2608">
        <f>F23*C24</f>
        <v>7245</v>
      </c>
      <c r="H23" s="2608">
        <f>G23*25%</f>
        <v>1811.25</v>
      </c>
      <c r="I23" s="2614">
        <f>SUM(G23:H24)</f>
        <v>9056.25</v>
      </c>
      <c r="J23" s="2608">
        <f>F23*D24</f>
        <v>1200.0000000000002</v>
      </c>
      <c r="K23" s="2608">
        <f>F23*E24</f>
        <v>300.00000000000006</v>
      </c>
      <c r="L23" s="949"/>
      <c r="M23" s="445"/>
      <c r="N23" s="114">
        <f t="shared" ref="N23" si="15">G23/12</f>
        <v>603.75</v>
      </c>
      <c r="O23" s="249">
        <f>SUM(G23:H24)</f>
        <v>9056.25</v>
      </c>
      <c r="P23" s="250">
        <f>SUM(I23:K24)</f>
        <v>10556.25</v>
      </c>
      <c r="Q23" s="447">
        <f>N23*$S$3</f>
        <v>561.48750000000007</v>
      </c>
      <c r="R23" s="910">
        <f>O23*$S$3</f>
        <v>8422.3125</v>
      </c>
      <c r="S23" s="911">
        <f>P23*$S$3</f>
        <v>9817.3125</v>
      </c>
      <c r="T23" s="447">
        <f>N23*$V$3</f>
        <v>519.22500000000002</v>
      </c>
      <c r="U23" s="910">
        <f>O23*$V$3</f>
        <v>7788.375</v>
      </c>
      <c r="V23" s="911">
        <f>P23*$V$3</f>
        <v>9078.375</v>
      </c>
      <c r="W23" s="447">
        <f>N23*$Y$3</f>
        <v>501.11249999999995</v>
      </c>
      <c r="X23" s="910">
        <f>O23*$Y$3</f>
        <v>7516.6875</v>
      </c>
      <c r="Y23" s="911">
        <f>P23*$Y$3</f>
        <v>8761.6875</v>
      </c>
      <c r="Z23" s="447">
        <f>N23*$AB$3</f>
        <v>452.8125</v>
      </c>
      <c r="AA23" s="910">
        <f>O23*$AB$3</f>
        <v>6792.1875</v>
      </c>
      <c r="AB23" s="911">
        <f>P23*$AB$3</f>
        <v>7917.1875</v>
      </c>
      <c r="AC23" s="447">
        <f>N23*$AE$3</f>
        <v>422.625</v>
      </c>
      <c r="AD23" s="910">
        <f>O23*$AE$3</f>
        <v>6339.375</v>
      </c>
      <c r="AE23" s="911">
        <f>P23*$AE$3</f>
        <v>7389.3749999999991</v>
      </c>
    </row>
    <row r="24" spans="1:31" s="215" customFormat="1" ht="18" customHeight="1" thickBot="1">
      <c r="A24" s="36"/>
      <c r="B24" s="2635"/>
      <c r="C24" s="685">
        <f>60.375%*12</f>
        <v>7.2450000000000001</v>
      </c>
      <c r="D24" s="38">
        <f>10%*12</f>
        <v>1.2000000000000002</v>
      </c>
      <c r="E24" s="193">
        <f>2.5%*12</f>
        <v>0.30000000000000004</v>
      </c>
      <c r="F24" s="2615"/>
      <c r="G24" s="2609"/>
      <c r="H24" s="2609"/>
      <c r="I24" s="2615"/>
      <c r="J24" s="2609"/>
      <c r="K24" s="2609"/>
      <c r="L24" s="951"/>
      <c r="M24" s="444"/>
      <c r="N24" s="247">
        <f t="shared" ref="N24" si="16">N23/F23</f>
        <v>0.60375000000000001</v>
      </c>
      <c r="O24" s="228">
        <f>O23/F23</f>
        <v>9.0562500000000004</v>
      </c>
      <c r="P24" s="229">
        <f>P23/F23</f>
        <v>10.55625</v>
      </c>
      <c r="Q24" s="247">
        <f>Q23/F23</f>
        <v>0.56148750000000003</v>
      </c>
      <c r="R24" s="228">
        <f>R23/F23</f>
        <v>8.4223125000000003</v>
      </c>
      <c r="S24" s="229">
        <f>S23/F23</f>
        <v>9.8173124999999999</v>
      </c>
      <c r="T24" s="247">
        <f>T23/F23</f>
        <v>0.51922500000000005</v>
      </c>
      <c r="U24" s="228">
        <f>U23/F23</f>
        <v>7.7883750000000003</v>
      </c>
      <c r="V24" s="229">
        <f>V23/F23</f>
        <v>9.0783749999999994</v>
      </c>
      <c r="W24" s="247">
        <f>W23/F23</f>
        <v>0.50111249999999996</v>
      </c>
      <c r="X24" s="228">
        <f>X23/F23</f>
        <v>7.5166874999999997</v>
      </c>
      <c r="Y24" s="229">
        <f>Y23/F23</f>
        <v>8.7616875000000007</v>
      </c>
      <c r="Z24" s="247">
        <f>Z23/F23</f>
        <v>0.45281250000000001</v>
      </c>
      <c r="AA24" s="228">
        <f>AA23/F23</f>
        <v>6.7921874999999998</v>
      </c>
      <c r="AB24" s="229">
        <f>AB23/F23</f>
        <v>7.9171874999999998</v>
      </c>
      <c r="AC24" s="247">
        <f>AC23/F23</f>
        <v>0.42262499999999997</v>
      </c>
      <c r="AD24" s="228">
        <f>AD23/F23</f>
        <v>6.3393750000000004</v>
      </c>
      <c r="AE24" s="229">
        <f>AE23/F23</f>
        <v>7.3893749999999994</v>
      </c>
    </row>
    <row r="25" spans="1:31" s="215" customFormat="1" ht="18" customHeight="1">
      <c r="A25" s="36"/>
      <c r="B25" s="2636"/>
      <c r="C25" s="2626" t="s">
        <v>925</v>
      </c>
      <c r="D25" s="1936" t="s">
        <v>909</v>
      </c>
      <c r="E25" s="2604" t="s">
        <v>910</v>
      </c>
      <c r="F25" s="2627">
        <v>1000</v>
      </c>
      <c r="G25" s="2625">
        <f>F25*C26</f>
        <v>4140</v>
      </c>
      <c r="H25" s="2608">
        <f>G25*25%</f>
        <v>1035</v>
      </c>
      <c r="I25" s="2614">
        <f>SUM(G25:H26)</f>
        <v>5175</v>
      </c>
      <c r="J25" s="2608">
        <f>F25*D26</f>
        <v>1799.9999999999998</v>
      </c>
      <c r="K25" s="2608">
        <f>F25*E26</f>
        <v>3600</v>
      </c>
      <c r="L25" s="949"/>
      <c r="M25" s="445"/>
      <c r="N25" s="114">
        <f t="shared" ref="N25" si="17">G25/12</f>
        <v>345</v>
      </c>
      <c r="O25" s="249">
        <f>SUM(G25:H26)</f>
        <v>5175</v>
      </c>
      <c r="P25" s="250">
        <f>SUM(I25:K26)</f>
        <v>10575</v>
      </c>
      <c r="Q25" s="447">
        <f>N25*$S$3</f>
        <v>320.85000000000002</v>
      </c>
      <c r="R25" s="910">
        <f>O25*$S$3</f>
        <v>4812.75</v>
      </c>
      <c r="S25" s="911">
        <f>P25*$S$3</f>
        <v>9834.75</v>
      </c>
      <c r="T25" s="447">
        <f>N25*$V$3</f>
        <v>296.7</v>
      </c>
      <c r="U25" s="910">
        <f>O25*$V$3</f>
        <v>4450.5</v>
      </c>
      <c r="V25" s="911">
        <f>P25*$V$3</f>
        <v>9094.5</v>
      </c>
      <c r="W25" s="447">
        <f>N25*$Y$3</f>
        <v>286.34999999999997</v>
      </c>
      <c r="X25" s="910">
        <f>O25*$Y$3</f>
        <v>4295.25</v>
      </c>
      <c r="Y25" s="911">
        <f>P25*$Y$3</f>
        <v>8777.25</v>
      </c>
      <c r="Z25" s="447">
        <f>N25*$AB$3</f>
        <v>258.75</v>
      </c>
      <c r="AA25" s="910">
        <f>O25*$AB$3</f>
        <v>3881.25</v>
      </c>
      <c r="AB25" s="911">
        <f>P25*$AB$3</f>
        <v>7931.25</v>
      </c>
      <c r="AC25" s="447">
        <f>N25*$AE$3</f>
        <v>241.49999999999997</v>
      </c>
      <c r="AD25" s="910">
        <f>O25*$AE$3</f>
        <v>3622.4999999999995</v>
      </c>
      <c r="AE25" s="911">
        <f>P25*$AE$3</f>
        <v>7402.4999999999991</v>
      </c>
    </row>
    <row r="26" spans="1:31" s="215" customFormat="1" ht="18" customHeight="1" thickBot="1">
      <c r="A26" s="36"/>
      <c r="B26" s="2636"/>
      <c r="C26" s="685">
        <f>30%*115%*12</f>
        <v>4.1399999999999997</v>
      </c>
      <c r="D26" s="12">
        <f>15%*12</f>
        <v>1.7999999999999998</v>
      </c>
      <c r="E26" s="246">
        <f>15%*12+10%*12+5%*12</f>
        <v>3.6</v>
      </c>
      <c r="F26" s="2615"/>
      <c r="G26" s="2620"/>
      <c r="H26" s="2609"/>
      <c r="I26" s="2615"/>
      <c r="J26" s="2609"/>
      <c r="K26" s="2609"/>
      <c r="L26" s="951"/>
      <c r="M26" s="444"/>
      <c r="N26" s="247">
        <f t="shared" ref="N26" si="18">N25/F25</f>
        <v>0.34499999999999997</v>
      </c>
      <c r="O26" s="228">
        <f>O25/F25</f>
        <v>5.1749999999999998</v>
      </c>
      <c r="P26" s="229">
        <f>P25/F25</f>
        <v>10.574999999999999</v>
      </c>
      <c r="Q26" s="247">
        <f>Q25/F25</f>
        <v>0.32085000000000002</v>
      </c>
      <c r="R26" s="228">
        <f>R25/F25</f>
        <v>4.8127500000000003</v>
      </c>
      <c r="S26" s="229">
        <f>S25/F25</f>
        <v>9.8347499999999997</v>
      </c>
      <c r="T26" s="247">
        <f>T25/F25</f>
        <v>0.29669999999999996</v>
      </c>
      <c r="U26" s="228">
        <f>U25/F25</f>
        <v>4.4504999999999999</v>
      </c>
      <c r="V26" s="229">
        <f>V25/F25</f>
        <v>9.0945</v>
      </c>
      <c r="W26" s="247">
        <f>W25/F25</f>
        <v>0.28634999999999999</v>
      </c>
      <c r="X26" s="228">
        <f>X25/F25</f>
        <v>4.2952500000000002</v>
      </c>
      <c r="Y26" s="229">
        <f>Y25/F25</f>
        <v>8.7772500000000004</v>
      </c>
      <c r="Z26" s="247">
        <f>Z25/F25</f>
        <v>0.25874999999999998</v>
      </c>
      <c r="AA26" s="228">
        <f>AA25/F25</f>
        <v>3.8812500000000001</v>
      </c>
      <c r="AB26" s="229">
        <f>AB25/F25</f>
        <v>7.9312500000000004</v>
      </c>
      <c r="AC26" s="247">
        <f>AC25/F25</f>
        <v>0.24149999999999996</v>
      </c>
      <c r="AD26" s="228">
        <f>AD25/F25</f>
        <v>3.6224999999999996</v>
      </c>
      <c r="AE26" s="229">
        <f>AE25/F25</f>
        <v>7.402499999999999</v>
      </c>
    </row>
    <row r="27" spans="1:31" s="215" customFormat="1" ht="18" customHeight="1">
      <c r="A27" s="36"/>
      <c r="B27" s="950"/>
      <c r="C27" s="2622" t="s">
        <v>926</v>
      </c>
      <c r="D27" s="2623" t="s">
        <v>909</v>
      </c>
      <c r="E27" s="2624" t="s">
        <v>910</v>
      </c>
      <c r="F27" s="2625">
        <v>1000</v>
      </c>
      <c r="G27" s="2608">
        <f>F27*C28</f>
        <v>4140</v>
      </c>
      <c r="H27" s="2608">
        <f>G27*25%</f>
        <v>1035</v>
      </c>
      <c r="I27" s="2614">
        <f>SUM(G27:H28)</f>
        <v>5175</v>
      </c>
      <c r="J27" s="2608">
        <f>F27*D28</f>
        <v>1200.0000000000002</v>
      </c>
      <c r="K27" s="2608">
        <f>F27*E28</f>
        <v>3600.0000000000005</v>
      </c>
      <c r="L27" s="949"/>
      <c r="M27" s="445"/>
      <c r="N27" s="114">
        <f t="shared" ref="N27" si="19">G27/12</f>
        <v>345</v>
      </c>
      <c r="O27" s="249">
        <f>SUM(G27:H28)</f>
        <v>5175</v>
      </c>
      <c r="P27" s="250">
        <f>SUM(I27:K28)</f>
        <v>9975</v>
      </c>
      <c r="Q27" s="447">
        <f>N27*$S$3</f>
        <v>320.85000000000002</v>
      </c>
      <c r="R27" s="910">
        <f>O27*$S$3</f>
        <v>4812.75</v>
      </c>
      <c r="S27" s="911">
        <f>P27*$S$3</f>
        <v>9276.75</v>
      </c>
      <c r="T27" s="447">
        <f>N27*$V$3</f>
        <v>296.7</v>
      </c>
      <c r="U27" s="910">
        <f>O27*$V$3</f>
        <v>4450.5</v>
      </c>
      <c r="V27" s="911">
        <f>P27*$V$3</f>
        <v>8578.5</v>
      </c>
      <c r="W27" s="447">
        <f>N27*$Y$3</f>
        <v>286.34999999999997</v>
      </c>
      <c r="X27" s="910">
        <f>O27*$Y$3</f>
        <v>4295.25</v>
      </c>
      <c r="Y27" s="911">
        <f>P27*$Y$3</f>
        <v>8279.25</v>
      </c>
      <c r="Z27" s="447">
        <f>N27*$AB$3</f>
        <v>258.75</v>
      </c>
      <c r="AA27" s="910">
        <f>O27*$AB$3</f>
        <v>3881.25</v>
      </c>
      <c r="AB27" s="911">
        <f>P27*$AB$3</f>
        <v>7481.25</v>
      </c>
      <c r="AC27" s="447">
        <f>N27*$AE$3</f>
        <v>241.49999999999997</v>
      </c>
      <c r="AD27" s="910">
        <f>O27*$AE$3</f>
        <v>3622.4999999999995</v>
      </c>
      <c r="AE27" s="911">
        <f>P27*$AE$3</f>
        <v>6982.5</v>
      </c>
    </row>
    <row r="28" spans="1:31" s="215" customFormat="1" ht="18" customHeight="1" thickBot="1">
      <c r="A28" s="36"/>
      <c r="B28" s="950"/>
      <c r="C28" s="685">
        <f>30%*115%*100%*12</f>
        <v>4.1399999999999997</v>
      </c>
      <c r="D28" s="38">
        <f>10%*12</f>
        <v>1.2000000000000002</v>
      </c>
      <c r="E28" s="193">
        <f>10%*12+10%*12+10%*12</f>
        <v>3.6000000000000005</v>
      </c>
      <c r="F28" s="2619"/>
      <c r="G28" s="2603"/>
      <c r="H28" s="2603"/>
      <c r="I28" s="2605"/>
      <c r="J28" s="2603"/>
      <c r="K28" s="2603"/>
      <c r="L28" s="945"/>
      <c r="M28" s="505"/>
      <c r="N28" s="247">
        <f t="shared" ref="N28" si="20">N27/F27</f>
        <v>0.34499999999999997</v>
      </c>
      <c r="O28" s="228">
        <f>O27/F27</f>
        <v>5.1749999999999998</v>
      </c>
      <c r="P28" s="229">
        <f>P27/F27</f>
        <v>9.9749999999999996</v>
      </c>
      <c r="Q28" s="247">
        <f>Q27/F27</f>
        <v>0.32085000000000002</v>
      </c>
      <c r="R28" s="228">
        <f>R27/F27</f>
        <v>4.8127500000000003</v>
      </c>
      <c r="S28" s="229">
        <f>S27/F27</f>
        <v>9.2767499999999998</v>
      </c>
      <c r="T28" s="247">
        <f>T27/F27</f>
        <v>0.29669999999999996</v>
      </c>
      <c r="U28" s="228">
        <f>U27/F27</f>
        <v>4.4504999999999999</v>
      </c>
      <c r="V28" s="229">
        <f>V27/F27</f>
        <v>8.5785</v>
      </c>
      <c r="W28" s="247">
        <f>W27/F27</f>
        <v>0.28634999999999999</v>
      </c>
      <c r="X28" s="228">
        <f>X27/F27</f>
        <v>4.2952500000000002</v>
      </c>
      <c r="Y28" s="229">
        <f>Y27/F27</f>
        <v>8.2792499999999993</v>
      </c>
      <c r="Z28" s="247">
        <f>Z27/F27</f>
        <v>0.25874999999999998</v>
      </c>
      <c r="AA28" s="228">
        <f>AA27/F27</f>
        <v>3.8812500000000001</v>
      </c>
      <c r="AB28" s="229">
        <f>AB27/F27</f>
        <v>7.4812500000000002</v>
      </c>
      <c r="AC28" s="247">
        <f>AC27/F27</f>
        <v>0.24149999999999996</v>
      </c>
      <c r="AD28" s="228">
        <f>AD27/F27</f>
        <v>3.6224999999999996</v>
      </c>
      <c r="AE28" s="229">
        <f>AE27/F27</f>
        <v>6.9824999999999999</v>
      </c>
    </row>
    <row r="29" spans="1:31" s="215" customFormat="1" ht="18" customHeight="1">
      <c r="A29" s="36"/>
      <c r="B29" s="950"/>
      <c r="C29" s="2626" t="s">
        <v>927</v>
      </c>
      <c r="D29" s="1936" t="s">
        <v>909</v>
      </c>
      <c r="E29" s="2604" t="s">
        <v>910</v>
      </c>
      <c r="F29" s="2625">
        <v>1000</v>
      </c>
      <c r="G29" s="2608">
        <f>F29*C30</f>
        <v>2760</v>
      </c>
      <c r="H29" s="2608">
        <f>G29*25%</f>
        <v>690</v>
      </c>
      <c r="I29" s="2614">
        <f>SUM(G29:H30)</f>
        <v>3450</v>
      </c>
      <c r="J29" s="2608">
        <f>F29*D30</f>
        <v>600.00000000000011</v>
      </c>
      <c r="K29" s="2602">
        <f>F29*E30</f>
        <v>1800.0000000000002</v>
      </c>
      <c r="L29" s="949"/>
      <c r="M29" s="445"/>
      <c r="N29" s="114">
        <f t="shared" ref="N29" si="21">G29/12</f>
        <v>230</v>
      </c>
      <c r="O29" s="249">
        <f>SUM(G29:H30)</f>
        <v>3450</v>
      </c>
      <c r="P29" s="250">
        <f>SUM(I29:K30)</f>
        <v>5850</v>
      </c>
      <c r="Q29" s="447">
        <f>N29*$S$3</f>
        <v>213.9</v>
      </c>
      <c r="R29" s="910">
        <f>O29*$S$3</f>
        <v>3208.5</v>
      </c>
      <c r="S29" s="911">
        <f>P29*$S$3</f>
        <v>5440.5</v>
      </c>
      <c r="T29" s="447">
        <f>N29*$V$3</f>
        <v>197.79999999999998</v>
      </c>
      <c r="U29" s="910">
        <f>O29*$V$3</f>
        <v>2967</v>
      </c>
      <c r="V29" s="911">
        <f>P29*$V$3</f>
        <v>5031</v>
      </c>
      <c r="W29" s="447">
        <f>N29*$Y$3</f>
        <v>190.89999999999998</v>
      </c>
      <c r="X29" s="910">
        <f>O29*$Y$3</f>
        <v>2863.5</v>
      </c>
      <c r="Y29" s="911">
        <f>P29*$Y$3</f>
        <v>4855.5</v>
      </c>
      <c r="Z29" s="447">
        <f>N29*$AB$3</f>
        <v>172.5</v>
      </c>
      <c r="AA29" s="910">
        <f>O29*$AB$3</f>
        <v>2587.5</v>
      </c>
      <c r="AB29" s="911">
        <f>P29*$AB$3</f>
        <v>4387.5</v>
      </c>
      <c r="AC29" s="447">
        <f>N29*$AE$3</f>
        <v>161</v>
      </c>
      <c r="AD29" s="910">
        <f>O29*$AE$3</f>
        <v>2415</v>
      </c>
      <c r="AE29" s="911">
        <f>P29*$AE$3</f>
        <v>4094.9999999999995</v>
      </c>
    </row>
    <row r="30" spans="1:31" s="215" customFormat="1" ht="18" customHeight="1" thickBot="1">
      <c r="A30" s="36"/>
      <c r="B30" s="448"/>
      <c r="C30" s="230">
        <f>20%*115%*100%*12</f>
        <v>2.76</v>
      </c>
      <c r="D30" s="12">
        <f>5%*12</f>
        <v>0.60000000000000009</v>
      </c>
      <c r="E30" s="246">
        <f>5%*12+5%*12+5%*12</f>
        <v>1.8000000000000003</v>
      </c>
      <c r="F30" s="2619"/>
      <c r="G30" s="2603"/>
      <c r="H30" s="2603"/>
      <c r="I30" s="2610"/>
      <c r="J30" s="2611"/>
      <c r="K30" s="2584"/>
      <c r="L30" s="942"/>
      <c r="M30" s="505"/>
      <c r="N30" s="247">
        <f t="shared" ref="N30" si="22">N29/F29</f>
        <v>0.23</v>
      </c>
      <c r="O30" s="228">
        <f>O29/F29</f>
        <v>3.45</v>
      </c>
      <c r="P30" s="229">
        <f>P29/F29</f>
        <v>5.85</v>
      </c>
      <c r="Q30" s="247">
        <f>Q29/F29</f>
        <v>0.21390000000000001</v>
      </c>
      <c r="R30" s="228">
        <f>R29/F29</f>
        <v>3.2084999999999999</v>
      </c>
      <c r="S30" s="229">
        <f>S29/F29</f>
        <v>5.4405000000000001</v>
      </c>
      <c r="T30" s="247">
        <f>T29/F29</f>
        <v>0.19779999999999998</v>
      </c>
      <c r="U30" s="228">
        <f>U29/F29</f>
        <v>2.9670000000000001</v>
      </c>
      <c r="V30" s="229">
        <f>V29/F29</f>
        <v>5.0309999999999997</v>
      </c>
      <c r="W30" s="247">
        <f>W29/F29</f>
        <v>0.19089999999999999</v>
      </c>
      <c r="X30" s="228">
        <f>X29/F29</f>
        <v>2.8635000000000002</v>
      </c>
      <c r="Y30" s="229">
        <f>Y29/F29</f>
        <v>4.8555000000000001</v>
      </c>
      <c r="Z30" s="247">
        <f>Z29/F29</f>
        <v>0.17249999999999999</v>
      </c>
      <c r="AA30" s="228">
        <f>AA29/F29</f>
        <v>2.5874999999999999</v>
      </c>
      <c r="AB30" s="229">
        <f>AB29/F29</f>
        <v>4.3875000000000002</v>
      </c>
      <c r="AC30" s="247">
        <f>AC29/F29</f>
        <v>0.161</v>
      </c>
      <c r="AD30" s="228">
        <f>AD29/F29</f>
        <v>2.415</v>
      </c>
      <c r="AE30" s="229">
        <f>AE29/F29</f>
        <v>4.0949999999999998</v>
      </c>
    </row>
    <row r="31" spans="1:31" s="215" customFormat="1" ht="18" customHeight="1">
      <c r="A31" s="36"/>
      <c r="B31" s="2589" t="s">
        <v>928</v>
      </c>
      <c r="C31" s="2599" t="s">
        <v>929</v>
      </c>
      <c r="D31" s="2600" t="s">
        <v>909</v>
      </c>
      <c r="E31" s="2601" t="s">
        <v>910</v>
      </c>
      <c r="F31" s="2628">
        <v>1000</v>
      </c>
      <c r="G31" s="2583">
        <f>F31*C32</f>
        <v>2760</v>
      </c>
      <c r="H31" s="2583">
        <f>G31*25%</f>
        <v>690</v>
      </c>
      <c r="I31" s="2581">
        <f>SUM(G31:H32)</f>
        <v>3450</v>
      </c>
      <c r="J31" s="2583">
        <f>F31*D32</f>
        <v>384</v>
      </c>
      <c r="K31" s="2583">
        <f>F31*E32</f>
        <v>384</v>
      </c>
      <c r="L31" s="304"/>
      <c r="M31" s="305"/>
      <c r="N31" s="114">
        <f t="shared" ref="N31" si="23">G31/12</f>
        <v>230</v>
      </c>
      <c r="O31" s="249">
        <f>SUM(G31:H32)</f>
        <v>3450</v>
      </c>
      <c r="P31" s="250">
        <f>SUM(I31:K32)</f>
        <v>4218</v>
      </c>
      <c r="Q31" s="449">
        <f>N31*$S$3</f>
        <v>213.9</v>
      </c>
      <c r="R31" s="253">
        <f>O31*$S$3</f>
        <v>3208.5</v>
      </c>
      <c r="S31" s="254">
        <f>P31*$S$3</f>
        <v>3922.7400000000002</v>
      </c>
      <c r="T31" s="449">
        <f>N31*$V$3</f>
        <v>197.79999999999998</v>
      </c>
      <c r="U31" s="253">
        <f>O31*$V$3</f>
        <v>2967</v>
      </c>
      <c r="V31" s="911">
        <f>P31*$V$3</f>
        <v>3627.48</v>
      </c>
      <c r="W31" s="449">
        <f>N31*$Y$3</f>
        <v>190.89999999999998</v>
      </c>
      <c r="X31" s="253">
        <f>O31*$Y$3</f>
        <v>2863.5</v>
      </c>
      <c r="Y31" s="254">
        <f>P31*$Y$3</f>
        <v>3500.94</v>
      </c>
      <c r="Z31" s="252">
        <f>N31*$AB$3</f>
        <v>172.5</v>
      </c>
      <c r="AA31" s="253">
        <f>O31*$AB$3</f>
        <v>2587.5</v>
      </c>
      <c r="AB31" s="254">
        <f>P31*$AB$3</f>
        <v>3163.5</v>
      </c>
      <c r="AC31" s="449">
        <f>N31*$AE$3</f>
        <v>161</v>
      </c>
      <c r="AD31" s="253">
        <f>O31*$AE$3</f>
        <v>2415</v>
      </c>
      <c r="AE31" s="254">
        <f>P31*$AE$3</f>
        <v>2952.6</v>
      </c>
    </row>
    <row r="32" spans="1:31" s="215" customFormat="1" ht="18" customHeight="1" thickBot="1">
      <c r="A32" s="36"/>
      <c r="B32" s="2590"/>
      <c r="C32" s="38">
        <f>20%*1.15*12</f>
        <v>2.76</v>
      </c>
      <c r="D32" s="38">
        <f>3.2%*12</f>
        <v>0.38400000000000001</v>
      </c>
      <c r="E32" s="193">
        <f>3.2%*12</f>
        <v>0.38400000000000001</v>
      </c>
      <c r="F32" s="2629"/>
      <c r="G32" s="2584"/>
      <c r="H32" s="2584"/>
      <c r="I32" s="2582"/>
      <c r="J32" s="2584"/>
      <c r="K32" s="2584"/>
      <c r="L32" s="306"/>
      <c r="M32" s="307"/>
      <c r="N32" s="247">
        <f t="shared" ref="N32" si="24">N31/F31</f>
        <v>0.23</v>
      </c>
      <c r="O32" s="228">
        <f>O31/F31</f>
        <v>3.45</v>
      </c>
      <c r="P32" s="229">
        <f>P31/F31</f>
        <v>4.218</v>
      </c>
      <c r="Q32" s="247">
        <f>Q31/F31</f>
        <v>0.21390000000000001</v>
      </c>
      <c r="R32" s="228">
        <f>R31/F31</f>
        <v>3.2084999999999999</v>
      </c>
      <c r="S32" s="229">
        <f>S31/F31</f>
        <v>3.9227400000000001</v>
      </c>
      <c r="T32" s="247">
        <f>T31/F31</f>
        <v>0.19779999999999998</v>
      </c>
      <c r="U32" s="228">
        <f>U31/F31</f>
        <v>2.9670000000000001</v>
      </c>
      <c r="V32" s="229">
        <f>V31/F31</f>
        <v>3.6274799999999998</v>
      </c>
      <c r="W32" s="247">
        <f>W31/F31</f>
        <v>0.19089999999999999</v>
      </c>
      <c r="X32" s="228">
        <f>X31/F31</f>
        <v>2.8635000000000002</v>
      </c>
      <c r="Y32" s="229">
        <f>Y31/F31</f>
        <v>3.5009399999999999</v>
      </c>
      <c r="Z32" s="247">
        <f>Z31/F31</f>
        <v>0.17249999999999999</v>
      </c>
      <c r="AA32" s="228">
        <f>AA31/F31</f>
        <v>2.5874999999999999</v>
      </c>
      <c r="AB32" s="229">
        <f>AB31/F31</f>
        <v>3.1635</v>
      </c>
      <c r="AC32" s="247">
        <f>AC31/F31</f>
        <v>0.161</v>
      </c>
      <c r="AD32" s="228">
        <f>AD31/F31</f>
        <v>2.415</v>
      </c>
      <c r="AE32" s="229">
        <f>AE31/F31</f>
        <v>2.9525999999999999</v>
      </c>
    </row>
    <row r="33" spans="1:31" s="215" customFormat="1" ht="18" customHeight="1">
      <c r="A33" s="174"/>
      <c r="B33" s="2589" t="s">
        <v>930</v>
      </c>
      <c r="C33" s="2599" t="s">
        <v>931</v>
      </c>
      <c r="D33" s="2600"/>
      <c r="E33" s="2601"/>
      <c r="F33" s="2581">
        <v>1000</v>
      </c>
      <c r="G33" s="2583">
        <f>F33*C34</f>
        <v>2208</v>
      </c>
      <c r="H33" s="2583">
        <f>G33*25%</f>
        <v>552</v>
      </c>
      <c r="I33" s="2581">
        <f>SUM(G33:H34)</f>
        <v>2760</v>
      </c>
      <c r="J33" s="2583">
        <f>F33*D34</f>
        <v>420.00000000000006</v>
      </c>
      <c r="K33" s="2583">
        <f>F33*E34</f>
        <v>420.00000000000006</v>
      </c>
      <c r="L33" s="304"/>
      <c r="M33" s="305"/>
      <c r="N33" s="114">
        <f t="shared" ref="N33" si="25">G33/12</f>
        <v>184</v>
      </c>
      <c r="O33" s="249">
        <f>SUM(G33:H34)</f>
        <v>2760</v>
      </c>
      <c r="P33" s="250">
        <f>SUM(I33:K34)</f>
        <v>3600</v>
      </c>
      <c r="Q33" s="252">
        <f>N33*$S$3</f>
        <v>171.12</v>
      </c>
      <c r="R33" s="253">
        <f>O33*$S$3</f>
        <v>2566.8000000000002</v>
      </c>
      <c r="S33" s="254">
        <f>P33*$S$3</f>
        <v>3348</v>
      </c>
      <c r="T33" s="252">
        <f>N33*$V$3</f>
        <v>158.24</v>
      </c>
      <c r="U33" s="253">
        <f>O33*$V$3</f>
        <v>2373.6</v>
      </c>
      <c r="V33" s="254">
        <f>P33*$V$3</f>
        <v>3096</v>
      </c>
      <c r="W33" s="252">
        <f>N33*$Y$3</f>
        <v>152.72</v>
      </c>
      <c r="X33" s="253">
        <f>O33*$Y$3</f>
        <v>2290.7999999999997</v>
      </c>
      <c r="Y33" s="254">
        <f>P33*$Y$3</f>
        <v>2988</v>
      </c>
      <c r="Z33" s="252">
        <f>N33*$AB$3</f>
        <v>138</v>
      </c>
      <c r="AA33" s="253">
        <f>O33*$AB$3</f>
        <v>2070</v>
      </c>
      <c r="AB33" s="254">
        <f>P33*$AB$3</f>
        <v>2700</v>
      </c>
      <c r="AC33" s="252">
        <f>N33*$AE$3</f>
        <v>128.79999999999998</v>
      </c>
      <c r="AD33" s="253">
        <f>O33*$AE$3</f>
        <v>1931.9999999999998</v>
      </c>
      <c r="AE33" s="254">
        <f>P33*$AE$3</f>
        <v>2520</v>
      </c>
    </row>
    <row r="34" spans="1:31" s="215" customFormat="1" ht="18" customHeight="1" thickBot="1">
      <c r="A34" s="36"/>
      <c r="B34" s="2590"/>
      <c r="C34" s="37">
        <f>16%*115%*12</f>
        <v>2.2080000000000002</v>
      </c>
      <c r="D34" s="37">
        <f>3.5%*12</f>
        <v>0.42000000000000004</v>
      </c>
      <c r="E34" s="507">
        <f>3.5%*12</f>
        <v>0.42000000000000004</v>
      </c>
      <c r="F34" s="2582"/>
      <c r="G34" s="2584"/>
      <c r="H34" s="2584"/>
      <c r="I34" s="2582"/>
      <c r="J34" s="2584"/>
      <c r="K34" s="2584"/>
      <c r="L34" s="306"/>
      <c r="M34" s="307"/>
      <c r="N34" s="247">
        <f t="shared" ref="N34" si="26">N33/F33</f>
        <v>0.184</v>
      </c>
      <c r="O34" s="228">
        <f>O33/F33</f>
        <v>2.76</v>
      </c>
      <c r="P34" s="229">
        <f>P33/F33</f>
        <v>3.6</v>
      </c>
      <c r="Q34" s="247">
        <f>Q33/F33</f>
        <v>0.17111999999999999</v>
      </c>
      <c r="R34" s="228">
        <f>R33/F33</f>
        <v>2.5668000000000002</v>
      </c>
      <c r="S34" s="229">
        <f>S33/F33</f>
        <v>3.3479999999999999</v>
      </c>
      <c r="T34" s="247">
        <f>T33/F33</f>
        <v>0.15824000000000002</v>
      </c>
      <c r="U34" s="228">
        <f>U33/F33</f>
        <v>2.3735999999999997</v>
      </c>
      <c r="V34" s="229">
        <f>V33/F33</f>
        <v>3.0960000000000001</v>
      </c>
      <c r="W34" s="247">
        <f>W33/F33</f>
        <v>0.15271999999999999</v>
      </c>
      <c r="X34" s="228">
        <f>X33/F33</f>
        <v>2.2907999999999999</v>
      </c>
      <c r="Y34" s="229">
        <f>Y33/F33</f>
        <v>2.988</v>
      </c>
      <c r="Z34" s="247">
        <f>Z33/F33</f>
        <v>0.13800000000000001</v>
      </c>
      <c r="AA34" s="228">
        <f>AA33/F33</f>
        <v>2.0699999999999998</v>
      </c>
      <c r="AB34" s="229">
        <f>AB33/F33</f>
        <v>2.7</v>
      </c>
      <c r="AC34" s="247">
        <f>AC33/F33</f>
        <v>0.12879999999999997</v>
      </c>
      <c r="AD34" s="228">
        <f>AD33/F33</f>
        <v>1.9319999999999997</v>
      </c>
      <c r="AE34" s="229">
        <f>AE33/F33</f>
        <v>2.52</v>
      </c>
    </row>
    <row r="35" spans="1:31" s="215" customFormat="1" ht="18" customHeight="1">
      <c r="A35" s="36"/>
      <c r="B35" s="2598" t="s">
        <v>932</v>
      </c>
      <c r="C35" s="2599" t="s">
        <v>933</v>
      </c>
      <c r="D35" s="2600"/>
      <c r="E35" s="2601"/>
      <c r="F35" s="2581">
        <v>1000</v>
      </c>
      <c r="G35" s="2583">
        <f>F35*C36</f>
        <v>4140</v>
      </c>
      <c r="H35" s="2583">
        <f>G35*25%</f>
        <v>1035</v>
      </c>
      <c r="I35" s="2581">
        <f>SUM(G35:H36)</f>
        <v>5175</v>
      </c>
      <c r="J35" s="2583">
        <f>F35*D36</f>
        <v>1896</v>
      </c>
      <c r="K35" s="2583">
        <f>F35*E36</f>
        <v>300.00000000000006</v>
      </c>
      <c r="L35" s="941"/>
      <c r="M35" s="943"/>
      <c r="N35" s="114">
        <f t="shared" ref="N35" si="27">G35/12</f>
        <v>345</v>
      </c>
      <c r="O35" s="249">
        <f>SUM(G35:H36)</f>
        <v>5175</v>
      </c>
      <c r="P35" s="250">
        <f>SUM(I35:K36)</f>
        <v>7371</v>
      </c>
      <c r="Q35" s="252">
        <f>N35*$S$3</f>
        <v>320.85000000000002</v>
      </c>
      <c r="R35" s="253">
        <f>O35*$S$3</f>
        <v>4812.75</v>
      </c>
      <c r="S35" s="254">
        <f>P35*$S$3</f>
        <v>6855.0300000000007</v>
      </c>
      <c r="T35" s="252">
        <f>N35*$V$3</f>
        <v>296.7</v>
      </c>
      <c r="U35" s="253">
        <f>O35*$V$3</f>
        <v>4450.5</v>
      </c>
      <c r="V35" s="254">
        <f>P35*$V$3</f>
        <v>6339.0599999999995</v>
      </c>
      <c r="W35" s="252">
        <f>N35*$Y$3</f>
        <v>286.34999999999997</v>
      </c>
      <c r="X35" s="253">
        <f>O35*$Y$3</f>
        <v>4295.25</v>
      </c>
      <c r="Y35" s="254">
        <f>P35*$Y$3</f>
        <v>6117.9299999999994</v>
      </c>
      <c r="Z35" s="252">
        <f>N35*$AB$3</f>
        <v>258.75</v>
      </c>
      <c r="AA35" s="253">
        <f>O35*$AB$3</f>
        <v>3881.25</v>
      </c>
      <c r="AB35" s="254">
        <f>P35*$AB$3</f>
        <v>5528.25</v>
      </c>
      <c r="AC35" s="252">
        <f>N35*$AE$3</f>
        <v>241.49999999999997</v>
      </c>
      <c r="AD35" s="253">
        <f>O35*$AE$3</f>
        <v>3622.4999999999995</v>
      </c>
      <c r="AE35" s="254">
        <f>P35*$AE$3</f>
        <v>5159.7</v>
      </c>
    </row>
    <row r="36" spans="1:31" s="215" customFormat="1" ht="18" customHeight="1" thickBot="1">
      <c r="A36" s="36"/>
      <c r="B36" s="2594"/>
      <c r="C36" s="13">
        <f>34.5%*12</f>
        <v>4.1399999999999997</v>
      </c>
      <c r="D36" s="38">
        <f>15.8%*12</f>
        <v>1.8959999999999999</v>
      </c>
      <c r="E36" s="193">
        <f>2.5%*12</f>
        <v>0.30000000000000004</v>
      </c>
      <c r="F36" s="2614"/>
      <c r="G36" s="2608"/>
      <c r="H36" s="2608"/>
      <c r="I36" s="2582"/>
      <c r="J36" s="2584"/>
      <c r="K36" s="2584"/>
      <c r="L36" s="942"/>
      <c r="M36" s="944"/>
      <c r="N36" s="247">
        <f t="shared" ref="N36" si="28">N35/F35</f>
        <v>0.34499999999999997</v>
      </c>
      <c r="O36" s="228">
        <f>O35/F35</f>
        <v>5.1749999999999998</v>
      </c>
      <c r="P36" s="229">
        <f>P35/F35</f>
        <v>7.3710000000000004</v>
      </c>
      <c r="Q36" s="247">
        <f>Q35/F35</f>
        <v>0.32085000000000002</v>
      </c>
      <c r="R36" s="228">
        <f>R35/F35</f>
        <v>4.8127500000000003</v>
      </c>
      <c r="S36" s="229">
        <f>S35/F35</f>
        <v>6.8550300000000011</v>
      </c>
      <c r="T36" s="247">
        <f>T35/F35</f>
        <v>0.29669999999999996</v>
      </c>
      <c r="U36" s="228">
        <f>U35/F35</f>
        <v>4.4504999999999999</v>
      </c>
      <c r="V36" s="229">
        <f>V35/F35</f>
        <v>6.3390599999999999</v>
      </c>
      <c r="W36" s="247">
        <f>W35/F35</f>
        <v>0.28634999999999999</v>
      </c>
      <c r="X36" s="228">
        <f>X35/F35</f>
        <v>4.2952500000000002</v>
      </c>
      <c r="Y36" s="229">
        <f>Y35/F35</f>
        <v>6.1179299999999994</v>
      </c>
      <c r="Z36" s="247">
        <f>Z35/F35</f>
        <v>0.25874999999999998</v>
      </c>
      <c r="AA36" s="228">
        <f>AA35/F35</f>
        <v>3.8812500000000001</v>
      </c>
      <c r="AB36" s="229">
        <f>AB35/F35</f>
        <v>5.5282499999999999</v>
      </c>
      <c r="AC36" s="247">
        <f>AC35/F35</f>
        <v>0.24149999999999996</v>
      </c>
      <c r="AD36" s="228">
        <f>AD35/F35</f>
        <v>3.6224999999999996</v>
      </c>
      <c r="AE36" s="229">
        <f>AE35/F35</f>
        <v>5.1597</v>
      </c>
    </row>
    <row r="37" spans="1:31" s="215" customFormat="1" ht="18" customHeight="1">
      <c r="A37" s="174"/>
      <c r="B37" s="2594"/>
      <c r="C37" s="1947" t="s">
        <v>934</v>
      </c>
      <c r="D37" s="1940"/>
      <c r="E37" s="1963"/>
      <c r="F37" s="2614">
        <v>1000</v>
      </c>
      <c r="G37" s="2608">
        <f>F37*C38</f>
        <v>3864</v>
      </c>
      <c r="H37" s="2608">
        <f>G37*25%</f>
        <v>966</v>
      </c>
      <c r="I37" s="2606">
        <f>SUM(G37:H38)</f>
        <v>4830</v>
      </c>
      <c r="J37" s="2607">
        <f>F37*D38</f>
        <v>1763.9999999999998</v>
      </c>
      <c r="K37" s="2583">
        <f>F37*E38</f>
        <v>300.00000000000006</v>
      </c>
      <c r="L37" s="941"/>
      <c r="M37" s="943"/>
      <c r="N37" s="114">
        <f t="shared" ref="N37" si="29">G37/12</f>
        <v>322</v>
      </c>
      <c r="O37" s="249">
        <f>SUM(G37:H38)</f>
        <v>4830</v>
      </c>
      <c r="P37" s="250">
        <f>SUM(I37:K38)</f>
        <v>6894</v>
      </c>
      <c r="Q37" s="252">
        <f>N37*$S$3</f>
        <v>299.46000000000004</v>
      </c>
      <c r="R37" s="253">
        <f>O37*$S$3</f>
        <v>4491.9000000000005</v>
      </c>
      <c r="S37" s="254">
        <f>P37*$S$3</f>
        <v>6411.42</v>
      </c>
      <c r="T37" s="252">
        <f>N37*$V$3</f>
        <v>276.92</v>
      </c>
      <c r="U37" s="253">
        <f>O37*$V$3</f>
        <v>4153.8</v>
      </c>
      <c r="V37" s="254">
        <f>P37*$V$3</f>
        <v>5928.84</v>
      </c>
      <c r="W37" s="252">
        <f>N37*$Y$3</f>
        <v>267.26</v>
      </c>
      <c r="X37" s="253">
        <f>O37*$Y$3</f>
        <v>4008.8999999999996</v>
      </c>
      <c r="Y37" s="254">
        <f>P37*$Y$3</f>
        <v>5722.0199999999995</v>
      </c>
      <c r="Z37" s="252">
        <f>N37*$AB$3</f>
        <v>241.5</v>
      </c>
      <c r="AA37" s="253">
        <f>O37*$AB$3</f>
        <v>3622.5</v>
      </c>
      <c r="AB37" s="254">
        <f>P37*$AB$3</f>
        <v>5170.5</v>
      </c>
      <c r="AC37" s="252">
        <f>N37*$AE$3</f>
        <v>225.39999999999998</v>
      </c>
      <c r="AD37" s="253">
        <f>O37*$AE$3</f>
        <v>3381</v>
      </c>
      <c r="AE37" s="254">
        <f>P37*$AE$3</f>
        <v>4825.7999999999993</v>
      </c>
    </row>
    <row r="38" spans="1:31" s="215" customFormat="1" ht="18" customHeight="1" thickBot="1">
      <c r="A38" s="174"/>
      <c r="B38" s="2594"/>
      <c r="C38" s="13">
        <f>32.2%*12</f>
        <v>3.8639999999999999</v>
      </c>
      <c r="D38" s="38">
        <f>14.7%*12</f>
        <v>1.7639999999999998</v>
      </c>
      <c r="E38" s="193">
        <f>2.5%*12</f>
        <v>0.30000000000000004</v>
      </c>
      <c r="F38" s="2605"/>
      <c r="G38" s="2603"/>
      <c r="H38" s="2603"/>
      <c r="I38" s="2605"/>
      <c r="J38" s="2603"/>
      <c r="K38" s="2608"/>
      <c r="L38" s="945"/>
      <c r="M38" s="506"/>
      <c r="N38" s="247">
        <f t="shared" ref="N38" si="30">N37/F37</f>
        <v>0.32200000000000001</v>
      </c>
      <c r="O38" s="228">
        <f>O37/F37</f>
        <v>4.83</v>
      </c>
      <c r="P38" s="229">
        <f>P37/F37</f>
        <v>6.8940000000000001</v>
      </c>
      <c r="Q38" s="247">
        <f>Q37/F37</f>
        <v>0.29946000000000006</v>
      </c>
      <c r="R38" s="228">
        <f>R37/F37</f>
        <v>4.4919000000000002</v>
      </c>
      <c r="S38" s="229">
        <f>S37/F37</f>
        <v>6.4114199999999997</v>
      </c>
      <c r="T38" s="247">
        <f>T37/F37</f>
        <v>0.27692</v>
      </c>
      <c r="U38" s="228">
        <f>U37/F37</f>
        <v>4.1538000000000004</v>
      </c>
      <c r="V38" s="229">
        <f>V37/F37</f>
        <v>5.9288400000000001</v>
      </c>
      <c r="W38" s="247">
        <f>W37/F37</f>
        <v>0.26726</v>
      </c>
      <c r="X38" s="228">
        <f>X37/F37</f>
        <v>4.0088999999999997</v>
      </c>
      <c r="Y38" s="229">
        <f>Y37/F37</f>
        <v>5.7220199999999997</v>
      </c>
      <c r="Z38" s="247">
        <f>Z37/F37</f>
        <v>0.24149999999999999</v>
      </c>
      <c r="AA38" s="228">
        <f>AA37/F37</f>
        <v>3.6225000000000001</v>
      </c>
      <c r="AB38" s="229">
        <f>AB37/F37</f>
        <v>5.1704999999999997</v>
      </c>
      <c r="AC38" s="247">
        <f>AC37/F37</f>
        <v>0.22539999999999999</v>
      </c>
      <c r="AD38" s="228">
        <f>AD37/F37</f>
        <v>3.3809999999999998</v>
      </c>
      <c r="AE38" s="229">
        <f>AE37/F37</f>
        <v>4.8257999999999992</v>
      </c>
    </row>
    <row r="39" spans="1:31" s="215" customFormat="1" ht="18" customHeight="1">
      <c r="A39" s="174"/>
      <c r="B39" s="2594"/>
      <c r="C39" s="1934" t="s">
        <v>935</v>
      </c>
      <c r="D39" s="1936" t="s">
        <v>909</v>
      </c>
      <c r="E39" s="2604" t="s">
        <v>910</v>
      </c>
      <c r="F39" s="2605">
        <v>1000</v>
      </c>
      <c r="G39" s="2603">
        <f>F39*C40</f>
        <v>5589</v>
      </c>
      <c r="H39" s="2603">
        <f>G39*25%</f>
        <v>1397.25</v>
      </c>
      <c r="I39" s="2605">
        <f>SUM(G39:H40)</f>
        <v>6986.25</v>
      </c>
      <c r="J39" s="2603">
        <f>F39*D40</f>
        <v>2556</v>
      </c>
      <c r="K39" s="2608">
        <f>F39*E40</f>
        <v>300.00000000000006</v>
      </c>
      <c r="L39" s="949"/>
      <c r="M39" s="299"/>
      <c r="N39" s="114">
        <f t="shared" ref="N39" si="31">G39/12</f>
        <v>465.75</v>
      </c>
      <c r="O39" s="249">
        <f>SUM(G39:H40)</f>
        <v>6986.25</v>
      </c>
      <c r="P39" s="250">
        <f>SUM(I39:K40)</f>
        <v>9842.25</v>
      </c>
      <c r="Q39" s="122">
        <f>N39*$S$3</f>
        <v>433.14750000000004</v>
      </c>
      <c r="R39" s="123">
        <f>O39*$S$3</f>
        <v>6497.2125000000005</v>
      </c>
      <c r="S39" s="124">
        <f>P39*$S$3</f>
        <v>9153.2925000000014</v>
      </c>
      <c r="T39" s="122">
        <f>N39*$V$3</f>
        <v>400.54500000000002</v>
      </c>
      <c r="U39" s="123">
        <f>O39*$V$3</f>
        <v>6008.1750000000002</v>
      </c>
      <c r="V39" s="124">
        <f>P39*$V$3</f>
        <v>8464.3349999999991</v>
      </c>
      <c r="W39" s="122">
        <f>N39*$Y$3</f>
        <v>386.57249999999999</v>
      </c>
      <c r="X39" s="123">
        <f>O39*$Y$3</f>
        <v>5798.5874999999996</v>
      </c>
      <c r="Y39" s="124">
        <f>P39*$Y$3</f>
        <v>8169.0674999999992</v>
      </c>
      <c r="Z39" s="122">
        <f>N39*$AB$3</f>
        <v>349.3125</v>
      </c>
      <c r="AA39" s="123">
        <f>O39*$AB$3</f>
        <v>5239.6875</v>
      </c>
      <c r="AB39" s="124">
        <f>P39*$AB$3</f>
        <v>7381.6875</v>
      </c>
      <c r="AC39" s="122">
        <f>N39*$AE$3</f>
        <v>326.02499999999998</v>
      </c>
      <c r="AD39" s="123">
        <f>O39*$AE$3</f>
        <v>4890.375</v>
      </c>
      <c r="AE39" s="124">
        <f>P39*$AE$3</f>
        <v>6889.5749999999998</v>
      </c>
    </row>
    <row r="40" spans="1:31" s="215" customFormat="1" ht="18" customHeight="1" thickBot="1">
      <c r="A40" s="174"/>
      <c r="B40" s="2594"/>
      <c r="C40" s="13">
        <f>40.5%*115%*12</f>
        <v>5.5890000000000004</v>
      </c>
      <c r="D40" s="38">
        <f>21.3%*12</f>
        <v>2.556</v>
      </c>
      <c r="E40" s="193">
        <f>2.5%*12</f>
        <v>0.30000000000000004</v>
      </c>
      <c r="F40" s="2605"/>
      <c r="G40" s="2603"/>
      <c r="H40" s="2603"/>
      <c r="I40" s="2605"/>
      <c r="J40" s="2603"/>
      <c r="K40" s="2603"/>
      <c r="L40" s="945"/>
      <c r="M40" s="506"/>
      <c r="N40" s="247">
        <f t="shared" ref="N40" si="32">N39/F39</f>
        <v>0.46575</v>
      </c>
      <c r="O40" s="228">
        <f>O39/F39</f>
        <v>6.9862500000000001</v>
      </c>
      <c r="P40" s="229">
        <f>P39/F39</f>
        <v>9.8422499999999999</v>
      </c>
      <c r="Q40" s="247">
        <f>Q39/F39</f>
        <v>0.43314750000000002</v>
      </c>
      <c r="R40" s="228">
        <f>R39/F39</f>
        <v>6.4972125000000007</v>
      </c>
      <c r="S40" s="229">
        <f>S39/F39</f>
        <v>9.1532925000000009</v>
      </c>
      <c r="T40" s="247">
        <f>T39/F39</f>
        <v>0.40054500000000004</v>
      </c>
      <c r="U40" s="228">
        <f>U39/F39</f>
        <v>6.0081750000000005</v>
      </c>
      <c r="V40" s="229">
        <f>V39/F39</f>
        <v>8.4643349999999984</v>
      </c>
      <c r="W40" s="247">
        <f>W39/F39</f>
        <v>0.38657249999999999</v>
      </c>
      <c r="X40" s="228">
        <f>X39/F39</f>
        <v>5.7985875</v>
      </c>
      <c r="Y40" s="229">
        <f>Y39/F39</f>
        <v>8.1690674999999988</v>
      </c>
      <c r="Z40" s="247">
        <f>Z39/F39</f>
        <v>0.34931250000000003</v>
      </c>
      <c r="AA40" s="228">
        <f>AA39/F39</f>
        <v>5.2396874999999996</v>
      </c>
      <c r="AB40" s="229">
        <f>AB39/F39</f>
        <v>7.3816875</v>
      </c>
      <c r="AC40" s="247">
        <f>AC39/F39</f>
        <v>0.32602499999999995</v>
      </c>
      <c r="AD40" s="228">
        <f>AD39/F39</f>
        <v>4.8903749999999997</v>
      </c>
      <c r="AE40" s="229">
        <f>AE39/F39</f>
        <v>6.8895749999999998</v>
      </c>
    </row>
    <row r="41" spans="1:31" s="215" customFormat="1" ht="18" customHeight="1">
      <c r="A41" s="36"/>
      <c r="B41" s="2594"/>
      <c r="C41" s="2613" t="s">
        <v>936</v>
      </c>
      <c r="D41" s="1936"/>
      <c r="E41" s="2604"/>
      <c r="F41" s="2605">
        <v>1000</v>
      </c>
      <c r="G41" s="2603">
        <f>F41*C42</f>
        <v>3864</v>
      </c>
      <c r="H41" s="2603">
        <f>G41*25%</f>
        <v>966</v>
      </c>
      <c r="I41" s="2605">
        <f>SUM(G41:H42)</f>
        <v>4830</v>
      </c>
      <c r="J41" s="2603">
        <f>F41*D42</f>
        <v>1763.9999999999998</v>
      </c>
      <c r="K41" s="2603">
        <f>F41*E42</f>
        <v>300.00000000000006</v>
      </c>
      <c r="L41" s="949"/>
      <c r="M41" s="299"/>
      <c r="N41" s="114">
        <f t="shared" ref="N41" si="33">G41/12</f>
        <v>322</v>
      </c>
      <c r="O41" s="249">
        <f>SUM(G41:H42)</f>
        <v>4830</v>
      </c>
      <c r="P41" s="250">
        <f>SUM(I41:K42)</f>
        <v>6894</v>
      </c>
      <c r="Q41" s="122">
        <f>N41*$S$3</f>
        <v>299.46000000000004</v>
      </c>
      <c r="R41" s="123">
        <f>O41*$S$3</f>
        <v>4491.9000000000005</v>
      </c>
      <c r="S41" s="124">
        <f>P41*$S$3</f>
        <v>6411.42</v>
      </c>
      <c r="T41" s="122">
        <f>N41*$V$3</f>
        <v>276.92</v>
      </c>
      <c r="U41" s="123">
        <f>O41*$V$3</f>
        <v>4153.8</v>
      </c>
      <c r="V41" s="124">
        <f>P41*$V$3</f>
        <v>5928.84</v>
      </c>
      <c r="W41" s="122">
        <f>N41*$Y$3</f>
        <v>267.26</v>
      </c>
      <c r="X41" s="123">
        <f>O41*$Y$3</f>
        <v>4008.8999999999996</v>
      </c>
      <c r="Y41" s="124">
        <f>P41*$Y$3</f>
        <v>5722.0199999999995</v>
      </c>
      <c r="Z41" s="122">
        <f>N41*$AB$3</f>
        <v>241.5</v>
      </c>
      <c r="AA41" s="123">
        <f>O41*$AB$3</f>
        <v>3622.5</v>
      </c>
      <c r="AB41" s="124">
        <f>P41*$AB$3</f>
        <v>5170.5</v>
      </c>
      <c r="AC41" s="122">
        <f>N41*$AE$3</f>
        <v>225.39999999999998</v>
      </c>
      <c r="AD41" s="123">
        <f>O41*$AE$3</f>
        <v>3381</v>
      </c>
      <c r="AE41" s="124">
        <f>P41*$AE$3</f>
        <v>4825.7999999999993</v>
      </c>
    </row>
    <row r="42" spans="1:31" s="215" customFormat="1" ht="18" customHeight="1" thickBot="1">
      <c r="A42" s="36"/>
      <c r="B42" s="2594"/>
      <c r="C42" s="13">
        <f>32.2%*12</f>
        <v>3.8639999999999999</v>
      </c>
      <c r="D42" s="38">
        <f>14.7%*12</f>
        <v>1.7639999999999998</v>
      </c>
      <c r="E42" s="193">
        <f>2.5%*12</f>
        <v>0.30000000000000004</v>
      </c>
      <c r="F42" s="2605"/>
      <c r="G42" s="2603"/>
      <c r="H42" s="2603"/>
      <c r="I42" s="2605"/>
      <c r="J42" s="2603"/>
      <c r="K42" s="2603"/>
      <c r="L42" s="945"/>
      <c r="M42" s="506"/>
      <c r="N42" s="247">
        <f t="shared" ref="N42" si="34">N41/F41</f>
        <v>0.32200000000000001</v>
      </c>
      <c r="O42" s="228">
        <f>O41/F41</f>
        <v>4.83</v>
      </c>
      <c r="P42" s="229">
        <f>P41/F41</f>
        <v>6.8940000000000001</v>
      </c>
      <c r="Q42" s="247">
        <f>Q41/F41</f>
        <v>0.29946000000000006</v>
      </c>
      <c r="R42" s="228">
        <f>R41/F41</f>
        <v>4.4919000000000002</v>
      </c>
      <c r="S42" s="229">
        <f>S41/F41</f>
        <v>6.4114199999999997</v>
      </c>
      <c r="T42" s="247">
        <f>T41/F41</f>
        <v>0.27692</v>
      </c>
      <c r="U42" s="228">
        <f>U41/F41</f>
        <v>4.1538000000000004</v>
      </c>
      <c r="V42" s="229">
        <f>V41/F41</f>
        <v>5.9288400000000001</v>
      </c>
      <c r="W42" s="247">
        <f>W41/F41</f>
        <v>0.26726</v>
      </c>
      <c r="X42" s="228">
        <f>X41/F41</f>
        <v>4.0088999999999997</v>
      </c>
      <c r="Y42" s="229">
        <f>Y41/F41</f>
        <v>5.7220199999999997</v>
      </c>
      <c r="Z42" s="247">
        <f>Z41/F41</f>
        <v>0.24149999999999999</v>
      </c>
      <c r="AA42" s="228">
        <f>AA41/F41</f>
        <v>3.6225000000000001</v>
      </c>
      <c r="AB42" s="229">
        <f>AB41/F41</f>
        <v>5.1704999999999997</v>
      </c>
      <c r="AC42" s="247">
        <f>AC41/F41</f>
        <v>0.22539999999999999</v>
      </c>
      <c r="AD42" s="228">
        <f>AD41/F41</f>
        <v>3.3809999999999998</v>
      </c>
      <c r="AE42" s="229">
        <f>AE41/F41</f>
        <v>4.8257999999999992</v>
      </c>
    </row>
    <row r="43" spans="1:31" s="215" customFormat="1" ht="18" customHeight="1">
      <c r="A43" s="174"/>
      <c r="B43" s="2594"/>
      <c r="C43" s="1934" t="s">
        <v>937</v>
      </c>
      <c r="D43" s="1936"/>
      <c r="E43" s="2604"/>
      <c r="F43" s="2630">
        <v>1000</v>
      </c>
      <c r="G43" s="2631">
        <f>F43*C44</f>
        <v>4140</v>
      </c>
      <c r="H43" s="2631">
        <f>G43*25%</f>
        <v>1035</v>
      </c>
      <c r="I43" s="2630">
        <f>SUM(G43:H44)</f>
        <v>5175</v>
      </c>
      <c r="J43" s="2631">
        <f>F43*D44</f>
        <v>1896</v>
      </c>
      <c r="K43" s="2631">
        <f>F43*E44</f>
        <v>300.00000000000006</v>
      </c>
      <c r="L43" s="949"/>
      <c r="M43" s="299"/>
      <c r="N43" s="114">
        <f t="shared" ref="N43" si="35">G43/12</f>
        <v>345</v>
      </c>
      <c r="O43" s="249">
        <f>SUM(G43:H44)</f>
        <v>5175</v>
      </c>
      <c r="P43" s="250">
        <f>SUM(I43:K44)</f>
        <v>7371</v>
      </c>
      <c r="Q43" s="255">
        <f>N43*$S$3</f>
        <v>320.85000000000002</v>
      </c>
      <c r="R43" s="256">
        <f>O43*$S$3</f>
        <v>4812.75</v>
      </c>
      <c r="S43" s="257">
        <f>P43*$S$3</f>
        <v>6855.0300000000007</v>
      </c>
      <c r="T43" s="255">
        <f>N43*$V$3</f>
        <v>296.7</v>
      </c>
      <c r="U43" s="256">
        <f>O43*$V$3</f>
        <v>4450.5</v>
      </c>
      <c r="V43" s="257">
        <f>P43*$V$3</f>
        <v>6339.0599999999995</v>
      </c>
      <c r="W43" s="255">
        <f>N43*$Y$3</f>
        <v>286.34999999999997</v>
      </c>
      <c r="X43" s="256">
        <f>O43*$Y$3</f>
        <v>4295.25</v>
      </c>
      <c r="Y43" s="257">
        <f>P43*$Y$3</f>
        <v>6117.9299999999994</v>
      </c>
      <c r="Z43" s="255">
        <f>N43*$AB$3</f>
        <v>258.75</v>
      </c>
      <c r="AA43" s="256">
        <f>O43*$AB$3</f>
        <v>3881.25</v>
      </c>
      <c r="AB43" s="257">
        <f>P43*$AB$3</f>
        <v>5528.25</v>
      </c>
      <c r="AC43" s="255">
        <f>N43*$AE$3</f>
        <v>241.49999999999997</v>
      </c>
      <c r="AD43" s="256">
        <f>O43*$AE$3</f>
        <v>3622.4999999999995</v>
      </c>
      <c r="AE43" s="257">
        <f>P43*$AE$3</f>
        <v>5159.7</v>
      </c>
    </row>
    <row r="44" spans="1:31" s="215" customFormat="1" ht="18" customHeight="1" thickBot="1">
      <c r="A44" s="174"/>
      <c r="B44" s="2594"/>
      <c r="C44" s="13">
        <f>34.5%*12</f>
        <v>4.1399999999999997</v>
      </c>
      <c r="D44" s="38">
        <f>15.8%*12</f>
        <v>1.8959999999999999</v>
      </c>
      <c r="E44" s="193">
        <f>2.5%*12</f>
        <v>0.30000000000000004</v>
      </c>
      <c r="F44" s="2630"/>
      <c r="G44" s="2631"/>
      <c r="H44" s="2631"/>
      <c r="I44" s="2630"/>
      <c r="J44" s="2631"/>
      <c r="K44" s="2631"/>
      <c r="L44" s="945"/>
      <c r="M44" s="506"/>
      <c r="N44" s="247">
        <f t="shared" ref="N44" si="36">N43/F43</f>
        <v>0.34499999999999997</v>
      </c>
      <c r="O44" s="228">
        <f>O43/F43</f>
        <v>5.1749999999999998</v>
      </c>
      <c r="P44" s="229">
        <f>P43/F43</f>
        <v>7.3710000000000004</v>
      </c>
      <c r="Q44" s="247">
        <f>Q43/F43</f>
        <v>0.32085000000000002</v>
      </c>
      <c r="R44" s="228">
        <f>R43/F43</f>
        <v>4.8127500000000003</v>
      </c>
      <c r="S44" s="229">
        <f>S43/F43</f>
        <v>6.8550300000000011</v>
      </c>
      <c r="T44" s="247">
        <f>T43/F43</f>
        <v>0.29669999999999996</v>
      </c>
      <c r="U44" s="228">
        <f>U43/F43</f>
        <v>4.4504999999999999</v>
      </c>
      <c r="V44" s="229">
        <f>V43/F43</f>
        <v>6.3390599999999999</v>
      </c>
      <c r="W44" s="247">
        <f>W43/F43</f>
        <v>0.28634999999999999</v>
      </c>
      <c r="X44" s="228">
        <f>X43/F43</f>
        <v>4.2952500000000002</v>
      </c>
      <c r="Y44" s="229">
        <f>Y43/F43</f>
        <v>6.1179299999999994</v>
      </c>
      <c r="Z44" s="247">
        <f>Z43/F43</f>
        <v>0.25874999999999998</v>
      </c>
      <c r="AA44" s="228">
        <f>AA43/F43</f>
        <v>3.8812500000000001</v>
      </c>
      <c r="AB44" s="229">
        <f>AB43/F43</f>
        <v>5.5282499999999999</v>
      </c>
      <c r="AC44" s="247">
        <f>AC43/F43</f>
        <v>0.24149999999999996</v>
      </c>
      <c r="AD44" s="228">
        <f>AD43/F43</f>
        <v>3.6224999999999996</v>
      </c>
      <c r="AE44" s="229">
        <f>AE43/F43</f>
        <v>5.1597</v>
      </c>
    </row>
    <row r="45" spans="1:31" s="215" customFormat="1" ht="18" customHeight="1">
      <c r="A45" s="174"/>
      <c r="B45" s="2594"/>
      <c r="C45" s="1934" t="s">
        <v>938</v>
      </c>
      <c r="D45" s="1936"/>
      <c r="E45" s="2604"/>
      <c r="F45" s="2605">
        <v>1000</v>
      </c>
      <c r="G45" s="2603">
        <f>F45*C46</f>
        <v>2070</v>
      </c>
      <c r="H45" s="2603">
        <f>G45*25%</f>
        <v>517.5</v>
      </c>
      <c r="I45" s="2605">
        <f>SUM(G45:H46)</f>
        <v>2587.5</v>
      </c>
      <c r="J45" s="2603">
        <f>F45*D46</f>
        <v>948</v>
      </c>
      <c r="K45" s="2603">
        <f>F45*E46</f>
        <v>300.00000000000006</v>
      </c>
      <c r="L45" s="949"/>
      <c r="M45" s="299"/>
      <c r="N45" s="114">
        <f t="shared" ref="N45" si="37">G45/12</f>
        <v>172.5</v>
      </c>
      <c r="O45" s="249">
        <f>SUM(G45:H46)</f>
        <v>2587.5</v>
      </c>
      <c r="P45" s="250">
        <f>SUM(I45:K46)</f>
        <v>3835.5</v>
      </c>
      <c r="Q45" s="122">
        <f>N45*$S$3</f>
        <v>160.42500000000001</v>
      </c>
      <c r="R45" s="123">
        <f>O45*$S$3</f>
        <v>2406.375</v>
      </c>
      <c r="S45" s="124">
        <f>P45*$S$3</f>
        <v>3567.0150000000003</v>
      </c>
      <c r="T45" s="122">
        <f>N45*$V$3</f>
        <v>148.35</v>
      </c>
      <c r="U45" s="123">
        <f>O45*$V$3</f>
        <v>2225.25</v>
      </c>
      <c r="V45" s="124">
        <f>P45*$V$3</f>
        <v>3298.5299999999997</v>
      </c>
      <c r="W45" s="122">
        <f>N45*$Y$3</f>
        <v>143.17499999999998</v>
      </c>
      <c r="X45" s="123">
        <f>O45*$Y$3</f>
        <v>2147.625</v>
      </c>
      <c r="Y45" s="124">
        <f>P45*$Y$3</f>
        <v>3183.4649999999997</v>
      </c>
      <c r="Z45" s="122">
        <f>N45*$AB$3</f>
        <v>129.375</v>
      </c>
      <c r="AA45" s="123">
        <f>O45*$AB$3</f>
        <v>1940.625</v>
      </c>
      <c r="AB45" s="124">
        <f>P45*$AB$3</f>
        <v>2876.625</v>
      </c>
      <c r="AC45" s="122">
        <f>N45*$AE$3</f>
        <v>120.74999999999999</v>
      </c>
      <c r="AD45" s="123">
        <f>O45*$AE$3</f>
        <v>1811.2499999999998</v>
      </c>
      <c r="AE45" s="124">
        <f>P45*$AE$3</f>
        <v>2684.85</v>
      </c>
    </row>
    <row r="46" spans="1:31" s="215" customFormat="1" ht="18" customHeight="1" thickBot="1">
      <c r="A46" s="174"/>
      <c r="B46" s="2594"/>
      <c r="C46" s="13">
        <f>17.25%*12</f>
        <v>2.0699999999999998</v>
      </c>
      <c r="D46" s="38">
        <f>7.9%*12</f>
        <v>0.94799999999999995</v>
      </c>
      <c r="E46" s="193">
        <f>2.5%*12</f>
        <v>0.30000000000000004</v>
      </c>
      <c r="F46" s="2605"/>
      <c r="G46" s="2603"/>
      <c r="H46" s="2603"/>
      <c r="I46" s="2605"/>
      <c r="J46" s="2603"/>
      <c r="K46" s="2603"/>
      <c r="L46" s="945"/>
      <c r="M46" s="506"/>
      <c r="N46" s="247">
        <f t="shared" ref="N46" si="38">N45/F45</f>
        <v>0.17249999999999999</v>
      </c>
      <c r="O46" s="228">
        <f>O45/F45</f>
        <v>2.5874999999999999</v>
      </c>
      <c r="P46" s="229">
        <f>P45/F45</f>
        <v>3.8355000000000001</v>
      </c>
      <c r="Q46" s="247">
        <f>Q45/F45</f>
        <v>0.16042500000000001</v>
      </c>
      <c r="R46" s="228">
        <f>R45/F45</f>
        <v>2.4063750000000002</v>
      </c>
      <c r="S46" s="229">
        <f>S45/F45</f>
        <v>3.5670150000000005</v>
      </c>
      <c r="T46" s="247">
        <f>T45/F45</f>
        <v>0.14834999999999998</v>
      </c>
      <c r="U46" s="228">
        <f>U45/F45</f>
        <v>2.22525</v>
      </c>
      <c r="V46" s="229">
        <f>V45/F45</f>
        <v>3.29853</v>
      </c>
      <c r="W46" s="247">
        <f>W45/F45</f>
        <v>0.143175</v>
      </c>
      <c r="X46" s="228">
        <f>X45/F45</f>
        <v>2.1476250000000001</v>
      </c>
      <c r="Y46" s="229">
        <f>Y45/F45</f>
        <v>3.1834649999999995</v>
      </c>
      <c r="Z46" s="247">
        <f>Z45/F45</f>
        <v>0.12937499999999999</v>
      </c>
      <c r="AA46" s="228">
        <f>AA45/F45</f>
        <v>1.940625</v>
      </c>
      <c r="AB46" s="229">
        <f>AB45/F45</f>
        <v>2.8766250000000002</v>
      </c>
      <c r="AC46" s="247">
        <f>AC45/F45</f>
        <v>0.12074999999999998</v>
      </c>
      <c r="AD46" s="228">
        <f>AD45/F45</f>
        <v>1.8112499999999998</v>
      </c>
      <c r="AE46" s="229">
        <f>AE45/F45</f>
        <v>2.68485</v>
      </c>
    </row>
    <row r="47" spans="1:31" s="215" customFormat="1" ht="18" customHeight="1">
      <c r="A47" s="174"/>
      <c r="B47" s="2594"/>
      <c r="C47" s="1934" t="s">
        <v>939</v>
      </c>
      <c r="D47" s="1936" t="s">
        <v>909</v>
      </c>
      <c r="E47" s="2604" t="s">
        <v>910</v>
      </c>
      <c r="F47" s="2605">
        <v>1000</v>
      </c>
      <c r="G47" s="2603">
        <f>F47*C48</f>
        <v>3864</v>
      </c>
      <c r="H47" s="2603">
        <f>G47*25%</f>
        <v>966</v>
      </c>
      <c r="I47" s="2605">
        <f>SUM(G47:H48)</f>
        <v>4830</v>
      </c>
      <c r="J47" s="2603">
        <f>F47*D48</f>
        <v>1763.9999999999998</v>
      </c>
      <c r="K47" s="2602">
        <f>F47*E48</f>
        <v>300.00000000000006</v>
      </c>
      <c r="L47" s="302"/>
      <c r="M47" s="303"/>
      <c r="N47" s="114">
        <f t="shared" ref="N47" si="39">G47/12</f>
        <v>322</v>
      </c>
      <c r="O47" s="249">
        <f>SUM(G47:H48)</f>
        <v>4830</v>
      </c>
      <c r="P47" s="250">
        <f>SUM(I47:K48)</f>
        <v>6894</v>
      </c>
      <c r="Q47" s="122">
        <f>N47*$S$3</f>
        <v>299.46000000000004</v>
      </c>
      <c r="R47" s="123">
        <f>O47*$S$3</f>
        <v>4491.9000000000005</v>
      </c>
      <c r="S47" s="124">
        <f>P47*$S$3</f>
        <v>6411.42</v>
      </c>
      <c r="T47" s="122">
        <f>N47*$V$3</f>
        <v>276.92</v>
      </c>
      <c r="U47" s="123">
        <f>O47*$V$3</f>
        <v>4153.8</v>
      </c>
      <c r="V47" s="124">
        <f>P47*$V$3</f>
        <v>5928.84</v>
      </c>
      <c r="W47" s="122">
        <f>N47*$Y$3</f>
        <v>267.26</v>
      </c>
      <c r="X47" s="123">
        <f>O47*$Y$3</f>
        <v>4008.8999999999996</v>
      </c>
      <c r="Y47" s="124">
        <f>P47*$Y$3</f>
        <v>5722.0199999999995</v>
      </c>
      <c r="Z47" s="122">
        <f>N47*$AB$3</f>
        <v>241.5</v>
      </c>
      <c r="AA47" s="123">
        <f>O47*$AB$3</f>
        <v>3622.5</v>
      </c>
      <c r="AB47" s="124">
        <f>P47*$AB$3</f>
        <v>5170.5</v>
      </c>
      <c r="AC47" s="122">
        <f>N47*$AE$3</f>
        <v>225.39999999999998</v>
      </c>
      <c r="AD47" s="123">
        <f>O47*$AE$3</f>
        <v>3381</v>
      </c>
      <c r="AE47" s="124">
        <f>P47*$AE$3</f>
        <v>4825.7999999999993</v>
      </c>
    </row>
    <row r="48" spans="1:31" s="215" customFormat="1" ht="18" customHeight="1" thickBot="1">
      <c r="A48" s="466"/>
      <c r="B48" s="2594"/>
      <c r="C48" s="13">
        <f>32.2%*12</f>
        <v>3.8639999999999999</v>
      </c>
      <c r="D48" s="38">
        <f>14.7%*12</f>
        <v>1.7639999999999998</v>
      </c>
      <c r="E48" s="193">
        <f>2.5%*12</f>
        <v>0.30000000000000004</v>
      </c>
      <c r="F48" s="2605"/>
      <c r="G48" s="2603"/>
      <c r="H48" s="2603"/>
      <c r="I48" s="2632"/>
      <c r="J48" s="2633"/>
      <c r="K48" s="2584"/>
      <c r="L48" s="302"/>
      <c r="M48" s="303"/>
      <c r="N48" s="247">
        <f t="shared" ref="N48" si="40">N47/F47</f>
        <v>0.32200000000000001</v>
      </c>
      <c r="O48" s="228">
        <f>O47/F47</f>
        <v>4.83</v>
      </c>
      <c r="P48" s="229">
        <f>P47/F47</f>
        <v>6.8940000000000001</v>
      </c>
      <c r="Q48" s="247">
        <f>Q47/F47</f>
        <v>0.29946000000000006</v>
      </c>
      <c r="R48" s="228">
        <f>R47/F47</f>
        <v>4.4919000000000002</v>
      </c>
      <c r="S48" s="229">
        <f>S47/F47</f>
        <v>6.4114199999999997</v>
      </c>
      <c r="T48" s="247">
        <f>T47/F47</f>
        <v>0.27692</v>
      </c>
      <c r="U48" s="228">
        <f>U47/F47</f>
        <v>4.1538000000000004</v>
      </c>
      <c r="V48" s="229">
        <f>V47/F47</f>
        <v>5.9288400000000001</v>
      </c>
      <c r="W48" s="247">
        <f>W47/F47</f>
        <v>0.26726</v>
      </c>
      <c r="X48" s="228">
        <f>X47/F47</f>
        <v>4.0088999999999997</v>
      </c>
      <c r="Y48" s="229">
        <f>Y47/F47</f>
        <v>5.7220199999999997</v>
      </c>
      <c r="Z48" s="247">
        <f>Z47/F47</f>
        <v>0.24149999999999999</v>
      </c>
      <c r="AA48" s="228">
        <f>AA47/F47</f>
        <v>3.6225000000000001</v>
      </c>
      <c r="AB48" s="229">
        <f>AB47/F47</f>
        <v>5.1704999999999997</v>
      </c>
      <c r="AC48" s="247">
        <f>AC47/F47</f>
        <v>0.22539999999999999</v>
      </c>
      <c r="AD48" s="228">
        <f>AD47/F47</f>
        <v>3.3809999999999998</v>
      </c>
      <c r="AE48" s="229">
        <f>AE47/F47</f>
        <v>4.8257999999999992</v>
      </c>
    </row>
    <row r="49" spans="1:31" s="215" customFormat="1" ht="18" customHeight="1">
      <c r="A49" s="466"/>
      <c r="B49" s="2594"/>
      <c r="C49" s="1947" t="s">
        <v>940</v>
      </c>
      <c r="D49" s="1940" t="s">
        <v>909</v>
      </c>
      <c r="E49" s="1963" t="s">
        <v>910</v>
      </c>
      <c r="F49" s="2605">
        <v>1000</v>
      </c>
      <c r="G49" s="2603">
        <f>F49*C50</f>
        <v>3449.9999999999995</v>
      </c>
      <c r="H49" s="2603">
        <f>G49*25%</f>
        <v>862.49999999999989</v>
      </c>
      <c r="I49" s="2606">
        <f>SUM(G49:H50)</f>
        <v>4312.4999999999991</v>
      </c>
      <c r="J49" s="2607">
        <f>F49*D50</f>
        <v>1584</v>
      </c>
      <c r="K49" s="2583">
        <f>F49*E50</f>
        <v>300.00000000000006</v>
      </c>
      <c r="L49" s="467"/>
      <c r="M49" s="468"/>
      <c r="N49" s="114">
        <f t="shared" ref="N49" si="41">G49/12</f>
        <v>287.49999999999994</v>
      </c>
      <c r="O49" s="249">
        <f>SUM(G49:H50)</f>
        <v>4312.4999999999991</v>
      </c>
      <c r="P49" s="250">
        <f>SUM(I49:K50)</f>
        <v>6196.4999999999991</v>
      </c>
      <c r="Q49" s="252">
        <f>N49*$S$3</f>
        <v>267.37499999999994</v>
      </c>
      <c r="R49" s="253">
        <f>O49*$S$3</f>
        <v>4010.6249999999995</v>
      </c>
      <c r="S49" s="254">
        <f>P49*$S$3</f>
        <v>5762.7449999999999</v>
      </c>
      <c r="T49" s="252">
        <f>N49*$V$3</f>
        <v>247.24999999999994</v>
      </c>
      <c r="U49" s="253">
        <f>O49*$V$3</f>
        <v>3708.7499999999991</v>
      </c>
      <c r="V49" s="254">
        <f>P49*$V$3</f>
        <v>5328.9899999999989</v>
      </c>
      <c r="W49" s="252">
        <f>N49*$Y$3</f>
        <v>238.62499999999994</v>
      </c>
      <c r="X49" s="253">
        <f>O49*$Y$3</f>
        <v>3579.3749999999991</v>
      </c>
      <c r="Y49" s="254">
        <f>P49*$Y$3</f>
        <v>5143.0949999999993</v>
      </c>
      <c r="Z49" s="252">
        <f>N49*$AB$3</f>
        <v>215.62499999999994</v>
      </c>
      <c r="AA49" s="253">
        <f>O49*$AB$3</f>
        <v>3234.3749999999991</v>
      </c>
      <c r="AB49" s="254">
        <f>P49*$AB$3</f>
        <v>4647.3749999999991</v>
      </c>
      <c r="AC49" s="252">
        <f>N49*$AE$3</f>
        <v>201.24999999999994</v>
      </c>
      <c r="AD49" s="253">
        <f>O49*$AE$3</f>
        <v>3018.7499999999991</v>
      </c>
      <c r="AE49" s="254">
        <f>P49*$AE$3</f>
        <v>4337.5499999999993</v>
      </c>
    </row>
    <row r="50" spans="1:31" s="215" customFormat="1" ht="18" customHeight="1" thickBot="1">
      <c r="A50" s="466"/>
      <c r="B50" s="2594"/>
      <c r="C50" s="685">
        <f>25%*115%*12</f>
        <v>3.4499999999999997</v>
      </c>
      <c r="D50" s="38">
        <f>13.2%*12</f>
        <v>1.5840000000000001</v>
      </c>
      <c r="E50" s="193">
        <f>2.5%*12</f>
        <v>0.30000000000000004</v>
      </c>
      <c r="F50" s="2605"/>
      <c r="G50" s="2603"/>
      <c r="H50" s="2603"/>
      <c r="I50" s="2610"/>
      <c r="J50" s="2611"/>
      <c r="K50" s="2584"/>
      <c r="L50" s="300"/>
      <c r="M50" s="301"/>
      <c r="N50" s="247">
        <f t="shared" ref="N50" si="42">N49/F49</f>
        <v>0.28749999999999992</v>
      </c>
      <c r="O50" s="228">
        <f>O49/F49</f>
        <v>4.3124999999999991</v>
      </c>
      <c r="P50" s="229">
        <f>P49/F49</f>
        <v>6.1964999999999995</v>
      </c>
      <c r="Q50" s="247">
        <f>Q49/F49</f>
        <v>0.26737499999999992</v>
      </c>
      <c r="R50" s="228">
        <f>R49/F49</f>
        <v>4.0106249999999992</v>
      </c>
      <c r="S50" s="229">
        <f>S49/F49</f>
        <v>5.7627449999999998</v>
      </c>
      <c r="T50" s="247">
        <f>T49/F49</f>
        <v>0.24724999999999994</v>
      </c>
      <c r="U50" s="228">
        <f>U49/F49</f>
        <v>3.7087499999999989</v>
      </c>
      <c r="V50" s="229">
        <f>V49/F49</f>
        <v>5.3289899999999992</v>
      </c>
      <c r="W50" s="247">
        <f>W49/F49</f>
        <v>0.23862499999999995</v>
      </c>
      <c r="X50" s="228">
        <f>X49/F49</f>
        <v>3.5793749999999993</v>
      </c>
      <c r="Y50" s="229">
        <f>Y49/F49</f>
        <v>5.1430949999999998</v>
      </c>
      <c r="Z50" s="247">
        <f>Z49/F49</f>
        <v>0.21562499999999996</v>
      </c>
      <c r="AA50" s="228">
        <f>AA49/F49</f>
        <v>3.2343749999999991</v>
      </c>
      <c r="AB50" s="229">
        <f>AB49/F49</f>
        <v>4.6473749999999994</v>
      </c>
      <c r="AC50" s="247">
        <f>AC49/F49</f>
        <v>0.20124999999999996</v>
      </c>
      <c r="AD50" s="228">
        <f>AD49/F49</f>
        <v>3.0187499999999989</v>
      </c>
      <c r="AE50" s="229">
        <f>AE49/F49</f>
        <v>4.3375499999999994</v>
      </c>
    </row>
    <row r="51" spans="1:31" s="215" customFormat="1" ht="18" customHeight="1">
      <c r="A51" s="174"/>
      <c r="B51" s="2594"/>
      <c r="C51" s="1947" t="s">
        <v>941</v>
      </c>
      <c r="D51" s="1940"/>
      <c r="E51" s="1963"/>
      <c r="F51" s="2614">
        <v>1000</v>
      </c>
      <c r="G51" s="2608">
        <f>F51*C52</f>
        <v>3864</v>
      </c>
      <c r="H51" s="2608">
        <f>G51*25%</f>
        <v>966</v>
      </c>
      <c r="I51" s="2605">
        <f>SUM(G51:H52)</f>
        <v>4830</v>
      </c>
      <c r="J51" s="2603">
        <f>F51*D52</f>
        <v>1763.9999999999998</v>
      </c>
      <c r="K51" s="2603">
        <f>F51*E52</f>
        <v>300.00000000000006</v>
      </c>
      <c r="L51" s="949"/>
      <c r="M51" s="299"/>
      <c r="N51" s="114">
        <f t="shared" ref="N51" si="43">G51/12</f>
        <v>322</v>
      </c>
      <c r="O51" s="249">
        <f>SUM(G51:H52)</f>
        <v>4830</v>
      </c>
      <c r="P51" s="250">
        <f>SUM(I51:K52)</f>
        <v>6894</v>
      </c>
      <c r="Q51" s="122">
        <f>N51*$S$3</f>
        <v>299.46000000000004</v>
      </c>
      <c r="R51" s="123">
        <f>O51*$S$3</f>
        <v>4491.9000000000005</v>
      </c>
      <c r="S51" s="124">
        <f>P51*$S$3</f>
        <v>6411.42</v>
      </c>
      <c r="T51" s="122">
        <f>N51*$V$3</f>
        <v>276.92</v>
      </c>
      <c r="U51" s="123">
        <f>O51*$V$3</f>
        <v>4153.8</v>
      </c>
      <c r="V51" s="124">
        <f>P51*$V$3</f>
        <v>5928.84</v>
      </c>
      <c r="W51" s="122">
        <f>N51*$Y$3</f>
        <v>267.26</v>
      </c>
      <c r="X51" s="123">
        <f>O51*$Y$3</f>
        <v>4008.8999999999996</v>
      </c>
      <c r="Y51" s="124">
        <f>P51*$Y$3</f>
        <v>5722.0199999999995</v>
      </c>
      <c r="Z51" s="122">
        <f>N51*$AB$3</f>
        <v>241.5</v>
      </c>
      <c r="AA51" s="123">
        <f>O51*$AB$3</f>
        <v>3622.5</v>
      </c>
      <c r="AB51" s="124">
        <f>P51*$AB$3</f>
        <v>5170.5</v>
      </c>
      <c r="AC51" s="122">
        <f>N51*$AE$3</f>
        <v>225.39999999999998</v>
      </c>
      <c r="AD51" s="123">
        <f>O51*$AE$3</f>
        <v>3381</v>
      </c>
      <c r="AE51" s="124">
        <f>P51*$AE$3</f>
        <v>4825.7999999999993</v>
      </c>
    </row>
    <row r="52" spans="1:31" s="215" customFormat="1" ht="18" customHeight="1" thickBot="1">
      <c r="A52" s="174"/>
      <c r="B52" s="2634"/>
      <c r="C52" s="227">
        <f>32.2%*12</f>
        <v>3.8639999999999999</v>
      </c>
      <c r="D52" s="37">
        <f>14.7%*12</f>
        <v>1.7639999999999998</v>
      </c>
      <c r="E52" s="507">
        <f>2.5%*12</f>
        <v>0.30000000000000004</v>
      </c>
      <c r="F52" s="2610"/>
      <c r="G52" s="2611"/>
      <c r="H52" s="2611"/>
      <c r="I52" s="2610"/>
      <c r="J52" s="2611"/>
      <c r="K52" s="2611"/>
      <c r="L52" s="942"/>
      <c r="M52" s="944"/>
      <c r="N52" s="247">
        <f t="shared" ref="N52" si="44">N51/F51</f>
        <v>0.32200000000000001</v>
      </c>
      <c r="O52" s="228">
        <f>O51/F51</f>
        <v>4.83</v>
      </c>
      <c r="P52" s="229">
        <f>P51/F51</f>
        <v>6.8940000000000001</v>
      </c>
      <c r="Q52" s="247">
        <f>Q51/F51</f>
        <v>0.29946000000000006</v>
      </c>
      <c r="R52" s="228">
        <f>R51/F51</f>
        <v>4.4919000000000002</v>
      </c>
      <c r="S52" s="229">
        <f>S51/F51</f>
        <v>6.4114199999999997</v>
      </c>
      <c r="T52" s="247">
        <f>T51/F51</f>
        <v>0.27692</v>
      </c>
      <c r="U52" s="228">
        <f>U51/F51</f>
        <v>4.1538000000000004</v>
      </c>
      <c r="V52" s="229">
        <f>V51/F51</f>
        <v>5.9288400000000001</v>
      </c>
      <c r="W52" s="247">
        <f>W51/F51</f>
        <v>0.26726</v>
      </c>
      <c r="X52" s="228">
        <f>X51/F51</f>
        <v>4.0088999999999997</v>
      </c>
      <c r="Y52" s="229">
        <f>Y51/F51</f>
        <v>5.7220199999999997</v>
      </c>
      <c r="Z52" s="247">
        <f>Z51/F51</f>
        <v>0.24149999999999999</v>
      </c>
      <c r="AA52" s="228">
        <f>AA51/F51</f>
        <v>3.6225000000000001</v>
      </c>
      <c r="AB52" s="229">
        <f>AB51/F51</f>
        <v>5.1704999999999997</v>
      </c>
      <c r="AC52" s="247">
        <f>AC51/F51</f>
        <v>0.22539999999999999</v>
      </c>
      <c r="AD52" s="228">
        <f>AD51/F51</f>
        <v>3.3809999999999998</v>
      </c>
      <c r="AE52" s="229">
        <f>AE51/F51</f>
        <v>4.8257999999999992</v>
      </c>
    </row>
    <row r="53" spans="1:31" s="215" customFormat="1" ht="18" customHeight="1">
      <c r="A53" s="36"/>
      <c r="B53" s="2637" t="s">
        <v>942</v>
      </c>
      <c r="C53" s="2639" t="s">
        <v>943</v>
      </c>
      <c r="D53" s="2640"/>
      <c r="E53" s="2641"/>
      <c r="F53" s="2581">
        <v>100000</v>
      </c>
      <c r="G53" s="2583">
        <f>F53*C54</f>
        <v>2640</v>
      </c>
      <c r="H53" s="2583"/>
      <c r="I53" s="2581">
        <f>SUM(G53:H54)</f>
        <v>2640</v>
      </c>
      <c r="J53" s="2583">
        <f>F53*D54</f>
        <v>0</v>
      </c>
      <c r="K53" s="2583">
        <f>F53*E54</f>
        <v>0</v>
      </c>
      <c r="L53" s="2583">
        <f>F53*E54</f>
        <v>0</v>
      </c>
      <c r="M53" s="2585">
        <f>F53*E54</f>
        <v>0</v>
      </c>
      <c r="N53" s="114">
        <f>G53</f>
        <v>2640</v>
      </c>
      <c r="O53" s="249">
        <f>SUM(G53:H54)</f>
        <v>2640</v>
      </c>
      <c r="P53" s="250">
        <f>SUM(I53:M54)</f>
        <v>2640</v>
      </c>
      <c r="Q53" s="251">
        <f>N53*$S$3</f>
        <v>2455.2000000000003</v>
      </c>
      <c r="R53" s="249">
        <f>O53*$S$3</f>
        <v>2455.2000000000003</v>
      </c>
      <c r="S53" s="250">
        <f>P53*$S$3</f>
        <v>2455.2000000000003</v>
      </c>
      <c r="T53" s="251">
        <f>N53*$V$3</f>
        <v>2270.4</v>
      </c>
      <c r="U53" s="249">
        <f>O53*$V$3</f>
        <v>2270.4</v>
      </c>
      <c r="V53" s="250">
        <f>P53*$V$3</f>
        <v>2270.4</v>
      </c>
      <c r="W53" s="251">
        <f>N53*$Y$3</f>
        <v>2191.1999999999998</v>
      </c>
      <c r="X53" s="249">
        <f>O53*$Y$3</f>
        <v>2191.1999999999998</v>
      </c>
      <c r="Y53" s="250">
        <f>P53*$Y$3</f>
        <v>2191.1999999999998</v>
      </c>
      <c r="Z53" s="251">
        <f>N53*$AB$3</f>
        <v>1980</v>
      </c>
      <c r="AA53" s="249">
        <f>O53*$AB$3</f>
        <v>1980</v>
      </c>
      <c r="AB53" s="250">
        <f>P53*$AB$3</f>
        <v>1980</v>
      </c>
      <c r="AC53" s="251">
        <f>N53*$AE$3</f>
        <v>1847.9999999999998</v>
      </c>
      <c r="AD53" s="249">
        <f>O53*$AE$3</f>
        <v>1847.9999999999998</v>
      </c>
      <c r="AE53" s="250">
        <f>P53*$AE$3</f>
        <v>1847.9999999999998</v>
      </c>
    </row>
    <row r="54" spans="1:31" s="215" customFormat="1" ht="17.25" customHeight="1" thickBot="1">
      <c r="A54" s="36"/>
      <c r="B54" s="2638"/>
      <c r="C54" s="722">
        <v>2.64E-2</v>
      </c>
      <c r="D54" s="723"/>
      <c r="E54" s="724"/>
      <c r="F54" s="2582"/>
      <c r="G54" s="2584"/>
      <c r="H54" s="2584"/>
      <c r="I54" s="2582"/>
      <c r="J54" s="2584"/>
      <c r="K54" s="2584"/>
      <c r="L54" s="2584"/>
      <c r="M54" s="2586"/>
      <c r="N54" s="247">
        <f t="shared" ref="N54" si="45">N53/F53</f>
        <v>2.64E-2</v>
      </c>
      <c r="O54" s="228">
        <f>O53/F53</f>
        <v>2.64E-2</v>
      </c>
      <c r="P54" s="229">
        <f>P53/F53</f>
        <v>2.64E-2</v>
      </c>
      <c r="Q54" s="247">
        <f>Q53/F53</f>
        <v>2.4552000000000004E-2</v>
      </c>
      <c r="R54" s="228">
        <f>R53/F53</f>
        <v>2.4552000000000004E-2</v>
      </c>
      <c r="S54" s="229">
        <f>S53/F53</f>
        <v>2.4552000000000004E-2</v>
      </c>
      <c r="T54" s="247">
        <f>T53/F53</f>
        <v>2.2704000000000002E-2</v>
      </c>
      <c r="U54" s="228">
        <f>U53/F53</f>
        <v>2.2704000000000002E-2</v>
      </c>
      <c r="V54" s="229">
        <f>V53/F53</f>
        <v>2.2704000000000002E-2</v>
      </c>
      <c r="W54" s="247">
        <f>W53/F53</f>
        <v>2.1911999999999997E-2</v>
      </c>
      <c r="X54" s="228">
        <f>X53/F53</f>
        <v>2.1911999999999997E-2</v>
      </c>
      <c r="Y54" s="229">
        <f>Y53/F53</f>
        <v>2.1911999999999997E-2</v>
      </c>
      <c r="Z54" s="247">
        <f>Z53/F53</f>
        <v>1.9800000000000002E-2</v>
      </c>
      <c r="AA54" s="228">
        <f>AA53/F53</f>
        <v>1.9800000000000002E-2</v>
      </c>
      <c r="AB54" s="229">
        <f>AB53/F53</f>
        <v>1.9800000000000002E-2</v>
      </c>
      <c r="AC54" s="247">
        <f>AC53/F53</f>
        <v>1.8479999999999996E-2</v>
      </c>
      <c r="AD54" s="228">
        <f>AD53/F53</f>
        <v>1.8479999999999996E-2</v>
      </c>
      <c r="AE54" s="229">
        <f>AE53/F53</f>
        <v>1.8479999999999996E-2</v>
      </c>
    </row>
    <row r="55" spans="1:31" s="215" customFormat="1" ht="18" customHeight="1">
      <c r="A55" s="36"/>
      <c r="B55" s="2638"/>
      <c r="C55" s="2639" t="s">
        <v>944</v>
      </c>
      <c r="D55" s="2640"/>
      <c r="E55" s="2641"/>
      <c r="F55" s="2581">
        <v>100000</v>
      </c>
      <c r="G55" s="2583">
        <f>F55*C56</f>
        <v>2040.0000000000002</v>
      </c>
      <c r="H55" s="2583"/>
      <c r="I55" s="2581">
        <f>SUM(G55:H56)</f>
        <v>2040.0000000000002</v>
      </c>
      <c r="J55" s="2583">
        <f>F55*D56</f>
        <v>0</v>
      </c>
      <c r="K55" s="2583">
        <f>F55*E56</f>
        <v>0</v>
      </c>
      <c r="L55" s="2583">
        <f>F55*E56</f>
        <v>0</v>
      </c>
      <c r="M55" s="2585">
        <f>F55*E56</f>
        <v>0</v>
      </c>
      <c r="N55" s="114">
        <f>G55</f>
        <v>2040.0000000000002</v>
      </c>
      <c r="O55" s="249">
        <f>SUM(G55:H56)</f>
        <v>2040.0000000000002</v>
      </c>
      <c r="P55" s="250">
        <f>SUM(I55:M56)</f>
        <v>2040.0000000000002</v>
      </c>
      <c r="Q55" s="251">
        <f>N55*$S$3</f>
        <v>1897.2000000000003</v>
      </c>
      <c r="R55" s="249">
        <f>O55*$S$3</f>
        <v>1897.2000000000003</v>
      </c>
      <c r="S55" s="250">
        <f>P55*$S$3</f>
        <v>1897.2000000000003</v>
      </c>
      <c r="T55" s="251">
        <f>N55*$V$3</f>
        <v>1754.4</v>
      </c>
      <c r="U55" s="249">
        <f>O55*$V$3</f>
        <v>1754.4</v>
      </c>
      <c r="V55" s="250">
        <f>P55*$V$3</f>
        <v>1754.4</v>
      </c>
      <c r="W55" s="251">
        <f>N55*$Y$3</f>
        <v>1693.2</v>
      </c>
      <c r="X55" s="249">
        <f>O55*$Y$3</f>
        <v>1693.2</v>
      </c>
      <c r="Y55" s="250">
        <f>P55*$Y$3</f>
        <v>1693.2</v>
      </c>
      <c r="Z55" s="251">
        <f>N55*$AB$3</f>
        <v>1530.0000000000002</v>
      </c>
      <c r="AA55" s="249">
        <f>O55*$AB$3</f>
        <v>1530.0000000000002</v>
      </c>
      <c r="AB55" s="250">
        <f>P55*$AB$3</f>
        <v>1530.0000000000002</v>
      </c>
      <c r="AC55" s="251">
        <f>N55*$AE$3</f>
        <v>1428</v>
      </c>
      <c r="AD55" s="249">
        <f>O55*$AE$3</f>
        <v>1428</v>
      </c>
      <c r="AE55" s="250">
        <f>P55*$AE$3</f>
        <v>1428</v>
      </c>
    </row>
    <row r="56" spans="1:31" s="215" customFormat="1" ht="17.25" customHeight="1" thickBot="1">
      <c r="A56" s="36"/>
      <c r="B56" s="2642"/>
      <c r="C56" s="722">
        <v>2.0400000000000001E-2</v>
      </c>
      <c r="D56" s="723"/>
      <c r="E56" s="724"/>
      <c r="F56" s="2582"/>
      <c r="G56" s="2584"/>
      <c r="H56" s="2584"/>
      <c r="I56" s="2582"/>
      <c r="J56" s="2584"/>
      <c r="K56" s="2584"/>
      <c r="L56" s="2584"/>
      <c r="M56" s="2586"/>
      <c r="N56" s="247">
        <f t="shared" ref="N56" si="46">N55/F55</f>
        <v>2.0400000000000001E-2</v>
      </c>
      <c r="O56" s="228">
        <f>O55/F55</f>
        <v>2.0400000000000001E-2</v>
      </c>
      <c r="P56" s="229">
        <f>P55/F55</f>
        <v>2.0400000000000001E-2</v>
      </c>
      <c r="Q56" s="247">
        <f>Q55/F55</f>
        <v>1.8972000000000003E-2</v>
      </c>
      <c r="R56" s="228">
        <f>R55/F55</f>
        <v>1.8972000000000003E-2</v>
      </c>
      <c r="S56" s="229">
        <f>S55/F55</f>
        <v>1.8972000000000003E-2</v>
      </c>
      <c r="T56" s="247">
        <f>T55/F55</f>
        <v>1.7544000000000001E-2</v>
      </c>
      <c r="U56" s="228">
        <f>U55/F55</f>
        <v>1.7544000000000001E-2</v>
      </c>
      <c r="V56" s="229">
        <f>V55/F55</f>
        <v>1.7544000000000001E-2</v>
      </c>
      <c r="W56" s="247">
        <f>W55/F55</f>
        <v>1.6931999999999999E-2</v>
      </c>
      <c r="X56" s="228">
        <f>X55/F55</f>
        <v>1.6931999999999999E-2</v>
      </c>
      <c r="Y56" s="229">
        <f>Y55/F55</f>
        <v>1.6931999999999999E-2</v>
      </c>
      <c r="Z56" s="247">
        <f>Z55/F55</f>
        <v>1.5300000000000003E-2</v>
      </c>
      <c r="AA56" s="228">
        <f>AA55/F55</f>
        <v>1.5300000000000003E-2</v>
      </c>
      <c r="AB56" s="229">
        <f>AB55/F55</f>
        <v>1.5300000000000003E-2</v>
      </c>
      <c r="AC56" s="247">
        <f>AC55/F55</f>
        <v>1.4279999999999999E-2</v>
      </c>
      <c r="AD56" s="228">
        <f>AD55/F55</f>
        <v>1.4279999999999999E-2</v>
      </c>
      <c r="AE56" s="229">
        <f>AE55/F55</f>
        <v>1.4279999999999999E-2</v>
      </c>
    </row>
    <row r="57" spans="1:31" ht="18" customHeight="1">
      <c r="A57" s="469"/>
      <c r="C57" s="40"/>
      <c r="D57" s="40"/>
      <c r="E57" s="40"/>
      <c r="F57" s="41"/>
      <c r="G57" s="41"/>
      <c r="H57" s="41"/>
      <c r="S57" s="244"/>
      <c r="T57" s="231"/>
      <c r="U57" s="231"/>
      <c r="V57" s="231"/>
      <c r="W57" s="231"/>
      <c r="X57" s="231"/>
      <c r="Y57" s="231"/>
      <c r="Z57" s="231"/>
      <c r="AA57" s="231"/>
      <c r="AB57" s="231"/>
      <c r="AC57" s="231"/>
      <c r="AD57" s="231"/>
      <c r="AE57" s="231"/>
    </row>
    <row r="58" spans="1:31" ht="18" customHeight="1">
      <c r="A58" s="174"/>
      <c r="B58" s="42" t="s">
        <v>945</v>
      </c>
      <c r="C58" s="174"/>
      <c r="D58" s="174"/>
      <c r="E58" s="174"/>
      <c r="F58" s="174"/>
      <c r="G58" s="174"/>
      <c r="H58" s="174"/>
      <c r="S58" s="245"/>
      <c r="T58" s="174"/>
      <c r="U58" s="174"/>
      <c r="V58" s="174"/>
      <c r="W58" s="174"/>
      <c r="X58" s="174"/>
      <c r="Y58" s="174"/>
      <c r="Z58" s="174"/>
      <c r="AA58" s="174"/>
      <c r="AB58" s="174"/>
      <c r="AC58" s="174"/>
      <c r="AD58" s="174"/>
      <c r="AE58" s="174"/>
    </row>
    <row r="59" spans="1:31" ht="18" customHeight="1">
      <c r="A59" s="174"/>
      <c r="B59" s="175" t="s">
        <v>946</v>
      </c>
      <c r="C59" s="174"/>
      <c r="D59" s="174"/>
      <c r="E59" s="174"/>
      <c r="F59" s="174"/>
      <c r="G59" s="174"/>
      <c r="H59" s="174"/>
      <c r="S59" s="245"/>
      <c r="T59" s="174"/>
      <c r="U59" s="174"/>
      <c r="V59" s="174"/>
      <c r="W59" s="174"/>
      <c r="X59" s="174"/>
      <c r="Y59" s="174"/>
      <c r="Z59" s="174"/>
      <c r="AA59" s="174"/>
      <c r="AB59" s="174"/>
      <c r="AC59" s="174"/>
      <c r="AD59" s="174"/>
      <c r="AE59" s="174"/>
    </row>
    <row r="60" spans="1:31" ht="18" customHeight="1">
      <c r="A60" s="174"/>
      <c r="B60" s="175" t="s">
        <v>947</v>
      </c>
      <c r="C60" s="174"/>
      <c r="D60" s="174"/>
      <c r="E60" s="174"/>
      <c r="F60" s="174"/>
      <c r="G60" s="174"/>
      <c r="H60" s="174"/>
      <c r="S60" s="245"/>
      <c r="T60" s="174"/>
      <c r="U60" s="174"/>
      <c r="V60" s="174"/>
      <c r="W60" s="174"/>
      <c r="X60" s="174"/>
      <c r="Y60" s="174"/>
      <c r="Z60" s="174"/>
      <c r="AA60" s="174"/>
      <c r="AB60" s="174"/>
      <c r="AC60" s="174"/>
      <c r="AD60" s="174"/>
      <c r="AE60" s="174"/>
    </row>
    <row r="61" spans="1:31" ht="18" customHeight="1">
      <c r="A61" s="174"/>
      <c r="B61" s="175" t="s">
        <v>948</v>
      </c>
      <c r="C61" s="174"/>
      <c r="D61" s="174"/>
      <c r="E61" s="174"/>
      <c r="F61" s="174"/>
      <c r="G61" s="174"/>
      <c r="H61" s="174"/>
      <c r="I61" s="41"/>
      <c r="J61" s="41"/>
      <c r="K61" s="41"/>
      <c r="L61" s="41"/>
      <c r="M61" s="41"/>
      <c r="N61" s="231"/>
      <c r="O61" s="231"/>
      <c r="P61" s="231"/>
      <c r="Q61" s="231"/>
      <c r="R61" s="231"/>
      <c r="S61" s="245"/>
      <c r="T61" s="174"/>
      <c r="U61" s="174"/>
      <c r="V61" s="174"/>
      <c r="W61" s="174"/>
      <c r="X61" s="174"/>
      <c r="Y61" s="174"/>
      <c r="Z61" s="174"/>
      <c r="AA61" s="174"/>
      <c r="AB61" s="174"/>
      <c r="AC61" s="174"/>
      <c r="AD61" s="174"/>
      <c r="AE61" s="174"/>
    </row>
    <row r="65" spans="2:19" ht="18" customHeight="1">
      <c r="B65" s="217"/>
      <c r="S65" s="217"/>
    </row>
    <row r="66" spans="2:19" ht="18" customHeight="1">
      <c r="B66" s="217"/>
      <c r="S66" s="217"/>
    </row>
    <row r="67" spans="2:19" ht="18" customHeight="1">
      <c r="B67" s="217"/>
      <c r="S67" s="217"/>
    </row>
  </sheetData>
  <mergeCells count="213">
    <mergeCell ref="M55:M56"/>
    <mergeCell ref="B55:B56"/>
    <mergeCell ref="C55:E55"/>
    <mergeCell ref="F55:F56"/>
    <mergeCell ref="G55:G56"/>
    <mergeCell ref="H55:H56"/>
    <mergeCell ref="I55:I56"/>
    <mergeCell ref="J55:J56"/>
    <mergeCell ref="K55:K56"/>
    <mergeCell ref="L55:L56"/>
    <mergeCell ref="B11:B12"/>
    <mergeCell ref="L11:L12"/>
    <mergeCell ref="M11:M12"/>
    <mergeCell ref="B23:B26"/>
    <mergeCell ref="B33:B34"/>
    <mergeCell ref="B35:B52"/>
    <mergeCell ref="B53:B54"/>
    <mergeCell ref="C53:E53"/>
    <mergeCell ref="F53:F54"/>
    <mergeCell ref="G53:G54"/>
    <mergeCell ref="H53:H54"/>
    <mergeCell ref="I53:I54"/>
    <mergeCell ref="J53:J54"/>
    <mergeCell ref="K53:K54"/>
    <mergeCell ref="L53:L54"/>
    <mergeCell ref="M53:M54"/>
    <mergeCell ref="K49:K50"/>
    <mergeCell ref="C51:E51"/>
    <mergeCell ref="F51:F52"/>
    <mergeCell ref="G51:G52"/>
    <mergeCell ref="H51:H52"/>
    <mergeCell ref="I51:I52"/>
    <mergeCell ref="J51:J52"/>
    <mergeCell ref="K51:K52"/>
    <mergeCell ref="C49:E49"/>
    <mergeCell ref="F49:F50"/>
    <mergeCell ref="G49:G50"/>
    <mergeCell ref="H49:H50"/>
    <mergeCell ref="I49:I50"/>
    <mergeCell ref="J49:J50"/>
    <mergeCell ref="C33:E33"/>
    <mergeCell ref="F33:F34"/>
    <mergeCell ref="G33:G34"/>
    <mergeCell ref="H33:H34"/>
    <mergeCell ref="J39:J40"/>
    <mergeCell ref="I33:I34"/>
    <mergeCell ref="J33:J34"/>
    <mergeCell ref="K45:K46"/>
    <mergeCell ref="C47:E47"/>
    <mergeCell ref="F47:F48"/>
    <mergeCell ref="G47:G48"/>
    <mergeCell ref="H47:H48"/>
    <mergeCell ref="I47:I48"/>
    <mergeCell ref="J47:J48"/>
    <mergeCell ref="K47:K48"/>
    <mergeCell ref="C45:E45"/>
    <mergeCell ref="F45:F46"/>
    <mergeCell ref="G45:G46"/>
    <mergeCell ref="H45:H46"/>
    <mergeCell ref="I45:I46"/>
    <mergeCell ref="J45:J46"/>
    <mergeCell ref="K41:K42"/>
    <mergeCell ref="C43:E43"/>
    <mergeCell ref="F43:F44"/>
    <mergeCell ref="G43:G44"/>
    <mergeCell ref="H43:H44"/>
    <mergeCell ref="I43:I44"/>
    <mergeCell ref="J43:J44"/>
    <mergeCell ref="K43:K44"/>
    <mergeCell ref="C41:E41"/>
    <mergeCell ref="F41:F42"/>
    <mergeCell ref="G41:G42"/>
    <mergeCell ref="H41:H42"/>
    <mergeCell ref="I41:I42"/>
    <mergeCell ref="J41:J42"/>
    <mergeCell ref="K39:K40"/>
    <mergeCell ref="C37:E37"/>
    <mergeCell ref="F37:F38"/>
    <mergeCell ref="G37:G38"/>
    <mergeCell ref="H37:H38"/>
    <mergeCell ref="I37:I38"/>
    <mergeCell ref="J37:J38"/>
    <mergeCell ref="K37:K38"/>
    <mergeCell ref="C39:E39"/>
    <mergeCell ref="F39:F40"/>
    <mergeCell ref="G39:G40"/>
    <mergeCell ref="H39:H40"/>
    <mergeCell ref="I39:I40"/>
    <mergeCell ref="K33:K34"/>
    <mergeCell ref="C35:E35"/>
    <mergeCell ref="F35:F36"/>
    <mergeCell ref="G35:G36"/>
    <mergeCell ref="H35:H36"/>
    <mergeCell ref="I35:I36"/>
    <mergeCell ref="J35:J36"/>
    <mergeCell ref="K35:K36"/>
    <mergeCell ref="J29:J30"/>
    <mergeCell ref="K29:K30"/>
    <mergeCell ref="K31:K32"/>
    <mergeCell ref="G23:G24"/>
    <mergeCell ref="H23:H24"/>
    <mergeCell ref="I23:I24"/>
    <mergeCell ref="J23:J24"/>
    <mergeCell ref="B31:B32"/>
    <mergeCell ref="C31:E31"/>
    <mergeCell ref="F31:F32"/>
    <mergeCell ref="G31:G32"/>
    <mergeCell ref="H31:H32"/>
    <mergeCell ref="I31:I32"/>
    <mergeCell ref="J31:J32"/>
    <mergeCell ref="C29:E29"/>
    <mergeCell ref="F29:F30"/>
    <mergeCell ref="G29:G30"/>
    <mergeCell ref="H29:H30"/>
    <mergeCell ref="I29:I30"/>
    <mergeCell ref="K25:K26"/>
    <mergeCell ref="C27:E27"/>
    <mergeCell ref="F27:F28"/>
    <mergeCell ref="G27:G28"/>
    <mergeCell ref="H27:H28"/>
    <mergeCell ref="I27:I28"/>
    <mergeCell ref="J27:J28"/>
    <mergeCell ref="K27:K28"/>
    <mergeCell ref="C25:E25"/>
    <mergeCell ref="F25:F26"/>
    <mergeCell ref="G25:G26"/>
    <mergeCell ref="H25:H26"/>
    <mergeCell ref="I25:I26"/>
    <mergeCell ref="J25:J26"/>
    <mergeCell ref="K23:K24"/>
    <mergeCell ref="C17:E17"/>
    <mergeCell ref="F17:F18"/>
    <mergeCell ref="G17:G18"/>
    <mergeCell ref="H17:H18"/>
    <mergeCell ref="I17:I18"/>
    <mergeCell ref="J17:J18"/>
    <mergeCell ref="K17:K18"/>
    <mergeCell ref="K19:K20"/>
    <mergeCell ref="C21:E21"/>
    <mergeCell ref="F21:F22"/>
    <mergeCell ref="G21:G22"/>
    <mergeCell ref="H21:H22"/>
    <mergeCell ref="I21:I22"/>
    <mergeCell ref="J21:J22"/>
    <mergeCell ref="K21:K22"/>
    <mergeCell ref="C19:E19"/>
    <mergeCell ref="F19:F20"/>
    <mergeCell ref="G19:G20"/>
    <mergeCell ref="H19:H20"/>
    <mergeCell ref="I19:I20"/>
    <mergeCell ref="J19:J20"/>
    <mergeCell ref="C23:E23"/>
    <mergeCell ref="F23:F24"/>
    <mergeCell ref="K13:K14"/>
    <mergeCell ref="K15:K16"/>
    <mergeCell ref="M9:M10"/>
    <mergeCell ref="C11:E11"/>
    <mergeCell ref="F11:F12"/>
    <mergeCell ref="G11:G12"/>
    <mergeCell ref="H11:H12"/>
    <mergeCell ref="I11:I12"/>
    <mergeCell ref="J11:J12"/>
    <mergeCell ref="K11:K12"/>
    <mergeCell ref="L9:L10"/>
    <mergeCell ref="C15:E15"/>
    <mergeCell ref="F15:F16"/>
    <mergeCell ref="G15:G16"/>
    <mergeCell ref="H15:H16"/>
    <mergeCell ref="I15:I16"/>
    <mergeCell ref="J15:J16"/>
    <mergeCell ref="C13:E13"/>
    <mergeCell ref="F13:F14"/>
    <mergeCell ref="G13:G14"/>
    <mergeCell ref="H13:H14"/>
    <mergeCell ref="I13:I14"/>
    <mergeCell ref="J13:J14"/>
    <mergeCell ref="J7:J8"/>
    <mergeCell ref="K7:K8"/>
    <mergeCell ref="B9:B10"/>
    <mergeCell ref="C9:E9"/>
    <mergeCell ref="F9:F10"/>
    <mergeCell ref="G9:G10"/>
    <mergeCell ref="H9:H10"/>
    <mergeCell ref="I9:I10"/>
    <mergeCell ref="J9:J10"/>
    <mergeCell ref="B7:B8"/>
    <mergeCell ref="C7:E7"/>
    <mergeCell ref="F7:F8"/>
    <mergeCell ref="G7:G8"/>
    <mergeCell ref="H7:H8"/>
    <mergeCell ref="I7:I8"/>
    <mergeCell ref="K9:K10"/>
    <mergeCell ref="I5:I6"/>
    <mergeCell ref="J5:J6"/>
    <mergeCell ref="K5:K6"/>
    <mergeCell ref="L5:L6"/>
    <mergeCell ref="M5:M6"/>
    <mergeCell ref="C4:E4"/>
    <mergeCell ref="B5:B6"/>
    <mergeCell ref="C5:E5"/>
    <mergeCell ref="F5:F6"/>
    <mergeCell ref="G5:G6"/>
    <mergeCell ref="H5:H6"/>
    <mergeCell ref="B3:E3"/>
    <mergeCell ref="B1:AE1"/>
    <mergeCell ref="F3:H3"/>
    <mergeCell ref="I3:M3"/>
    <mergeCell ref="N3:P3"/>
    <mergeCell ref="Q3:R3"/>
    <mergeCell ref="T3:U3"/>
    <mergeCell ref="W3:X3"/>
    <mergeCell ref="Z3:AA3"/>
    <mergeCell ref="AC3:AD3"/>
  </mergeCells>
  <phoneticPr fontId="100" type="noConversion"/>
  <pageMargins left="0.31496062992125984" right="0.31496062992125984" top="0.31496062992125984" bottom="0.31496062992125984" header="0" footer="0"/>
  <pageSetup paperSize="9" scale="55" orientation="landscape"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B1:S16"/>
  <sheetViews>
    <sheetView zoomScaleNormal="100" workbookViewId="0">
      <selection activeCell="B1" sqref="B1:R1"/>
    </sheetView>
  </sheetViews>
  <sheetFormatPr defaultRowHeight="18" customHeight="1"/>
  <cols>
    <col min="1" max="1" width="1" style="215" customWidth="1"/>
    <col min="2" max="5" width="9" style="215"/>
    <col min="6" max="6" width="14.75" style="215" customWidth="1"/>
    <col min="7" max="8" width="9" style="215"/>
    <col min="9" max="14" width="9" style="215" customWidth="1"/>
    <col min="15" max="17" width="9" style="215"/>
    <col min="18" max="18" width="17" style="215" customWidth="1"/>
    <col min="19" max="16384" width="9" style="215"/>
  </cols>
  <sheetData>
    <row r="1" spans="2:19" customFormat="1" ht="30" customHeight="1" thickBot="1">
      <c r="B1" s="1083" t="s">
        <v>1716</v>
      </c>
      <c r="C1" s="1083"/>
      <c r="D1" s="1083"/>
      <c r="E1" s="1083"/>
      <c r="F1" s="1083"/>
      <c r="G1" s="1083"/>
      <c r="H1" s="1083"/>
      <c r="I1" s="1083"/>
      <c r="J1" s="1083"/>
      <c r="K1" s="1083"/>
      <c r="L1" s="1083"/>
      <c r="M1" s="1083"/>
      <c r="N1" s="1083"/>
      <c r="O1" s="1083"/>
      <c r="P1" s="1083"/>
      <c r="Q1" s="1083"/>
      <c r="R1" s="1083"/>
    </row>
    <row r="2" spans="2:19" ht="18" customHeight="1" thickTop="1"/>
    <row r="3" spans="2:19" ht="18" customHeight="1">
      <c r="B3" s="349" t="s">
        <v>847</v>
      </c>
    </row>
    <row r="4" spans="2:19" ht="18" customHeight="1">
      <c r="B4" s="349" t="s">
        <v>848</v>
      </c>
    </row>
    <row r="5" spans="2:19" ht="18" customHeight="1" thickBot="1">
      <c r="B5" s="349"/>
    </row>
    <row r="6" spans="2:19" ht="18" customHeight="1">
      <c r="B6" s="1117" t="s">
        <v>849</v>
      </c>
      <c r="C6" s="1118"/>
      <c r="D6" s="1118" t="s">
        <v>850</v>
      </c>
      <c r="E6" s="1118"/>
      <c r="F6" s="1118"/>
      <c r="G6" s="1118" t="s">
        <v>851</v>
      </c>
      <c r="H6" s="1118"/>
      <c r="I6" s="1118" t="s">
        <v>852</v>
      </c>
      <c r="J6" s="1118"/>
      <c r="K6" s="1118"/>
      <c r="L6" s="1118"/>
      <c r="M6" s="1118"/>
      <c r="N6" s="1118" t="s">
        <v>853</v>
      </c>
      <c r="O6" s="1118"/>
      <c r="P6" s="1118"/>
      <c r="Q6" s="1118"/>
      <c r="R6" s="1119"/>
    </row>
    <row r="7" spans="2:19" s="957" customFormat="1" ht="18" customHeight="1">
      <c r="B7" s="1123" t="s">
        <v>1004</v>
      </c>
      <c r="C7" s="1124"/>
      <c r="D7" s="1120" t="s">
        <v>1005</v>
      </c>
      <c r="E7" s="1121"/>
      <c r="F7" s="1122"/>
      <c r="G7" s="1104" t="s">
        <v>1006</v>
      </c>
      <c r="H7" s="1105"/>
      <c r="I7" s="1106" t="s">
        <v>1007</v>
      </c>
      <c r="J7" s="1107"/>
      <c r="K7" s="1107"/>
      <c r="L7" s="1107"/>
      <c r="M7" s="1108"/>
      <c r="N7" s="1106" t="s">
        <v>1008</v>
      </c>
      <c r="O7" s="1107"/>
      <c r="P7" s="1107"/>
      <c r="Q7" s="1107"/>
      <c r="R7" s="1109"/>
      <c r="S7" s="958"/>
    </row>
    <row r="8" spans="2:19" s="957" customFormat="1" ht="18" customHeight="1">
      <c r="B8" s="1087" t="s">
        <v>1009</v>
      </c>
      <c r="C8" s="1088"/>
      <c r="D8" s="1095" t="s">
        <v>1010</v>
      </c>
      <c r="E8" s="1096"/>
      <c r="F8" s="1097"/>
      <c r="G8" s="1104" t="s">
        <v>1011</v>
      </c>
      <c r="H8" s="1105"/>
      <c r="I8" s="1106" t="s">
        <v>1012</v>
      </c>
      <c r="J8" s="1107"/>
      <c r="K8" s="1107"/>
      <c r="L8" s="1107"/>
      <c r="M8" s="1108"/>
      <c r="N8" s="1106" t="s">
        <v>1012</v>
      </c>
      <c r="O8" s="1107"/>
      <c r="P8" s="1107"/>
      <c r="Q8" s="1107"/>
      <c r="R8" s="1109"/>
      <c r="S8" s="958"/>
    </row>
    <row r="9" spans="2:19" s="957" customFormat="1" ht="18" customHeight="1">
      <c r="B9" s="1091"/>
      <c r="C9" s="1092"/>
      <c r="D9" s="1098"/>
      <c r="E9" s="1099"/>
      <c r="F9" s="1100"/>
      <c r="G9" s="1104" t="s">
        <v>1013</v>
      </c>
      <c r="H9" s="1105"/>
      <c r="I9" s="1106" t="s">
        <v>1014</v>
      </c>
      <c r="J9" s="1107"/>
      <c r="K9" s="1107"/>
      <c r="L9" s="1107"/>
      <c r="M9" s="1108"/>
      <c r="N9" s="1106" t="s">
        <v>1015</v>
      </c>
      <c r="O9" s="1107"/>
      <c r="P9" s="1107"/>
      <c r="Q9" s="1107"/>
      <c r="R9" s="1109"/>
      <c r="S9" s="958"/>
    </row>
    <row r="10" spans="2:19" s="957" customFormat="1" ht="18" customHeight="1">
      <c r="B10" s="1091"/>
      <c r="C10" s="1092"/>
      <c r="D10" s="1101"/>
      <c r="E10" s="1102"/>
      <c r="F10" s="1103"/>
      <c r="G10" s="1104" t="s">
        <v>1016</v>
      </c>
      <c r="H10" s="1105"/>
      <c r="I10" s="1110" t="s">
        <v>1017</v>
      </c>
      <c r="J10" s="1111"/>
      <c r="K10" s="1111"/>
      <c r="L10" s="1111"/>
      <c r="M10" s="1112"/>
      <c r="N10" s="1110" t="s">
        <v>1018</v>
      </c>
      <c r="O10" s="1111"/>
      <c r="P10" s="1111"/>
      <c r="Q10" s="1111"/>
      <c r="R10" s="1113"/>
      <c r="S10" s="958"/>
    </row>
    <row r="11" spans="2:19" s="957" customFormat="1" ht="23.25" customHeight="1">
      <c r="B11" s="1093"/>
      <c r="C11" s="1094"/>
      <c r="D11" s="1114" t="s">
        <v>1019</v>
      </c>
      <c r="E11" s="1102"/>
      <c r="F11" s="1103"/>
      <c r="G11" s="1115" t="s">
        <v>1020</v>
      </c>
      <c r="H11" s="1116"/>
      <c r="I11" s="1110" t="s">
        <v>1021</v>
      </c>
      <c r="J11" s="1111"/>
      <c r="K11" s="1111"/>
      <c r="L11" s="1111"/>
      <c r="M11" s="1112"/>
      <c r="N11" s="1110" t="s">
        <v>1022</v>
      </c>
      <c r="O11" s="1111"/>
      <c r="P11" s="1111"/>
      <c r="Q11" s="1111"/>
      <c r="R11" s="1113"/>
      <c r="S11" s="958"/>
    </row>
    <row r="12" spans="2:19" s="957" customFormat="1" ht="18" customHeight="1">
      <c r="B12" s="1093" t="s">
        <v>1359</v>
      </c>
      <c r="C12" s="1094"/>
      <c r="D12" s="1125" t="s">
        <v>1360</v>
      </c>
      <c r="E12" s="1125"/>
      <c r="F12" s="1125"/>
      <c r="G12" s="1090" t="s">
        <v>1361</v>
      </c>
      <c r="H12" s="1090"/>
      <c r="I12" s="1084" t="s">
        <v>1723</v>
      </c>
      <c r="J12" s="1085"/>
      <c r="K12" s="1085"/>
      <c r="L12" s="1085"/>
      <c r="M12" s="1085"/>
      <c r="N12" s="1085"/>
      <c r="O12" s="1085"/>
      <c r="P12" s="1085"/>
      <c r="Q12" s="1085"/>
      <c r="R12" s="1086"/>
      <c r="S12" s="958"/>
    </row>
    <row r="13" spans="2:19" s="957" customFormat="1" ht="15.95" customHeight="1">
      <c r="B13" s="1087" t="s">
        <v>1619</v>
      </c>
      <c r="C13" s="1088"/>
      <c r="D13" s="1089" t="s">
        <v>1620</v>
      </c>
      <c r="E13" s="1089"/>
      <c r="F13" s="1089"/>
      <c r="G13" s="1090" t="s">
        <v>1361</v>
      </c>
      <c r="H13" s="1090"/>
      <c r="I13" s="1084" t="s">
        <v>1724</v>
      </c>
      <c r="J13" s="1085"/>
      <c r="K13" s="1085"/>
      <c r="L13" s="1085"/>
      <c r="M13" s="1085"/>
      <c r="N13" s="1085"/>
      <c r="O13" s="1085"/>
      <c r="P13" s="1085"/>
      <c r="Q13" s="1085"/>
      <c r="R13" s="1086"/>
      <c r="S13" s="958"/>
    </row>
    <row r="14" spans="2:19" ht="18" customHeight="1">
      <c r="B14" s="1134" t="s">
        <v>1370</v>
      </c>
      <c r="C14" s="1135"/>
      <c r="D14" s="1136" t="s">
        <v>1371</v>
      </c>
      <c r="E14" s="1136"/>
      <c r="F14" s="1136"/>
      <c r="G14" s="1115" t="s">
        <v>1372</v>
      </c>
      <c r="H14" s="1116"/>
      <c r="I14" s="1084" t="s">
        <v>1722</v>
      </c>
      <c r="J14" s="1085"/>
      <c r="K14" s="1085"/>
      <c r="L14" s="1085"/>
      <c r="M14" s="1085"/>
      <c r="N14" s="1085"/>
      <c r="O14" s="1085"/>
      <c r="P14" s="1085"/>
      <c r="Q14" s="1085"/>
      <c r="R14" s="1086"/>
      <c r="S14" s="1057"/>
    </row>
    <row r="15" spans="2:19" s="957" customFormat="1" ht="18" customHeight="1">
      <c r="B15" s="1087" t="s">
        <v>1362</v>
      </c>
      <c r="C15" s="1088"/>
      <c r="D15" s="1089" t="s">
        <v>1363</v>
      </c>
      <c r="E15" s="1089"/>
      <c r="F15" s="1089"/>
      <c r="G15" s="1128" t="s">
        <v>1364</v>
      </c>
      <c r="H15" s="1128"/>
      <c r="I15" s="1106" t="s">
        <v>1365</v>
      </c>
      <c r="J15" s="1107"/>
      <c r="K15" s="1107"/>
      <c r="L15" s="1107"/>
      <c r="M15" s="1108"/>
      <c r="N15" s="1107" t="s">
        <v>1366</v>
      </c>
      <c r="O15" s="1107"/>
      <c r="P15" s="1107"/>
      <c r="Q15" s="1107"/>
      <c r="R15" s="1109"/>
      <c r="S15" s="958"/>
    </row>
    <row r="16" spans="2:19" s="957" customFormat="1" ht="18" customHeight="1" thickBot="1">
      <c r="B16" s="1126"/>
      <c r="C16" s="1127"/>
      <c r="D16" s="1129" t="s">
        <v>1367</v>
      </c>
      <c r="E16" s="1129"/>
      <c r="F16" s="1129"/>
      <c r="G16" s="1130" t="s">
        <v>1368</v>
      </c>
      <c r="H16" s="1130"/>
      <c r="I16" s="1131" t="s">
        <v>1366</v>
      </c>
      <c r="J16" s="1131"/>
      <c r="K16" s="1131"/>
      <c r="L16" s="1131"/>
      <c r="M16" s="1132"/>
      <c r="N16" s="1131" t="s">
        <v>1369</v>
      </c>
      <c r="O16" s="1131"/>
      <c r="P16" s="1131"/>
      <c r="Q16" s="1131"/>
      <c r="R16" s="1133"/>
      <c r="S16" s="958"/>
    </row>
  </sheetData>
  <mergeCells count="47">
    <mergeCell ref="B12:C12"/>
    <mergeCell ref="D12:F12"/>
    <mergeCell ref="G12:H12"/>
    <mergeCell ref="I12:R12"/>
    <mergeCell ref="B15:C16"/>
    <mergeCell ref="D15:F15"/>
    <mergeCell ref="G15:H15"/>
    <mergeCell ref="I15:M15"/>
    <mergeCell ref="N15:R15"/>
    <mergeCell ref="D16:F16"/>
    <mergeCell ref="G16:H16"/>
    <mergeCell ref="I16:M16"/>
    <mergeCell ref="N16:R16"/>
    <mergeCell ref="B14:C14"/>
    <mergeCell ref="D14:F14"/>
    <mergeCell ref="G14:H14"/>
    <mergeCell ref="D7:F7"/>
    <mergeCell ref="G7:H7"/>
    <mergeCell ref="I7:M7"/>
    <mergeCell ref="N7:R7"/>
    <mergeCell ref="B7:C7"/>
    <mergeCell ref="B1:R1"/>
    <mergeCell ref="B6:C6"/>
    <mergeCell ref="D6:F6"/>
    <mergeCell ref="G6:H6"/>
    <mergeCell ref="I6:M6"/>
    <mergeCell ref="N6:R6"/>
    <mergeCell ref="B8:C11"/>
    <mergeCell ref="D8:F10"/>
    <mergeCell ref="G8:H8"/>
    <mergeCell ref="I8:M8"/>
    <mergeCell ref="N8:R8"/>
    <mergeCell ref="G9:H9"/>
    <mergeCell ref="I9:M9"/>
    <mergeCell ref="N9:R9"/>
    <mergeCell ref="G10:H10"/>
    <mergeCell ref="I10:M10"/>
    <mergeCell ref="N10:R10"/>
    <mergeCell ref="D11:F11"/>
    <mergeCell ref="G11:H11"/>
    <mergeCell ref="I11:M11"/>
    <mergeCell ref="N11:R11"/>
    <mergeCell ref="I14:R14"/>
    <mergeCell ref="B13:C13"/>
    <mergeCell ref="D13:F13"/>
    <mergeCell ref="G13:H13"/>
    <mergeCell ref="I13:R13"/>
  </mergeCells>
  <phoneticPr fontId="100" type="noConversion"/>
  <printOptions horizontalCentered="1"/>
  <pageMargins left="0.31496062992125984" right="0.31496062992125984" top="0.31496062992125984" bottom="0.19685039370078741" header="0" footer="0"/>
  <pageSetup paperSize="9" scale="8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66FF"/>
    <pageSetUpPr fitToPage="1"/>
  </sheetPr>
  <dimension ref="A1:P28"/>
  <sheetViews>
    <sheetView zoomScaleNormal="100" workbookViewId="0">
      <pane ySplit="1" topLeftCell="A2" activePane="bottomLeft" state="frozen"/>
      <selection activeCell="B1" sqref="B1:O1"/>
      <selection pane="bottomLeft" activeCell="B1" sqref="B1:O1"/>
    </sheetView>
  </sheetViews>
  <sheetFormatPr defaultRowHeight="16.5"/>
  <cols>
    <col min="1" max="1" width="1" style="143" customWidth="1"/>
    <col min="2" max="3" width="10.625" style="143" customWidth="1"/>
    <col min="4" max="4" width="10.25" style="143" customWidth="1"/>
    <col min="5" max="5" width="8" style="143" customWidth="1"/>
    <col min="6" max="9" width="10.25" style="143" customWidth="1"/>
    <col min="10" max="15" width="10.625" style="143" customWidth="1"/>
    <col min="16" max="16384" width="9" style="143"/>
  </cols>
  <sheetData>
    <row r="1" spans="1:16" s="615" customFormat="1" ht="30" customHeight="1" thickBot="1">
      <c r="A1" s="614"/>
      <c r="B1" s="1083" t="s">
        <v>1697</v>
      </c>
      <c r="C1" s="1083"/>
      <c r="D1" s="1083"/>
      <c r="E1" s="1083"/>
      <c r="F1" s="1083"/>
      <c r="G1" s="1083"/>
      <c r="H1" s="1083"/>
      <c r="I1" s="1083"/>
      <c r="J1" s="1083"/>
      <c r="K1" s="1083"/>
      <c r="L1" s="1083"/>
      <c r="M1" s="1083"/>
      <c r="N1" s="1083"/>
      <c r="O1" s="1083"/>
    </row>
    <row r="2" spans="1:16" s="70" customFormat="1" ht="18" customHeight="1" thickTop="1">
      <c r="B2" s="64"/>
      <c r="C2" s="64"/>
      <c r="D2" s="65"/>
      <c r="E2" s="65"/>
      <c r="F2" s="66"/>
      <c r="G2" s="66"/>
      <c r="H2" s="66"/>
      <c r="I2" s="66"/>
      <c r="J2" s="66"/>
      <c r="K2" s="65"/>
      <c r="L2" s="65"/>
      <c r="M2" s="65"/>
      <c r="N2" s="65"/>
      <c r="O2" s="65"/>
    </row>
    <row r="3" spans="1:16" s="70" customFormat="1" ht="18" customHeight="1" thickBot="1">
      <c r="B3" s="67" t="s">
        <v>750</v>
      </c>
      <c r="C3" s="65"/>
      <c r="D3" s="65"/>
      <c r="E3" s="65"/>
      <c r="F3" s="66"/>
      <c r="G3" s="66"/>
      <c r="H3" s="66"/>
      <c r="I3" s="66"/>
      <c r="J3" s="66"/>
      <c r="K3" s="66"/>
      <c r="L3" s="66"/>
      <c r="M3" s="66"/>
      <c r="N3" s="66"/>
      <c r="O3" s="66"/>
    </row>
    <row r="4" spans="1:16" s="70" customFormat="1" ht="18" customHeight="1">
      <c r="B4" s="1189" t="s">
        <v>751</v>
      </c>
      <c r="C4" s="1190"/>
      <c r="D4" s="1190" t="s">
        <v>752</v>
      </c>
      <c r="E4" s="1190"/>
      <c r="F4" s="1190"/>
      <c r="G4" s="1190"/>
      <c r="H4" s="1190"/>
      <c r="I4" s="1190"/>
      <c r="J4" s="1190" t="s">
        <v>753</v>
      </c>
      <c r="K4" s="1190"/>
      <c r="L4" s="1190"/>
      <c r="M4" s="1190"/>
      <c r="N4" s="1190"/>
      <c r="O4" s="1191"/>
    </row>
    <row r="5" spans="1:16" s="70" customFormat="1" ht="18" customHeight="1">
      <c r="B5" s="1192" t="s">
        <v>754</v>
      </c>
      <c r="C5" s="1193"/>
      <c r="D5" s="1194" t="s">
        <v>755</v>
      </c>
      <c r="E5" s="1194"/>
      <c r="F5" s="1194"/>
      <c r="G5" s="1194"/>
      <c r="H5" s="1194"/>
      <c r="I5" s="1194"/>
      <c r="J5" s="1194" t="s">
        <v>756</v>
      </c>
      <c r="K5" s="1194"/>
      <c r="L5" s="1194"/>
      <c r="M5" s="1194"/>
      <c r="N5" s="1194"/>
      <c r="O5" s="1195"/>
    </row>
    <row r="6" spans="1:16" s="70" customFormat="1" ht="18" customHeight="1">
      <c r="B6" s="1192"/>
      <c r="C6" s="1193"/>
      <c r="D6" s="1194"/>
      <c r="E6" s="1194"/>
      <c r="F6" s="1194"/>
      <c r="G6" s="1194"/>
      <c r="H6" s="1194"/>
      <c r="I6" s="1194"/>
      <c r="J6" s="905" t="s">
        <v>757</v>
      </c>
      <c r="K6" s="905" t="s">
        <v>61</v>
      </c>
      <c r="L6" s="905" t="s">
        <v>758</v>
      </c>
      <c r="M6" s="905" t="s">
        <v>759</v>
      </c>
      <c r="N6" s="905" t="s">
        <v>62</v>
      </c>
      <c r="O6" s="616" t="s">
        <v>760</v>
      </c>
    </row>
    <row r="7" spans="1:16" s="70" customFormat="1" ht="18" customHeight="1">
      <c r="B7" s="1192"/>
      <c r="C7" s="1193"/>
      <c r="D7" s="1194"/>
      <c r="E7" s="1194"/>
      <c r="F7" s="1194"/>
      <c r="G7" s="1194"/>
      <c r="H7" s="1194"/>
      <c r="I7" s="1194"/>
      <c r="J7" s="905" t="s">
        <v>761</v>
      </c>
      <c r="K7" s="906">
        <v>12</v>
      </c>
      <c r="L7" s="906">
        <v>4</v>
      </c>
      <c r="M7" s="906">
        <v>2</v>
      </c>
      <c r="N7" s="906">
        <v>1</v>
      </c>
      <c r="O7" s="907">
        <v>1</v>
      </c>
    </row>
    <row r="8" spans="1:16" s="70" customFormat="1" ht="18" customHeight="1" thickBot="1">
      <c r="B8" s="1184" t="s">
        <v>762</v>
      </c>
      <c r="C8" s="1185"/>
      <c r="D8" s="1196" t="s">
        <v>763</v>
      </c>
      <c r="E8" s="1196"/>
      <c r="F8" s="1196"/>
      <c r="G8" s="1196"/>
      <c r="H8" s="1196"/>
      <c r="I8" s="1196"/>
      <c r="J8" s="1196"/>
      <c r="K8" s="1196"/>
      <c r="L8" s="1196"/>
      <c r="M8" s="1196"/>
      <c r="N8" s="1196"/>
      <c r="O8" s="1197"/>
    </row>
    <row r="9" spans="1:16" s="70" customFormat="1" ht="18" customHeight="1">
      <c r="B9" s="139"/>
      <c r="C9" s="138"/>
      <c r="D9" s="138"/>
      <c r="E9" s="138"/>
      <c r="F9" s="138"/>
      <c r="G9" s="139"/>
      <c r="H9" s="139"/>
      <c r="I9" s="139"/>
      <c r="J9" s="139"/>
      <c r="K9" s="139"/>
      <c r="L9" s="139"/>
      <c r="M9" s="139"/>
      <c r="N9" s="139"/>
      <c r="O9" s="139"/>
    </row>
    <row r="10" spans="1:16" s="70" customFormat="1" ht="18" customHeight="1" thickBot="1">
      <c r="B10" s="49" t="s">
        <v>764</v>
      </c>
      <c r="C10" s="65"/>
      <c r="D10" s="65"/>
      <c r="E10" s="65"/>
      <c r="F10" s="66"/>
      <c r="G10" s="66"/>
      <c r="H10" s="66"/>
      <c r="I10" s="66"/>
      <c r="J10" s="66"/>
      <c r="K10" s="66"/>
      <c r="L10" s="66"/>
      <c r="M10" s="66"/>
      <c r="N10" s="66"/>
      <c r="O10" s="66"/>
    </row>
    <row r="11" spans="1:16" s="70" customFormat="1" ht="18" customHeight="1">
      <c r="B11" s="1189" t="s">
        <v>751</v>
      </c>
      <c r="C11" s="1190"/>
      <c r="D11" s="1198" t="s">
        <v>752</v>
      </c>
      <c r="E11" s="1199"/>
      <c r="F11" s="1199"/>
      <c r="G11" s="1199"/>
      <c r="H11" s="1199"/>
      <c r="I11" s="1199"/>
      <c r="J11" s="1199"/>
      <c r="K11" s="1199"/>
      <c r="L11" s="1199"/>
      <c r="M11" s="1199"/>
      <c r="N11" s="1199"/>
      <c r="O11" s="1200"/>
    </row>
    <row r="12" spans="1:16" s="70" customFormat="1" ht="18" customHeight="1" thickBot="1">
      <c r="B12" s="1184" t="s">
        <v>765</v>
      </c>
      <c r="C12" s="1185"/>
      <c r="D12" s="1186" t="s">
        <v>766</v>
      </c>
      <c r="E12" s="1187"/>
      <c r="F12" s="1187"/>
      <c r="G12" s="1187"/>
      <c r="H12" s="1187"/>
      <c r="I12" s="1187"/>
      <c r="J12" s="1187"/>
      <c r="K12" s="1187"/>
      <c r="L12" s="1187"/>
      <c r="M12" s="1187"/>
      <c r="N12" s="1187"/>
      <c r="O12" s="1188"/>
    </row>
    <row r="13" spans="1:16" s="70" customFormat="1" ht="18" customHeight="1">
      <c r="B13" s="66"/>
      <c r="C13" s="65"/>
      <c r="D13" s="65"/>
      <c r="E13" s="65"/>
      <c r="F13" s="65"/>
      <c r="G13" s="66"/>
      <c r="H13" s="66"/>
      <c r="I13" s="66"/>
      <c r="J13" s="66"/>
      <c r="K13" s="66"/>
      <c r="L13" s="66"/>
      <c r="M13" s="66"/>
      <c r="N13" s="66"/>
      <c r="O13" s="66"/>
    </row>
    <row r="14" spans="1:16" s="70" customFormat="1" ht="18" customHeight="1" thickBot="1">
      <c r="B14" s="67" t="s">
        <v>767</v>
      </c>
      <c r="C14" s="65"/>
      <c r="D14" s="65"/>
      <c r="E14" s="617"/>
      <c r="F14" s="66"/>
      <c r="G14" s="66"/>
      <c r="H14" s="66"/>
      <c r="I14" s="66"/>
      <c r="J14" s="66"/>
      <c r="K14" s="65"/>
      <c r="L14" s="65"/>
      <c r="M14" s="65"/>
      <c r="N14" s="65"/>
      <c r="O14" s="65"/>
    </row>
    <row r="15" spans="1:16" s="70" customFormat="1" ht="18" customHeight="1" thickBot="1">
      <c r="B15" s="1166" t="s">
        <v>751</v>
      </c>
      <c r="C15" s="1167"/>
      <c r="D15" s="1168" t="s">
        <v>768</v>
      </c>
      <c r="E15" s="1169"/>
      <c r="F15" s="1169"/>
      <c r="G15" s="1169"/>
      <c r="H15" s="1169"/>
      <c r="I15" s="1169"/>
      <c r="J15" s="1168" t="s">
        <v>753</v>
      </c>
      <c r="K15" s="1169"/>
      <c r="L15" s="1169"/>
      <c r="M15" s="1169"/>
      <c r="N15" s="1169"/>
      <c r="O15" s="1170"/>
    </row>
    <row r="16" spans="1:16" s="65" customFormat="1" ht="18" customHeight="1">
      <c r="B16" s="1171" t="s">
        <v>769</v>
      </c>
      <c r="C16" s="1172"/>
      <c r="D16" s="1159" t="s">
        <v>770</v>
      </c>
      <c r="E16" s="1159"/>
      <c r="F16" s="1159"/>
      <c r="G16" s="1159"/>
      <c r="H16" s="1159"/>
      <c r="I16" s="1159"/>
      <c r="J16" s="1176" t="s">
        <v>771</v>
      </c>
      <c r="K16" s="1176"/>
      <c r="L16" s="1176"/>
      <c r="M16" s="1176"/>
      <c r="N16" s="1176"/>
      <c r="O16" s="1177"/>
      <c r="P16" s="138"/>
    </row>
    <row r="17" spans="2:16" s="65" customFormat="1" ht="18" customHeight="1">
      <c r="B17" s="1173"/>
      <c r="C17" s="1174"/>
      <c r="D17" s="1174" t="s">
        <v>772</v>
      </c>
      <c r="E17" s="1174"/>
      <c r="F17" s="902" t="s">
        <v>441</v>
      </c>
      <c r="G17" s="902" t="s">
        <v>773</v>
      </c>
      <c r="H17" s="902" t="s">
        <v>774</v>
      </c>
      <c r="I17" s="902" t="s">
        <v>775</v>
      </c>
      <c r="J17" s="1178"/>
      <c r="K17" s="1178"/>
      <c r="L17" s="1178"/>
      <c r="M17" s="1178"/>
      <c r="N17" s="1178"/>
      <c r="O17" s="1179"/>
      <c r="P17" s="138"/>
    </row>
    <row r="18" spans="2:16" s="65" customFormat="1" ht="18" customHeight="1">
      <c r="B18" s="1173"/>
      <c r="C18" s="1174"/>
      <c r="D18" s="1174" t="s">
        <v>776</v>
      </c>
      <c r="E18" s="1174"/>
      <c r="F18" s="325">
        <v>0.05</v>
      </c>
      <c r="G18" s="325">
        <v>0.04</v>
      </c>
      <c r="H18" s="325">
        <v>0.04</v>
      </c>
      <c r="I18" s="1182" t="s">
        <v>777</v>
      </c>
      <c r="J18" s="1178"/>
      <c r="K18" s="1178"/>
      <c r="L18" s="1178"/>
      <c r="M18" s="1178"/>
      <c r="N18" s="1178"/>
      <c r="O18" s="1179"/>
      <c r="P18" s="138"/>
    </row>
    <row r="19" spans="2:16" s="65" customFormat="1" ht="18" customHeight="1">
      <c r="B19" s="1173"/>
      <c r="C19" s="1174"/>
      <c r="D19" s="1174" t="s">
        <v>59</v>
      </c>
      <c r="E19" s="1174"/>
      <c r="F19" s="325">
        <v>0.03</v>
      </c>
      <c r="G19" s="325">
        <v>0.03</v>
      </c>
      <c r="H19" s="325">
        <v>0.03</v>
      </c>
      <c r="I19" s="1182"/>
      <c r="J19" s="1178"/>
      <c r="K19" s="1178"/>
      <c r="L19" s="1178"/>
      <c r="M19" s="1178"/>
      <c r="N19" s="1178"/>
      <c r="O19" s="1179"/>
      <c r="P19" s="138"/>
    </row>
    <row r="20" spans="2:16" s="65" customFormat="1" ht="18" customHeight="1" thickBot="1">
      <c r="B20" s="1175"/>
      <c r="C20" s="1141"/>
      <c r="D20" s="1141" t="s">
        <v>60</v>
      </c>
      <c r="E20" s="1141"/>
      <c r="F20" s="848">
        <v>0.02</v>
      </c>
      <c r="G20" s="848">
        <v>0.02</v>
      </c>
      <c r="H20" s="848">
        <v>0.02</v>
      </c>
      <c r="I20" s="1183"/>
      <c r="J20" s="1180"/>
      <c r="K20" s="1180"/>
      <c r="L20" s="1180"/>
      <c r="M20" s="1180"/>
      <c r="N20" s="1180"/>
      <c r="O20" s="1181"/>
      <c r="P20" s="138"/>
    </row>
    <row r="21" spans="2:16" s="70" customFormat="1" ht="18" customHeight="1" thickBot="1">
      <c r="B21" s="1142" t="s">
        <v>778</v>
      </c>
      <c r="C21" s="1143"/>
      <c r="D21" s="1148" t="s">
        <v>779</v>
      </c>
      <c r="E21" s="1148"/>
      <c r="F21" s="1148"/>
      <c r="G21" s="1148"/>
      <c r="H21" s="1148"/>
      <c r="I21" s="1148"/>
      <c r="J21" s="1151" t="s">
        <v>780</v>
      </c>
      <c r="K21" s="1151"/>
      <c r="L21" s="1151"/>
      <c r="M21" s="1151"/>
      <c r="N21" s="1151"/>
      <c r="O21" s="1152"/>
    </row>
    <row r="22" spans="2:16" s="70" customFormat="1" ht="18" customHeight="1">
      <c r="B22" s="1144"/>
      <c r="C22" s="1145"/>
      <c r="D22" s="1149"/>
      <c r="E22" s="1149"/>
      <c r="F22" s="1149"/>
      <c r="G22" s="1149"/>
      <c r="H22" s="1149"/>
      <c r="I22" s="1149"/>
      <c r="J22" s="905" t="s">
        <v>762</v>
      </c>
      <c r="K22" s="905" t="s">
        <v>781</v>
      </c>
      <c r="L22" s="918" t="s">
        <v>782</v>
      </c>
      <c r="M22" s="416" t="s">
        <v>783</v>
      </c>
      <c r="N22" s="914" t="s">
        <v>784</v>
      </c>
      <c r="O22" s="905" t="s">
        <v>785</v>
      </c>
    </row>
    <row r="23" spans="2:16" s="70" customFormat="1" ht="18" customHeight="1" thickBot="1">
      <c r="B23" s="1146"/>
      <c r="C23" s="1147"/>
      <c r="D23" s="1150"/>
      <c r="E23" s="1150"/>
      <c r="F23" s="1150"/>
      <c r="G23" s="1150"/>
      <c r="H23" s="1150"/>
      <c r="I23" s="1150"/>
      <c r="J23" s="904" t="s">
        <v>37</v>
      </c>
      <c r="K23" s="592">
        <v>0.3</v>
      </c>
      <c r="L23" s="593">
        <v>0.25</v>
      </c>
      <c r="M23" s="456">
        <v>0.2</v>
      </c>
      <c r="N23" s="926">
        <v>0.15</v>
      </c>
      <c r="O23" s="592">
        <v>0.1</v>
      </c>
    </row>
    <row r="24" spans="2:16" s="70" customFormat="1" ht="21" customHeight="1">
      <c r="B24" s="1153" t="s">
        <v>786</v>
      </c>
      <c r="C24" s="1154"/>
      <c r="D24" s="1159" t="s">
        <v>787</v>
      </c>
      <c r="E24" s="1159"/>
      <c r="F24" s="1159"/>
      <c r="G24" s="1159"/>
      <c r="H24" s="1159"/>
      <c r="I24" s="1159"/>
      <c r="J24" s="1160"/>
      <c r="K24" s="1161" t="s">
        <v>788</v>
      </c>
      <c r="L24" s="1161"/>
      <c r="M24" s="1161"/>
      <c r="N24" s="1161"/>
      <c r="O24" s="1162"/>
    </row>
    <row r="25" spans="2:16" s="859" customFormat="1" ht="18" customHeight="1">
      <c r="B25" s="1155"/>
      <c r="C25" s="1156"/>
      <c r="D25" s="1165" t="s">
        <v>773</v>
      </c>
      <c r="E25" s="1165" t="s">
        <v>789</v>
      </c>
      <c r="F25" s="1165" t="s">
        <v>441</v>
      </c>
      <c r="G25" s="1165"/>
      <c r="H25" s="1165"/>
      <c r="I25" s="1165"/>
      <c r="J25" s="1165"/>
      <c r="K25" s="1161"/>
      <c r="L25" s="1161"/>
      <c r="M25" s="1161"/>
      <c r="N25" s="1161"/>
      <c r="O25" s="1162"/>
    </row>
    <row r="26" spans="2:16" s="859" customFormat="1" ht="18" customHeight="1" thickBot="1">
      <c r="B26" s="1155"/>
      <c r="C26" s="1156"/>
      <c r="D26" s="1165"/>
      <c r="E26" s="1165"/>
      <c r="F26" s="1137" t="s">
        <v>790</v>
      </c>
      <c r="G26" s="1138"/>
      <c r="H26" s="1138"/>
      <c r="I26" s="1138"/>
      <c r="J26" s="1138"/>
      <c r="K26" s="1161"/>
      <c r="L26" s="1161"/>
      <c r="M26" s="1161"/>
      <c r="N26" s="1161"/>
      <c r="O26" s="1162"/>
    </row>
    <row r="27" spans="2:16" s="859" customFormat="1" ht="18" customHeight="1">
      <c r="B27" s="1155"/>
      <c r="C27" s="1156"/>
      <c r="D27" s="1139">
        <v>0.8</v>
      </c>
      <c r="E27" s="1139">
        <v>0.5</v>
      </c>
      <c r="F27" s="860" t="s">
        <v>762</v>
      </c>
      <c r="G27" s="860" t="s">
        <v>791</v>
      </c>
      <c r="H27" s="860" t="s">
        <v>783</v>
      </c>
      <c r="I27" s="416" t="s">
        <v>792</v>
      </c>
      <c r="J27" s="860" t="s">
        <v>793</v>
      </c>
      <c r="K27" s="1161"/>
      <c r="L27" s="1161"/>
      <c r="M27" s="1161"/>
      <c r="N27" s="1161"/>
      <c r="O27" s="1162"/>
    </row>
    <row r="28" spans="2:16" ht="17.25" thickBot="1">
      <c r="B28" s="1157"/>
      <c r="C28" s="1158"/>
      <c r="D28" s="1140"/>
      <c r="E28" s="1140"/>
      <c r="F28" s="861" t="s">
        <v>37</v>
      </c>
      <c r="G28" s="862">
        <v>0.56999999999999995</v>
      </c>
      <c r="H28" s="862">
        <v>0.55000000000000004</v>
      </c>
      <c r="I28" s="456">
        <v>0.53</v>
      </c>
      <c r="J28" s="862">
        <v>0.5</v>
      </c>
      <c r="K28" s="1163"/>
      <c r="L28" s="1163"/>
      <c r="M28" s="1163"/>
      <c r="N28" s="1163"/>
      <c r="O28" s="1164"/>
    </row>
  </sheetData>
  <mergeCells count="37">
    <mergeCell ref="B12:C12"/>
    <mergeCell ref="D12:O12"/>
    <mergeCell ref="B1:O1"/>
    <mergeCell ref="B4:C4"/>
    <mergeCell ref="D4:I4"/>
    <mergeCell ref="J4:O4"/>
    <mergeCell ref="B5:C7"/>
    <mergeCell ref="D5:I7"/>
    <mergeCell ref="J5:O5"/>
    <mergeCell ref="B8:C8"/>
    <mergeCell ref="D8:I8"/>
    <mergeCell ref="J8:O8"/>
    <mergeCell ref="B11:C11"/>
    <mergeCell ref="D11:O11"/>
    <mergeCell ref="B15:C15"/>
    <mergeCell ref="D15:I15"/>
    <mergeCell ref="J15:O15"/>
    <mergeCell ref="B16:C20"/>
    <mergeCell ref="D16:I16"/>
    <mergeCell ref="J16:O20"/>
    <mergeCell ref="D17:E17"/>
    <mergeCell ref="D18:E18"/>
    <mergeCell ref="I18:I20"/>
    <mergeCell ref="D19:E19"/>
    <mergeCell ref="F26:J26"/>
    <mergeCell ref="D27:D28"/>
    <mergeCell ref="E27:E28"/>
    <mergeCell ref="D20:E20"/>
    <mergeCell ref="B21:C23"/>
    <mergeCell ref="D21:I23"/>
    <mergeCell ref="J21:O21"/>
    <mergeCell ref="B24:C28"/>
    <mergeCell ref="D24:J24"/>
    <mergeCell ref="K24:O28"/>
    <mergeCell ref="D25:D26"/>
    <mergeCell ref="E25:E26"/>
    <mergeCell ref="F25:J25"/>
  </mergeCells>
  <phoneticPr fontId="100" type="noConversion"/>
  <printOptions horizontalCentered="1"/>
  <pageMargins left="0.31496062992125984" right="0.31496062992125984" top="0.31496062992125984" bottom="0.31496062992125984" header="0" footer="0"/>
  <pageSetup paperSize="9" scale="8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29"/>
  <sheetViews>
    <sheetView zoomScaleNormal="100" workbookViewId="0">
      <selection activeCell="B1" sqref="B1:AC1"/>
    </sheetView>
  </sheetViews>
  <sheetFormatPr defaultColWidth="9.125" defaultRowHeight="18" customHeight="1"/>
  <cols>
    <col min="1" max="1" width="0.625" style="55" customWidth="1"/>
    <col min="2" max="2" width="5.625" style="55" customWidth="1"/>
    <col min="3" max="3" width="19.5" style="55" customWidth="1"/>
    <col min="4" max="4" width="10.375" style="55" customWidth="1"/>
    <col min="5" max="5" width="8.375" style="55" customWidth="1"/>
    <col min="6" max="6" width="8.625" style="55" customWidth="1"/>
    <col min="7" max="7" width="9.75" style="55" bestFit="1" customWidth="1"/>
    <col min="8" max="10" width="8.125" style="55" customWidth="1"/>
    <col min="11" max="11" width="10.5" style="55" bestFit="1" customWidth="1"/>
    <col min="12" max="26" width="8.625" style="55" customWidth="1"/>
    <col min="27" max="16384" width="9.125" style="55"/>
  </cols>
  <sheetData>
    <row r="1" spans="1:36" ht="30" customHeight="1" thickBot="1">
      <c r="B1" s="1201" t="s">
        <v>1715</v>
      </c>
      <c r="C1" s="1201"/>
      <c r="D1" s="1201"/>
      <c r="E1" s="1201"/>
      <c r="F1" s="1201"/>
      <c r="G1" s="1201"/>
      <c r="H1" s="1201"/>
      <c r="I1" s="1201"/>
      <c r="J1" s="1201"/>
      <c r="K1" s="1201"/>
      <c r="L1" s="1201"/>
      <c r="M1" s="1201"/>
      <c r="N1" s="1201"/>
      <c r="O1" s="1201"/>
      <c r="P1" s="1201"/>
      <c r="Q1" s="1201"/>
      <c r="R1" s="1201"/>
      <c r="S1" s="1201"/>
      <c r="T1" s="1201"/>
      <c r="U1" s="1201"/>
      <c r="V1" s="1201"/>
      <c r="W1" s="1201"/>
      <c r="X1" s="1201"/>
      <c r="Y1" s="1201"/>
      <c r="Z1" s="1201"/>
      <c r="AA1" s="1201"/>
      <c r="AB1" s="1201"/>
      <c r="AC1" s="1201"/>
    </row>
    <row r="2" spans="1:36" s="235" customFormat="1" ht="6" customHeight="1" thickTop="1">
      <c r="A2" s="65"/>
      <c r="B2" s="64"/>
      <c r="C2" s="64"/>
      <c r="D2" s="64"/>
      <c r="E2" s="64"/>
      <c r="F2" s="64"/>
      <c r="G2" s="64"/>
      <c r="H2" s="65"/>
      <c r="I2" s="65"/>
      <c r="J2" s="65"/>
      <c r="K2" s="64"/>
      <c r="L2" s="66"/>
      <c r="M2" s="65"/>
      <c r="N2" s="65"/>
      <c r="O2" s="65"/>
      <c r="P2" s="65"/>
      <c r="Q2" s="65"/>
      <c r="R2" s="65"/>
      <c r="S2" s="65"/>
      <c r="T2" s="65"/>
      <c r="U2" s="65"/>
      <c r="V2" s="65"/>
      <c r="W2" s="65"/>
      <c r="X2" s="65"/>
      <c r="Y2" s="65"/>
      <c r="Z2" s="65"/>
      <c r="AA2" s="65"/>
      <c r="AB2" s="65"/>
      <c r="AC2" s="65"/>
      <c r="AD2" s="65"/>
      <c r="AE2" s="65"/>
      <c r="AF2" s="65"/>
      <c r="AG2" s="65"/>
      <c r="AH2" s="65"/>
      <c r="AI2" s="65"/>
      <c r="AJ2" s="65"/>
    </row>
    <row r="3" spans="1:36" s="262" customFormat="1" ht="18" customHeight="1">
      <c r="B3" s="350" t="s">
        <v>748</v>
      </c>
      <c r="C3" s="261"/>
      <c r="D3" s="261"/>
      <c r="E3" s="261"/>
      <c r="F3" s="261"/>
      <c r="L3" s="263"/>
    </row>
    <row r="4" spans="1:36" s="235" customFormat="1" ht="6" customHeight="1" thickBot="1">
      <c r="A4" s="65"/>
      <c r="B4" s="64"/>
      <c r="C4" s="64"/>
      <c r="D4" s="64"/>
      <c r="E4" s="64"/>
      <c r="F4" s="64"/>
      <c r="G4" s="64"/>
      <c r="H4" s="65"/>
      <c r="I4" s="65"/>
      <c r="J4" s="65"/>
      <c r="K4" s="64"/>
      <c r="L4" s="66"/>
      <c r="M4" s="65"/>
      <c r="N4" s="65"/>
      <c r="O4" s="65"/>
      <c r="P4" s="65"/>
      <c r="Q4" s="65"/>
      <c r="R4" s="65"/>
      <c r="S4" s="65"/>
      <c r="T4" s="65"/>
      <c r="U4" s="65"/>
      <c r="V4" s="65"/>
      <c r="W4" s="65"/>
      <c r="X4" s="65"/>
      <c r="Y4" s="65"/>
      <c r="Z4" s="65"/>
      <c r="AA4" s="65"/>
      <c r="AB4" s="65"/>
      <c r="AC4" s="65"/>
      <c r="AD4" s="65"/>
      <c r="AE4" s="65"/>
      <c r="AF4" s="65"/>
      <c r="AG4" s="65"/>
      <c r="AH4" s="65"/>
      <c r="AI4" s="65"/>
      <c r="AJ4" s="65"/>
    </row>
    <row r="5" spans="1:36" s="450" customFormat="1" ht="33" customHeight="1">
      <c r="B5" s="1202" t="s">
        <v>794</v>
      </c>
      <c r="C5" s="1203"/>
      <c r="D5" s="1204"/>
      <c r="E5" s="1205" t="s">
        <v>795</v>
      </c>
      <c r="F5" s="1207" t="s">
        <v>796</v>
      </c>
      <c r="G5" s="1209" t="s">
        <v>797</v>
      </c>
      <c r="H5" s="1211" t="s">
        <v>798</v>
      </c>
      <c r="I5" s="1211"/>
      <c r="J5" s="1212"/>
      <c r="K5" s="683" t="s">
        <v>799</v>
      </c>
      <c r="L5" s="1213" t="s">
        <v>800</v>
      </c>
      <c r="M5" s="1214"/>
      <c r="N5" s="1215"/>
      <c r="O5" s="1216" t="s">
        <v>801</v>
      </c>
      <c r="P5" s="1217"/>
      <c r="Q5" s="233">
        <v>0.93</v>
      </c>
      <c r="R5" s="1216" t="s">
        <v>802</v>
      </c>
      <c r="S5" s="1217"/>
      <c r="T5" s="233">
        <v>0.86</v>
      </c>
      <c r="U5" s="1216" t="s">
        <v>803</v>
      </c>
      <c r="V5" s="1217"/>
      <c r="W5" s="233">
        <v>0.83</v>
      </c>
      <c r="X5" s="1216" t="s">
        <v>804</v>
      </c>
      <c r="Y5" s="1217"/>
      <c r="Z5" s="233">
        <v>0.75</v>
      </c>
      <c r="AA5" s="1218" t="s">
        <v>805</v>
      </c>
      <c r="AB5" s="1219"/>
      <c r="AC5" s="233">
        <v>0.7</v>
      </c>
    </row>
    <row r="6" spans="1:36" s="450" customFormat="1" ht="24.75" thickBot="1">
      <c r="B6" s="909" t="s">
        <v>806</v>
      </c>
      <c r="C6" s="917" t="s">
        <v>807</v>
      </c>
      <c r="D6" s="428" t="s">
        <v>808</v>
      </c>
      <c r="E6" s="1206"/>
      <c r="F6" s="1208"/>
      <c r="G6" s="1210"/>
      <c r="H6" s="452" t="s">
        <v>809</v>
      </c>
      <c r="I6" s="452" t="s">
        <v>810</v>
      </c>
      <c r="J6" s="453" t="s">
        <v>811</v>
      </c>
      <c r="K6" s="618">
        <v>0.2</v>
      </c>
      <c r="L6" s="922" t="s">
        <v>812</v>
      </c>
      <c r="M6" s="923" t="s">
        <v>813</v>
      </c>
      <c r="N6" s="924" t="s">
        <v>814</v>
      </c>
      <c r="O6" s="922" t="s">
        <v>815</v>
      </c>
      <c r="P6" s="923" t="s">
        <v>816</v>
      </c>
      <c r="Q6" s="924" t="s">
        <v>817</v>
      </c>
      <c r="R6" s="922" t="s">
        <v>818</v>
      </c>
      <c r="S6" s="923" t="s">
        <v>819</v>
      </c>
      <c r="T6" s="924" t="s">
        <v>820</v>
      </c>
      <c r="U6" s="922" t="s">
        <v>821</v>
      </c>
      <c r="V6" s="923" t="s">
        <v>813</v>
      </c>
      <c r="W6" s="924" t="s">
        <v>822</v>
      </c>
      <c r="X6" s="922" t="s">
        <v>815</v>
      </c>
      <c r="Y6" s="923" t="s">
        <v>819</v>
      </c>
      <c r="Z6" s="924" t="s">
        <v>823</v>
      </c>
      <c r="AA6" s="925" t="s">
        <v>821</v>
      </c>
      <c r="AB6" s="923" t="s">
        <v>819</v>
      </c>
      <c r="AC6" s="924" t="s">
        <v>822</v>
      </c>
      <c r="AD6" s="280"/>
      <c r="AE6" s="280"/>
      <c r="AF6" s="280"/>
      <c r="AG6" s="280"/>
      <c r="AH6" s="280"/>
    </row>
    <row r="7" spans="1:36" ht="18" customHeight="1">
      <c r="B7" s="1220" t="s">
        <v>824</v>
      </c>
      <c r="C7" s="1222" t="s">
        <v>825</v>
      </c>
      <c r="D7" s="1223"/>
      <c r="E7" s="1224">
        <v>1000</v>
      </c>
      <c r="F7" s="1226">
        <f>E7*D8*12</f>
        <v>8160</v>
      </c>
      <c r="G7" s="1226">
        <f>F7*53%</f>
        <v>4324.8</v>
      </c>
      <c r="H7" s="1226">
        <f>F7*5%*12</f>
        <v>4896</v>
      </c>
      <c r="I7" s="1228">
        <f>F7*3%*12</f>
        <v>2937.6</v>
      </c>
      <c r="J7" s="1230">
        <f>F7*2%*12</f>
        <v>1958.4</v>
      </c>
      <c r="K7" s="1226">
        <f>F7*$K$6</f>
        <v>1632</v>
      </c>
      <c r="L7" s="472">
        <f>G7+(H7/12)+K7</f>
        <v>6364.8</v>
      </c>
      <c r="M7" s="473">
        <f>G7+H7+K7</f>
        <v>10852.8</v>
      </c>
      <c r="N7" s="441">
        <f>G7+H7+I7+J7+K7</f>
        <v>15748.8</v>
      </c>
      <c r="O7" s="472">
        <f>L7*$Q$5</f>
        <v>5919.2640000000001</v>
      </c>
      <c r="P7" s="473">
        <f>$M7*$Q$5</f>
        <v>10093.103999999999</v>
      </c>
      <c r="Q7" s="441">
        <f>N7*$Q$5</f>
        <v>14646.384</v>
      </c>
      <c r="R7" s="708">
        <f>L7*$T$5</f>
        <v>5473.7280000000001</v>
      </c>
      <c r="S7" s="709">
        <f>$M7*$T$5</f>
        <v>9333.4079999999994</v>
      </c>
      <c r="T7" s="710">
        <f>N7*$T$5</f>
        <v>13543.967999999999</v>
      </c>
      <c r="U7" s="472">
        <f>L7*$W$5</f>
        <v>5282.7839999999997</v>
      </c>
      <c r="V7" s="473">
        <f>$M7*$W$5</f>
        <v>9007.8239999999987</v>
      </c>
      <c r="W7" s="441">
        <f>N7*$W$5</f>
        <v>13071.503999999999</v>
      </c>
      <c r="X7" s="472">
        <f>L7*$Z$5</f>
        <v>4773.6000000000004</v>
      </c>
      <c r="Y7" s="473">
        <f>$M7*$Z$5</f>
        <v>8139.5999999999995</v>
      </c>
      <c r="Z7" s="441">
        <f>N7*$Z$5</f>
        <v>11811.599999999999</v>
      </c>
      <c r="AA7" s="474">
        <f>L7*$AC$5</f>
        <v>4455.3599999999997</v>
      </c>
      <c r="AB7" s="473">
        <f>$M7*$AC$5</f>
        <v>7596.9599999999991</v>
      </c>
      <c r="AC7" s="441">
        <f>N7*$AC$5</f>
        <v>11024.159999999998</v>
      </c>
      <c r="AD7" s="280"/>
      <c r="AE7" s="280"/>
      <c r="AF7" s="280"/>
      <c r="AG7" s="280"/>
      <c r="AH7" s="280"/>
      <c r="AI7" s="280"/>
    </row>
    <row r="8" spans="1:36" ht="18" customHeight="1">
      <c r="B8" s="1221"/>
      <c r="C8" s="320" t="s">
        <v>826</v>
      </c>
      <c r="D8" s="105">
        <v>0.68</v>
      </c>
      <c r="E8" s="1225"/>
      <c r="F8" s="1227"/>
      <c r="G8" s="1227"/>
      <c r="H8" s="1227"/>
      <c r="I8" s="1229"/>
      <c r="J8" s="1231"/>
      <c r="K8" s="1227"/>
      <c r="L8" s="180">
        <f>L7/E7</f>
        <v>6.3647999999999998</v>
      </c>
      <c r="M8" s="183">
        <f>M7/E7</f>
        <v>10.852799999999998</v>
      </c>
      <c r="N8" s="182">
        <f>N7/E7</f>
        <v>15.748799999999999</v>
      </c>
      <c r="O8" s="180">
        <f>O7/E7</f>
        <v>5.9192640000000001</v>
      </c>
      <c r="P8" s="183">
        <f>P7/E7</f>
        <v>10.093103999999999</v>
      </c>
      <c r="Q8" s="182">
        <f>Q7/E7</f>
        <v>14.646383999999999</v>
      </c>
      <c r="R8" s="180">
        <f>R7/E7</f>
        <v>5.4737280000000004</v>
      </c>
      <c r="S8" s="183">
        <f>S7/E7</f>
        <v>9.3334079999999986</v>
      </c>
      <c r="T8" s="182">
        <f>T7/E7</f>
        <v>13.543968</v>
      </c>
      <c r="U8" s="180">
        <f>U7/E7</f>
        <v>5.2827839999999995</v>
      </c>
      <c r="V8" s="183">
        <f>V7/E7</f>
        <v>9.0078239999999994</v>
      </c>
      <c r="W8" s="182">
        <f>W7/E7</f>
        <v>13.071503999999999</v>
      </c>
      <c r="X8" s="180">
        <f>X7/E7</f>
        <v>4.7736000000000001</v>
      </c>
      <c r="Y8" s="183">
        <f>Y7/E7</f>
        <v>8.1395999999999997</v>
      </c>
      <c r="Z8" s="182">
        <f>Z7/E7</f>
        <v>11.811599999999999</v>
      </c>
      <c r="AA8" s="181">
        <f>AA7/E7</f>
        <v>4.4553599999999998</v>
      </c>
      <c r="AB8" s="183">
        <f>AB7/E7</f>
        <v>7.5969599999999993</v>
      </c>
      <c r="AC8" s="182">
        <f>AC7/E7</f>
        <v>11.024159999999998</v>
      </c>
      <c r="AD8" s="280"/>
      <c r="AE8" s="280"/>
      <c r="AF8" s="280"/>
      <c r="AG8" s="280"/>
      <c r="AH8" s="280"/>
      <c r="AI8" s="280"/>
    </row>
    <row r="9" spans="1:36" ht="18" customHeight="1">
      <c r="B9" s="1221"/>
      <c r="C9" s="1232" t="s">
        <v>1065</v>
      </c>
      <c r="D9" s="1233"/>
      <c r="E9" s="1225">
        <v>1000</v>
      </c>
      <c r="F9" s="1227">
        <f>E9*D10*12</f>
        <v>8640</v>
      </c>
      <c r="G9" s="1227">
        <f>F9*53%</f>
        <v>4579.2</v>
      </c>
      <c r="H9" s="1227">
        <f>F9*5%*12</f>
        <v>5184</v>
      </c>
      <c r="I9" s="1234">
        <f>F9*3%*12</f>
        <v>3110.3999999999996</v>
      </c>
      <c r="J9" s="1231">
        <f>F9*2%*12</f>
        <v>2073.6000000000004</v>
      </c>
      <c r="K9" s="1227">
        <f>F9*$K$6</f>
        <v>1728</v>
      </c>
      <c r="L9" s="440">
        <f>G9+(H9/12)+K9</f>
        <v>6739.2</v>
      </c>
      <c r="M9" s="596">
        <f>G9+H9+K9</f>
        <v>11491.2</v>
      </c>
      <c r="N9" s="443">
        <f>G9+H9+I9+J9+K9</f>
        <v>16675.2</v>
      </c>
      <c r="O9" s="440">
        <f>L9*$Q$5</f>
        <v>6267.4560000000001</v>
      </c>
      <c r="P9" s="596">
        <f>$M9*$Q$5</f>
        <v>10686.816000000001</v>
      </c>
      <c r="Q9" s="443">
        <f>N9*$Q$5</f>
        <v>15507.936000000002</v>
      </c>
      <c r="R9" s="711">
        <f>L9*$T$5</f>
        <v>5795.7119999999995</v>
      </c>
      <c r="S9" s="712">
        <f>$M9*$T$5</f>
        <v>9882.4320000000007</v>
      </c>
      <c r="T9" s="713">
        <f>N9*$T$5</f>
        <v>14340.672</v>
      </c>
      <c r="U9" s="440">
        <f>L9*$W$5</f>
        <v>5593.5359999999991</v>
      </c>
      <c r="V9" s="596">
        <f>$M9*$W$5</f>
        <v>9537.6959999999999</v>
      </c>
      <c r="W9" s="443">
        <f>N9*$W$5</f>
        <v>13840.415999999999</v>
      </c>
      <c r="X9" s="440">
        <f>L9*$Z$5</f>
        <v>5054.3999999999996</v>
      </c>
      <c r="Y9" s="596">
        <f>$M9*$Z$5</f>
        <v>8618.4000000000015</v>
      </c>
      <c r="Z9" s="443">
        <f>N9*$Z$5</f>
        <v>12506.400000000001</v>
      </c>
      <c r="AA9" s="442">
        <f>L9*$AC$5</f>
        <v>4717.4399999999996</v>
      </c>
      <c r="AB9" s="596">
        <f>$M9*$AC$5</f>
        <v>8043.84</v>
      </c>
      <c r="AC9" s="443">
        <f>N9*$AC$5</f>
        <v>11672.64</v>
      </c>
      <c r="AD9" s="280"/>
      <c r="AE9" s="280"/>
      <c r="AF9" s="280"/>
      <c r="AG9" s="280"/>
      <c r="AH9" s="280"/>
      <c r="AI9" s="280"/>
    </row>
    <row r="10" spans="1:36" ht="18" customHeight="1" thickBot="1">
      <c r="B10" s="1221"/>
      <c r="C10" s="320" t="s">
        <v>827</v>
      </c>
      <c r="D10" s="105">
        <v>0.72</v>
      </c>
      <c r="E10" s="1225"/>
      <c r="F10" s="1227"/>
      <c r="G10" s="1227"/>
      <c r="H10" s="1227"/>
      <c r="I10" s="1229"/>
      <c r="J10" s="1231"/>
      <c r="K10" s="1227"/>
      <c r="L10" s="180">
        <f>L9/E9</f>
        <v>6.7391999999999994</v>
      </c>
      <c r="M10" s="183">
        <f>M9/E9</f>
        <v>11.491200000000001</v>
      </c>
      <c r="N10" s="182">
        <f>N9/E9</f>
        <v>16.6752</v>
      </c>
      <c r="O10" s="180">
        <f>O9/E9</f>
        <v>6.2674560000000001</v>
      </c>
      <c r="P10" s="183">
        <f>P9/E9</f>
        <v>10.686816</v>
      </c>
      <c r="Q10" s="182">
        <f>Q9/E9</f>
        <v>15.507936000000001</v>
      </c>
      <c r="R10" s="180">
        <f>R9/E9</f>
        <v>5.795712</v>
      </c>
      <c r="S10" s="183">
        <f>S9/E9</f>
        <v>9.8824320000000014</v>
      </c>
      <c r="T10" s="182">
        <f>T9/E9</f>
        <v>14.340672</v>
      </c>
      <c r="U10" s="180">
        <f>U9/E9</f>
        <v>5.5935359999999994</v>
      </c>
      <c r="V10" s="183">
        <f>V9/E9</f>
        <v>9.5376960000000004</v>
      </c>
      <c r="W10" s="182">
        <f>W9/E9</f>
        <v>13.840415999999999</v>
      </c>
      <c r="X10" s="180">
        <f>X9/E9</f>
        <v>5.0543999999999993</v>
      </c>
      <c r="Y10" s="183">
        <f>Y9/E9</f>
        <v>8.6184000000000012</v>
      </c>
      <c r="Z10" s="182">
        <f>Z9/E9</f>
        <v>12.506400000000001</v>
      </c>
      <c r="AA10" s="181">
        <f>AA9/E9</f>
        <v>4.7174399999999999</v>
      </c>
      <c r="AB10" s="183">
        <f>AB9/E9</f>
        <v>8.0438399999999994</v>
      </c>
      <c r="AC10" s="182">
        <f>AC9/E9</f>
        <v>11.672639999999999</v>
      </c>
      <c r="AD10" s="280"/>
      <c r="AE10" s="280"/>
      <c r="AF10" s="280"/>
      <c r="AG10" s="280"/>
      <c r="AH10" s="280"/>
      <c r="AI10" s="280"/>
    </row>
    <row r="11" spans="1:36" s="497" customFormat="1" ht="18" customHeight="1">
      <c r="B11" s="1220" t="s">
        <v>828</v>
      </c>
      <c r="C11" s="1236" t="s">
        <v>1064</v>
      </c>
      <c r="D11" s="1237"/>
      <c r="E11" s="1238">
        <v>1000</v>
      </c>
      <c r="F11" s="1228">
        <f>E11*D12*12</f>
        <v>2880</v>
      </c>
      <c r="G11" s="1228">
        <f>F11*80%</f>
        <v>2304</v>
      </c>
      <c r="H11" s="1228">
        <f>F11*4%*12</f>
        <v>1382.4</v>
      </c>
      <c r="I11" s="1228">
        <f>F11*3%*12</f>
        <v>1036.8</v>
      </c>
      <c r="J11" s="1228">
        <f>F11*2%*12</f>
        <v>691.2</v>
      </c>
      <c r="K11" s="1240">
        <f t="shared" ref="K11" si="0">F11*$K$6</f>
        <v>576</v>
      </c>
      <c r="L11" s="472">
        <f>G11+(H11/12)+K11</f>
        <v>2995.2</v>
      </c>
      <c r="M11" s="473">
        <f>G11+H11+K11</f>
        <v>4262.3999999999996</v>
      </c>
      <c r="N11" s="441">
        <f>G11+H11+I11+J11+K11</f>
        <v>5990.4</v>
      </c>
      <c r="O11" s="472">
        <f>L11*$Q$5</f>
        <v>2785.5360000000001</v>
      </c>
      <c r="P11" s="473">
        <f>$M11*$Q$5</f>
        <v>3964.0319999999997</v>
      </c>
      <c r="Q11" s="441">
        <f>N11*$Q$5</f>
        <v>5571.0720000000001</v>
      </c>
      <c r="R11" s="708">
        <f>L11*$T$5</f>
        <v>2575.8719999999998</v>
      </c>
      <c r="S11" s="709">
        <f>$M11*$T$5</f>
        <v>3665.6639999999998</v>
      </c>
      <c r="T11" s="710">
        <f>N11*$T$5</f>
        <v>5151.7439999999997</v>
      </c>
      <c r="U11" s="472">
        <f>L11*$W$5</f>
        <v>2486.0159999999996</v>
      </c>
      <c r="V11" s="473">
        <f>$M11*$W$5</f>
        <v>3537.7919999999995</v>
      </c>
      <c r="W11" s="441">
        <f>N11*$W$5</f>
        <v>4972.0319999999992</v>
      </c>
      <c r="X11" s="472">
        <f>L11*$Z$5</f>
        <v>2246.3999999999996</v>
      </c>
      <c r="Y11" s="473">
        <f>$M11*$Z$5</f>
        <v>3196.7999999999997</v>
      </c>
      <c r="Z11" s="441">
        <f>N11*$Z$5</f>
        <v>4492.7999999999993</v>
      </c>
      <c r="AA11" s="474">
        <f>L11*$AC$5</f>
        <v>2096.64</v>
      </c>
      <c r="AB11" s="473">
        <f>$M11*$AC$5</f>
        <v>2983.6799999999994</v>
      </c>
      <c r="AC11" s="441">
        <f>N11*$AC$5</f>
        <v>4193.28</v>
      </c>
      <c r="AD11" s="280"/>
      <c r="AE11" s="280"/>
      <c r="AF11" s="280"/>
      <c r="AG11" s="280"/>
      <c r="AH11" s="280"/>
    </row>
    <row r="12" spans="1:36" s="497" customFormat="1" ht="18" customHeight="1">
      <c r="B12" s="1221"/>
      <c r="C12" s="320" t="s">
        <v>829</v>
      </c>
      <c r="D12" s="704">
        <v>0.24</v>
      </c>
      <c r="E12" s="1239"/>
      <c r="F12" s="1229"/>
      <c r="G12" s="1229"/>
      <c r="H12" s="1229"/>
      <c r="I12" s="1229"/>
      <c r="J12" s="1229"/>
      <c r="K12" s="1241"/>
      <c r="L12" s="180">
        <f>L11/E11</f>
        <v>2.9951999999999996</v>
      </c>
      <c r="M12" s="183">
        <f>M11/E11</f>
        <v>4.2623999999999995</v>
      </c>
      <c r="N12" s="182">
        <f>N11/E11</f>
        <v>5.9903999999999993</v>
      </c>
      <c r="O12" s="180">
        <f>O11/E11</f>
        <v>2.785536</v>
      </c>
      <c r="P12" s="183">
        <f>P11/E11</f>
        <v>3.9640319999999996</v>
      </c>
      <c r="Q12" s="182">
        <f>Q11/E11</f>
        <v>5.571072</v>
      </c>
      <c r="R12" s="180">
        <f>R11/E11</f>
        <v>2.5758719999999999</v>
      </c>
      <c r="S12" s="183">
        <f>S11/E11</f>
        <v>3.6656639999999996</v>
      </c>
      <c r="T12" s="182">
        <f>T11/E11</f>
        <v>5.1517439999999999</v>
      </c>
      <c r="U12" s="180">
        <f>U11/E11</f>
        <v>2.4860159999999998</v>
      </c>
      <c r="V12" s="183">
        <f>V11/E11</f>
        <v>3.5377919999999996</v>
      </c>
      <c r="W12" s="182">
        <f>W11/E11</f>
        <v>4.9720319999999996</v>
      </c>
      <c r="X12" s="180">
        <f>X11/E11</f>
        <v>2.2463999999999995</v>
      </c>
      <c r="Y12" s="183">
        <f>Y11/E11</f>
        <v>3.1967999999999996</v>
      </c>
      <c r="Z12" s="182">
        <f>Z11/E11</f>
        <v>4.492799999999999</v>
      </c>
      <c r="AA12" s="181">
        <f>AA11/E11</f>
        <v>2.0966399999999998</v>
      </c>
      <c r="AB12" s="183">
        <f>AB11/E11</f>
        <v>2.9836799999999992</v>
      </c>
      <c r="AC12" s="182">
        <f>AC11/E11</f>
        <v>4.1932799999999997</v>
      </c>
      <c r="AD12" s="280"/>
      <c r="AE12" s="280"/>
      <c r="AF12" s="280"/>
      <c r="AG12" s="280"/>
      <c r="AH12" s="280"/>
    </row>
    <row r="13" spans="1:36" s="497" customFormat="1" ht="18" customHeight="1">
      <c r="B13" s="1221"/>
      <c r="C13" s="1242" t="s">
        <v>830</v>
      </c>
      <c r="D13" s="1243"/>
      <c r="E13" s="1244">
        <v>1000</v>
      </c>
      <c r="F13" s="1246">
        <f>E13*D14*12</f>
        <v>3060</v>
      </c>
      <c r="G13" s="1246">
        <f>F13*80%</f>
        <v>2448</v>
      </c>
      <c r="H13" s="1246">
        <f>F13*4%*12</f>
        <v>1468.8000000000002</v>
      </c>
      <c r="I13" s="1246">
        <f>F13*3%*12</f>
        <v>1101.5999999999999</v>
      </c>
      <c r="J13" s="1246">
        <f>F13*2%*12</f>
        <v>734.40000000000009</v>
      </c>
      <c r="K13" s="1248">
        <f t="shared" ref="K13" si="1">F13*$K$6</f>
        <v>612</v>
      </c>
      <c r="L13" s="446">
        <f>G13+(H13/12)+K13</f>
        <v>3182.4</v>
      </c>
      <c r="M13" s="910">
        <f>G13+H13+K13</f>
        <v>4528.8</v>
      </c>
      <c r="N13" s="911">
        <f>G13+H13+I13+J13+K13</f>
        <v>6364.7999999999993</v>
      </c>
      <c r="O13" s="446">
        <f>L13*$Q$5</f>
        <v>2959.6320000000001</v>
      </c>
      <c r="P13" s="910">
        <f>$M13*$Q$5</f>
        <v>4211.7840000000006</v>
      </c>
      <c r="Q13" s="911">
        <f>N13*$Q$5</f>
        <v>5919.2639999999992</v>
      </c>
      <c r="R13" s="714">
        <f>L13*$T$5</f>
        <v>2736.864</v>
      </c>
      <c r="S13" s="715">
        <f>$M13*$T$5</f>
        <v>3894.768</v>
      </c>
      <c r="T13" s="716">
        <f>N13*$T$5</f>
        <v>5473.7279999999992</v>
      </c>
      <c r="U13" s="446">
        <f>L13*$W$5</f>
        <v>2641.3919999999998</v>
      </c>
      <c r="V13" s="910">
        <f>$M13*$W$5</f>
        <v>3758.904</v>
      </c>
      <c r="W13" s="911">
        <f>N13*$W$5</f>
        <v>5282.7839999999987</v>
      </c>
      <c r="X13" s="446">
        <f>L13*$Z$5</f>
        <v>2386.8000000000002</v>
      </c>
      <c r="Y13" s="910">
        <f>$M13*$Z$5</f>
        <v>3396.6000000000004</v>
      </c>
      <c r="Z13" s="911">
        <f>N13*$Z$5</f>
        <v>4773.5999999999995</v>
      </c>
      <c r="AA13" s="447">
        <f>L13*$AC$5</f>
        <v>2227.6799999999998</v>
      </c>
      <c r="AB13" s="910">
        <f>$M13*$AC$5</f>
        <v>3170.16</v>
      </c>
      <c r="AC13" s="911">
        <f>N13*$AC$5</f>
        <v>4455.3599999999988</v>
      </c>
      <c r="AD13" s="280"/>
      <c r="AE13" s="280"/>
      <c r="AF13" s="280"/>
      <c r="AG13" s="280"/>
      <c r="AH13" s="280"/>
    </row>
    <row r="14" spans="1:36" s="497" customFormat="1" ht="18" customHeight="1" thickBot="1">
      <c r="B14" s="1235"/>
      <c r="C14" s="321" t="s">
        <v>831</v>
      </c>
      <c r="D14" s="622">
        <v>0.255</v>
      </c>
      <c r="E14" s="1245"/>
      <c r="F14" s="1247"/>
      <c r="G14" s="1247"/>
      <c r="H14" s="1247"/>
      <c r="I14" s="1247"/>
      <c r="J14" s="1247"/>
      <c r="K14" s="1249"/>
      <c r="L14" s="170">
        <f>L13/E13</f>
        <v>3.1823999999999999</v>
      </c>
      <c r="M14" s="171">
        <f>M13/E13</f>
        <v>4.5288000000000004</v>
      </c>
      <c r="N14" s="172">
        <f>N13/E13</f>
        <v>6.3647999999999989</v>
      </c>
      <c r="O14" s="170">
        <f>O13/E13</f>
        <v>2.959632</v>
      </c>
      <c r="P14" s="171">
        <f>P13/E13</f>
        <v>4.2117840000000006</v>
      </c>
      <c r="Q14" s="172">
        <f>Q13/E13</f>
        <v>5.9192639999999992</v>
      </c>
      <c r="R14" s="170">
        <f>R13/E13</f>
        <v>2.7368640000000002</v>
      </c>
      <c r="S14" s="171">
        <f>S13/E13</f>
        <v>3.894768</v>
      </c>
      <c r="T14" s="172">
        <f>T13/E13</f>
        <v>5.4737279999999995</v>
      </c>
      <c r="U14" s="170">
        <f>U13/E13</f>
        <v>2.6413919999999997</v>
      </c>
      <c r="V14" s="171">
        <f>V13/E13</f>
        <v>3.7589039999999998</v>
      </c>
      <c r="W14" s="172">
        <f>W13/E13</f>
        <v>5.2827839999999986</v>
      </c>
      <c r="X14" s="170">
        <f>X13/E13</f>
        <v>2.3868</v>
      </c>
      <c r="Y14" s="171">
        <f>Y13/E13</f>
        <v>3.3966000000000003</v>
      </c>
      <c r="Z14" s="172">
        <f>Z13/E13</f>
        <v>4.7735999999999992</v>
      </c>
      <c r="AA14" s="186">
        <f>AA13/E13</f>
        <v>2.2276799999999999</v>
      </c>
      <c r="AB14" s="171">
        <f>AB13/E13</f>
        <v>3.1701599999999996</v>
      </c>
      <c r="AC14" s="172">
        <f>AC13/E13</f>
        <v>4.4553599999999989</v>
      </c>
      <c r="AD14" s="280"/>
      <c r="AE14" s="280"/>
      <c r="AF14" s="280"/>
      <c r="AG14" s="280"/>
      <c r="AH14" s="280"/>
    </row>
    <row r="15" spans="1:36" s="497" customFormat="1" ht="18" customHeight="1">
      <c r="B15" s="1256" t="s">
        <v>832</v>
      </c>
      <c r="C15" s="1258" t="s">
        <v>833</v>
      </c>
      <c r="D15" s="1259"/>
      <c r="E15" s="1239">
        <v>1000</v>
      </c>
      <c r="F15" s="1229">
        <f>E15*D16*12</f>
        <v>840</v>
      </c>
      <c r="G15" s="1229">
        <f>F15*50%</f>
        <v>420</v>
      </c>
      <c r="H15" s="1229">
        <f>F15*4%*12</f>
        <v>403.20000000000005</v>
      </c>
      <c r="I15" s="1246">
        <f>F15*3%*12</f>
        <v>302.39999999999998</v>
      </c>
      <c r="J15" s="1250">
        <f>F15*2%*12</f>
        <v>201.60000000000002</v>
      </c>
      <c r="K15" s="1229">
        <f t="shared" ref="K15" si="2">F15*$K$6</f>
        <v>168</v>
      </c>
      <c r="L15" s="446">
        <f>G15+(H15/12)+K15</f>
        <v>621.6</v>
      </c>
      <c r="M15" s="910">
        <f>G15+H15+K15</f>
        <v>991.2</v>
      </c>
      <c r="N15" s="911">
        <f>G15+H15+I15+J15+K15</f>
        <v>1495.1999999999998</v>
      </c>
      <c r="O15" s="446">
        <f>L15*$Q$5</f>
        <v>578.08800000000008</v>
      </c>
      <c r="P15" s="910">
        <f>$M15*$Q$5</f>
        <v>921.81600000000014</v>
      </c>
      <c r="Q15" s="911">
        <f>N15*$Q$5</f>
        <v>1390.5359999999998</v>
      </c>
      <c r="R15" s="714">
        <f>L15*$T$5</f>
        <v>534.57600000000002</v>
      </c>
      <c r="S15" s="715">
        <f>$M15*$T$5</f>
        <v>852.43200000000002</v>
      </c>
      <c r="T15" s="716">
        <f>N15*$T$5</f>
        <v>1285.8719999999998</v>
      </c>
      <c r="U15" s="446">
        <f>L15*$W$5</f>
        <v>515.928</v>
      </c>
      <c r="V15" s="910">
        <f>$M15*$W$5</f>
        <v>822.69600000000003</v>
      </c>
      <c r="W15" s="911">
        <f>N15*$W$5</f>
        <v>1241.0159999999998</v>
      </c>
      <c r="X15" s="446">
        <f>L15*$Z$5</f>
        <v>466.20000000000005</v>
      </c>
      <c r="Y15" s="910">
        <f>$M15*$Z$5</f>
        <v>743.40000000000009</v>
      </c>
      <c r="Z15" s="911">
        <f>N15*$Z$5</f>
        <v>1121.3999999999999</v>
      </c>
      <c r="AA15" s="447">
        <f>L15*$AC$5</f>
        <v>435.12</v>
      </c>
      <c r="AB15" s="910">
        <f>$M15*$AC$5</f>
        <v>693.84</v>
      </c>
      <c r="AC15" s="911">
        <f>N15*$AC$5</f>
        <v>1046.6399999999999</v>
      </c>
      <c r="AD15" s="280"/>
      <c r="AE15" s="280"/>
      <c r="AF15" s="280"/>
      <c r="AG15" s="280"/>
      <c r="AH15" s="280"/>
    </row>
    <row r="16" spans="1:36" s="497" customFormat="1" ht="18" customHeight="1" thickBot="1">
      <c r="B16" s="1257"/>
      <c r="C16" s="321" t="s">
        <v>829</v>
      </c>
      <c r="D16" s="622">
        <v>7.0000000000000007E-2</v>
      </c>
      <c r="E16" s="1260"/>
      <c r="F16" s="1227"/>
      <c r="G16" s="1227"/>
      <c r="H16" s="1227"/>
      <c r="I16" s="1229"/>
      <c r="J16" s="1231"/>
      <c r="K16" s="1227"/>
      <c r="L16" s="170">
        <f>L15/E15</f>
        <v>0.62160000000000004</v>
      </c>
      <c r="M16" s="171">
        <f>M15/E15</f>
        <v>0.99120000000000008</v>
      </c>
      <c r="N16" s="172">
        <f>N15/E15</f>
        <v>1.4951999999999999</v>
      </c>
      <c r="O16" s="170">
        <f>O15/E15</f>
        <v>0.57808800000000005</v>
      </c>
      <c r="P16" s="171">
        <f>P15/E15</f>
        <v>0.92181600000000019</v>
      </c>
      <c r="Q16" s="172">
        <f>Q15/E15</f>
        <v>1.3905359999999998</v>
      </c>
      <c r="R16" s="180">
        <f>R15/E15</f>
        <v>0.53457600000000005</v>
      </c>
      <c r="S16" s="183">
        <f>S15/E15</f>
        <v>0.85243199999999997</v>
      </c>
      <c r="T16" s="182">
        <f>T15/E15</f>
        <v>1.2858719999999999</v>
      </c>
      <c r="U16" s="170">
        <f>U15/E15</f>
        <v>0.51592799999999994</v>
      </c>
      <c r="V16" s="171">
        <f>V15/E15</f>
        <v>0.82269599999999998</v>
      </c>
      <c r="W16" s="172">
        <f>W15/E15</f>
        <v>1.2410159999999999</v>
      </c>
      <c r="X16" s="170">
        <f>X15/E15</f>
        <v>0.46620000000000006</v>
      </c>
      <c r="Y16" s="171">
        <f>Y15/E15</f>
        <v>0.74340000000000006</v>
      </c>
      <c r="Z16" s="172">
        <f>Z15/E15</f>
        <v>1.1214</v>
      </c>
      <c r="AA16" s="186">
        <f>AA15/E15</f>
        <v>0.43512000000000001</v>
      </c>
      <c r="AB16" s="171">
        <f>AB15/E15</f>
        <v>0.69384000000000001</v>
      </c>
      <c r="AC16" s="172">
        <f>AC15/E15</f>
        <v>1.0466399999999998</v>
      </c>
      <c r="AD16" s="280"/>
      <c r="AE16" s="280"/>
      <c r="AF16" s="280"/>
      <c r="AG16" s="280"/>
      <c r="AH16" s="280"/>
    </row>
    <row r="17" spans="1:34" s="454" customFormat="1" ht="18" customHeight="1">
      <c r="B17" s="1251" t="s">
        <v>834</v>
      </c>
      <c r="C17" s="1254" t="s">
        <v>835</v>
      </c>
      <c r="D17" s="1255"/>
      <c r="E17" s="1224">
        <v>100000</v>
      </c>
      <c r="F17" s="1226">
        <f>E17*D18</f>
        <v>2480</v>
      </c>
      <c r="G17" s="1226">
        <f>F17*80%</f>
        <v>1984</v>
      </c>
      <c r="H17" s="1226">
        <f>F17*30%</f>
        <v>744</v>
      </c>
      <c r="I17" s="1228"/>
      <c r="J17" s="1230"/>
      <c r="K17" s="1226">
        <f>F17*$K$6</f>
        <v>496</v>
      </c>
      <c r="L17" s="472">
        <f>G17+H17+K17</f>
        <v>3224</v>
      </c>
      <c r="M17" s="473">
        <f>G17+H17+K17</f>
        <v>3224</v>
      </c>
      <c r="N17" s="441">
        <f>G17+H17+I17+J17+K17</f>
        <v>3224</v>
      </c>
      <c r="O17" s="472">
        <f>L17*$Q$5</f>
        <v>2998.32</v>
      </c>
      <c r="P17" s="473">
        <f>$M17*$Q$5</f>
        <v>2998.32</v>
      </c>
      <c r="Q17" s="441">
        <f>N17*$Q$5</f>
        <v>2998.32</v>
      </c>
      <c r="R17" s="708">
        <f>L17*$T$5</f>
        <v>2772.64</v>
      </c>
      <c r="S17" s="709">
        <f>$M17*$T$5</f>
        <v>2772.64</v>
      </c>
      <c r="T17" s="710">
        <f>N17*$T$5</f>
        <v>2772.64</v>
      </c>
      <c r="U17" s="472">
        <f>L17*$W$5</f>
        <v>2675.92</v>
      </c>
      <c r="V17" s="473">
        <f>$M17*$W$5</f>
        <v>2675.92</v>
      </c>
      <c r="W17" s="441">
        <f>N17*$W$5</f>
        <v>2675.92</v>
      </c>
      <c r="X17" s="472">
        <f>L17*$Z$5</f>
        <v>2418</v>
      </c>
      <c r="Y17" s="473">
        <f>$M17*$Z$5</f>
        <v>2418</v>
      </c>
      <c r="Z17" s="441">
        <f>N17*$Z$5</f>
        <v>2418</v>
      </c>
      <c r="AA17" s="474">
        <f>L17*$AC$5</f>
        <v>2256.7999999999997</v>
      </c>
      <c r="AB17" s="473">
        <f>$M17*$AC$5</f>
        <v>2256.7999999999997</v>
      </c>
      <c r="AC17" s="441">
        <f>N17*$AC$5</f>
        <v>2256.7999999999997</v>
      </c>
      <c r="AD17" s="280"/>
      <c r="AE17" s="280"/>
      <c r="AF17" s="280"/>
      <c r="AG17" s="280"/>
      <c r="AH17" s="280"/>
    </row>
    <row r="18" spans="1:34" s="454" customFormat="1" ht="18" customHeight="1">
      <c r="B18" s="1252"/>
      <c r="C18" s="598" t="s">
        <v>836</v>
      </c>
      <c r="D18" s="623">
        <v>2.4799999999999999E-2</v>
      </c>
      <c r="E18" s="1225"/>
      <c r="F18" s="1227"/>
      <c r="G18" s="1227"/>
      <c r="H18" s="1227"/>
      <c r="I18" s="1229"/>
      <c r="J18" s="1231"/>
      <c r="K18" s="1227"/>
      <c r="L18" s="180">
        <f>L17/E17</f>
        <v>3.2239999999999998E-2</v>
      </c>
      <c r="M18" s="183">
        <f>M17/E17</f>
        <v>3.2239999999999998E-2</v>
      </c>
      <c r="N18" s="182">
        <f>N17/E17</f>
        <v>3.2239999999999998E-2</v>
      </c>
      <c r="O18" s="180">
        <f>O17/E17</f>
        <v>2.9983200000000002E-2</v>
      </c>
      <c r="P18" s="183">
        <f>P17/E17</f>
        <v>2.9983200000000002E-2</v>
      </c>
      <c r="Q18" s="182">
        <f>Q17/E17</f>
        <v>2.9983200000000002E-2</v>
      </c>
      <c r="R18" s="180">
        <f>R17/E17</f>
        <v>2.7726399999999998E-2</v>
      </c>
      <c r="S18" s="183">
        <f>S17/E17</f>
        <v>2.7726399999999998E-2</v>
      </c>
      <c r="T18" s="182">
        <f>T17/E17</f>
        <v>2.7726399999999998E-2</v>
      </c>
      <c r="U18" s="180">
        <f>U17/E17</f>
        <v>2.67592E-2</v>
      </c>
      <c r="V18" s="183">
        <f>V17/E17</f>
        <v>2.67592E-2</v>
      </c>
      <c r="W18" s="182">
        <f>W17/E17</f>
        <v>2.67592E-2</v>
      </c>
      <c r="X18" s="180">
        <f>X17/E17</f>
        <v>2.418E-2</v>
      </c>
      <c r="Y18" s="183">
        <f>Y17/E17</f>
        <v>2.418E-2</v>
      </c>
      <c r="Z18" s="182">
        <f>Z17/E17</f>
        <v>2.418E-2</v>
      </c>
      <c r="AA18" s="181">
        <f>AA17/E17</f>
        <v>2.2567999999999998E-2</v>
      </c>
      <c r="AB18" s="183">
        <f>AB17/E17</f>
        <v>2.2567999999999998E-2</v>
      </c>
      <c r="AC18" s="182">
        <f>AC17/E17</f>
        <v>2.2567999999999998E-2</v>
      </c>
      <c r="AD18" s="280"/>
      <c r="AE18" s="280"/>
      <c r="AF18" s="280"/>
      <c r="AG18" s="280"/>
      <c r="AH18" s="280"/>
    </row>
    <row r="19" spans="1:34" s="454" customFormat="1" ht="18" customHeight="1">
      <c r="B19" s="1252"/>
      <c r="C19" s="1261" t="s">
        <v>837</v>
      </c>
      <c r="D19" s="1262"/>
      <c r="E19" s="1239">
        <v>100000</v>
      </c>
      <c r="F19" s="1229">
        <f>E19*D20</f>
        <v>4800</v>
      </c>
      <c r="G19" s="1229">
        <f>F19*53%</f>
        <v>2544</v>
      </c>
      <c r="H19" s="1229">
        <f>F19*30%</f>
        <v>1440</v>
      </c>
      <c r="I19" s="1246"/>
      <c r="J19" s="1250"/>
      <c r="K19" s="1229">
        <f>F19*$K$6</f>
        <v>960</v>
      </c>
      <c r="L19" s="446">
        <f>G19+H19+K19</f>
        <v>4944</v>
      </c>
      <c r="M19" s="910">
        <f>G19+H19+K19</f>
        <v>4944</v>
      </c>
      <c r="N19" s="911">
        <f>G19+H19+I19+J19+K19</f>
        <v>4944</v>
      </c>
      <c r="O19" s="446">
        <f>L19*$Q$5</f>
        <v>4597.92</v>
      </c>
      <c r="P19" s="910">
        <f>$M19*$Q$5</f>
        <v>4597.92</v>
      </c>
      <c r="Q19" s="911">
        <f>N19*$Q$5</f>
        <v>4597.92</v>
      </c>
      <c r="R19" s="714">
        <f>L19*$T$5</f>
        <v>4251.84</v>
      </c>
      <c r="S19" s="715">
        <f>$M19*$T$5</f>
        <v>4251.84</v>
      </c>
      <c r="T19" s="716">
        <f>N19*$T$5</f>
        <v>4251.84</v>
      </c>
      <c r="U19" s="446">
        <f>L19*$W$5</f>
        <v>4103.5199999999995</v>
      </c>
      <c r="V19" s="910">
        <f>$M19*$W$5</f>
        <v>4103.5199999999995</v>
      </c>
      <c r="W19" s="911">
        <f>N19*$W$5</f>
        <v>4103.5199999999995</v>
      </c>
      <c r="X19" s="446">
        <f>L19*$Z$5</f>
        <v>3708</v>
      </c>
      <c r="Y19" s="910">
        <f>$M19*$Z$5</f>
        <v>3708</v>
      </c>
      <c r="Z19" s="911">
        <f>N19*$Z$5</f>
        <v>3708</v>
      </c>
      <c r="AA19" s="447">
        <f>L19*$AC$5</f>
        <v>3460.7999999999997</v>
      </c>
      <c r="AB19" s="910">
        <f>$M19*$AC$5</f>
        <v>3460.7999999999997</v>
      </c>
      <c r="AC19" s="911">
        <f>N19*$AC$5</f>
        <v>3460.7999999999997</v>
      </c>
      <c r="AD19" s="280"/>
      <c r="AE19" s="280"/>
      <c r="AF19" s="280"/>
      <c r="AG19" s="280"/>
      <c r="AH19" s="280"/>
    </row>
    <row r="20" spans="1:34" s="454" customFormat="1" ht="18" customHeight="1" thickBot="1">
      <c r="B20" s="1253"/>
      <c r="C20" s="268" t="s">
        <v>838</v>
      </c>
      <c r="D20" s="624">
        <v>4.8000000000000001E-2</v>
      </c>
      <c r="E20" s="1260"/>
      <c r="F20" s="1263"/>
      <c r="G20" s="1263"/>
      <c r="H20" s="1263"/>
      <c r="I20" s="1247"/>
      <c r="J20" s="1264"/>
      <c r="K20" s="1263"/>
      <c r="L20" s="170">
        <f>L19/E19</f>
        <v>4.9439999999999998E-2</v>
      </c>
      <c r="M20" s="171">
        <f>M19/E19</f>
        <v>4.9439999999999998E-2</v>
      </c>
      <c r="N20" s="172">
        <f>N19/E19</f>
        <v>4.9439999999999998E-2</v>
      </c>
      <c r="O20" s="170">
        <f>O19/E19</f>
        <v>4.5979199999999998E-2</v>
      </c>
      <c r="P20" s="171">
        <f>P19/E19</f>
        <v>4.5979199999999998E-2</v>
      </c>
      <c r="Q20" s="172">
        <f>Q19/E19</f>
        <v>4.5979199999999998E-2</v>
      </c>
      <c r="R20" s="170">
        <f>R19/E19</f>
        <v>4.2518400000000005E-2</v>
      </c>
      <c r="S20" s="171">
        <f>S19/E19</f>
        <v>4.2518400000000005E-2</v>
      </c>
      <c r="T20" s="172">
        <f>T19/E19</f>
        <v>4.2518400000000005E-2</v>
      </c>
      <c r="U20" s="170">
        <f>U19/E19</f>
        <v>4.1035199999999994E-2</v>
      </c>
      <c r="V20" s="171">
        <f>V19/E19</f>
        <v>4.1035199999999994E-2</v>
      </c>
      <c r="W20" s="172">
        <f>W19/E19</f>
        <v>4.1035199999999994E-2</v>
      </c>
      <c r="X20" s="170">
        <f>X19/E19</f>
        <v>3.7080000000000002E-2</v>
      </c>
      <c r="Y20" s="171">
        <f>Y19/E19</f>
        <v>3.7080000000000002E-2</v>
      </c>
      <c r="Z20" s="172">
        <f>Z19/E19</f>
        <v>3.7080000000000002E-2</v>
      </c>
      <c r="AA20" s="186">
        <f>AA19/E19</f>
        <v>3.4608E-2</v>
      </c>
      <c r="AB20" s="171">
        <f>AB19/E19</f>
        <v>3.4608E-2</v>
      </c>
      <c r="AC20" s="172">
        <f>AC19/E19</f>
        <v>3.4608E-2</v>
      </c>
      <c r="AD20" s="280"/>
      <c r="AE20" s="280"/>
      <c r="AF20" s="280"/>
      <c r="AG20" s="280"/>
      <c r="AH20" s="280"/>
    </row>
    <row r="22" spans="1:34" ht="18" customHeight="1">
      <c r="B22" s="927" t="s">
        <v>839</v>
      </c>
    </row>
    <row r="23" spans="1:34" ht="18" customHeight="1">
      <c r="B23" s="928" t="s">
        <v>840</v>
      </c>
    </row>
    <row r="24" spans="1:34" ht="18" customHeight="1">
      <c r="B24" s="929" t="s">
        <v>846</v>
      </c>
    </row>
    <row r="25" spans="1:34" ht="18" customHeight="1">
      <c r="B25" s="930" t="s">
        <v>841</v>
      </c>
    </row>
    <row r="26" spans="1:34" s="718" customFormat="1" ht="18" customHeight="1">
      <c r="B26" s="930" t="s">
        <v>845</v>
      </c>
      <c r="C26" s="931"/>
      <c r="D26" s="931"/>
      <c r="E26" s="931"/>
      <c r="F26" s="931"/>
      <c r="G26" s="931"/>
      <c r="H26" s="931"/>
      <c r="I26" s="931"/>
      <c r="J26" s="930"/>
      <c r="K26" s="930"/>
      <c r="L26" s="930"/>
      <c r="M26" s="930"/>
      <c r="N26" s="930"/>
      <c r="O26" s="930"/>
      <c r="P26" s="930"/>
      <c r="Q26" s="930"/>
      <c r="R26" s="930"/>
      <c r="S26" s="930"/>
      <c r="T26" s="930"/>
      <c r="U26" s="930"/>
      <c r="V26" s="930"/>
      <c r="W26" s="930"/>
      <c r="X26" s="930"/>
      <c r="Y26" s="930"/>
      <c r="Z26" s="930"/>
      <c r="AA26" s="930"/>
      <c r="AB26" s="930"/>
      <c r="AC26" s="930"/>
    </row>
    <row r="27" spans="1:34" s="718" customFormat="1" ht="18" customHeight="1">
      <c r="B27" s="930" t="s">
        <v>842</v>
      </c>
      <c r="C27" s="931"/>
      <c r="D27" s="931"/>
      <c r="E27" s="931"/>
      <c r="F27" s="931"/>
      <c r="G27" s="931"/>
      <c r="H27" s="931"/>
      <c r="I27" s="931"/>
      <c r="J27" s="930"/>
      <c r="K27" s="930"/>
      <c r="L27" s="930"/>
      <c r="M27" s="930"/>
      <c r="N27" s="930"/>
      <c r="O27" s="930"/>
      <c r="P27" s="930"/>
      <c r="Q27" s="930"/>
      <c r="R27" s="930"/>
      <c r="S27" s="930"/>
      <c r="T27" s="930"/>
      <c r="U27" s="930"/>
      <c r="V27" s="930"/>
      <c r="W27" s="930"/>
      <c r="X27" s="930"/>
      <c r="Y27" s="930"/>
      <c r="Z27" s="930"/>
      <c r="AA27" s="930"/>
      <c r="AB27" s="930"/>
      <c r="AC27" s="930"/>
    </row>
    <row r="28" spans="1:34" s="718" customFormat="1" ht="18" customHeight="1">
      <c r="A28" s="717"/>
      <c r="B28" s="929" t="s">
        <v>843</v>
      </c>
      <c r="C28" s="932"/>
      <c r="D28" s="932"/>
      <c r="E28" s="932"/>
      <c r="F28" s="932"/>
      <c r="G28" s="932"/>
      <c r="H28" s="932"/>
      <c r="I28" s="932"/>
      <c r="J28" s="929"/>
      <c r="K28" s="929"/>
      <c r="L28" s="929"/>
      <c r="M28" s="929"/>
      <c r="N28" s="929"/>
      <c r="O28" s="929"/>
      <c r="P28" s="929"/>
      <c r="Q28" s="929"/>
      <c r="R28" s="929"/>
      <c r="S28" s="929"/>
      <c r="T28" s="929"/>
      <c r="U28" s="929"/>
      <c r="V28" s="929"/>
      <c r="W28" s="929"/>
      <c r="X28" s="932"/>
      <c r="Y28" s="932"/>
      <c r="Z28" s="932"/>
      <c r="AA28" s="932"/>
      <c r="AB28" s="932"/>
      <c r="AC28" s="929"/>
      <c r="AD28" s="717"/>
      <c r="AE28" s="717"/>
      <c r="AF28" s="717"/>
    </row>
    <row r="29" spans="1:34" ht="18" customHeight="1">
      <c r="B29" s="929" t="s">
        <v>844</v>
      </c>
    </row>
  </sheetData>
  <mergeCells count="72">
    <mergeCell ref="J17:J18"/>
    <mergeCell ref="K17:K18"/>
    <mergeCell ref="C19:D19"/>
    <mergeCell ref="E19:E20"/>
    <mergeCell ref="F19:F20"/>
    <mergeCell ref="G19:G20"/>
    <mergeCell ref="H19:H20"/>
    <mergeCell ref="I19:I20"/>
    <mergeCell ref="J19:J20"/>
    <mergeCell ref="K19:K20"/>
    <mergeCell ref="I15:I16"/>
    <mergeCell ref="J15:J16"/>
    <mergeCell ref="K15:K16"/>
    <mergeCell ref="B17:B20"/>
    <mergeCell ref="C17:D17"/>
    <mergeCell ref="E17:E18"/>
    <mergeCell ref="F17:F18"/>
    <mergeCell ref="G17:G18"/>
    <mergeCell ref="H17:H18"/>
    <mergeCell ref="I17:I18"/>
    <mergeCell ref="B15:B16"/>
    <mergeCell ref="C15:D15"/>
    <mergeCell ref="E15:E16"/>
    <mergeCell ref="F15:F16"/>
    <mergeCell ref="G15:G16"/>
    <mergeCell ref="H15:H16"/>
    <mergeCell ref="K11:K12"/>
    <mergeCell ref="C13:D13"/>
    <mergeCell ref="E13:E14"/>
    <mergeCell ref="F13:F14"/>
    <mergeCell ref="G13:G14"/>
    <mergeCell ref="H13:H14"/>
    <mergeCell ref="I13:I14"/>
    <mergeCell ref="J13:J14"/>
    <mergeCell ref="K13:K14"/>
    <mergeCell ref="H11:H12"/>
    <mergeCell ref="I11:I12"/>
    <mergeCell ref="J11:J12"/>
    <mergeCell ref="B11:B14"/>
    <mergeCell ref="C11:D11"/>
    <mergeCell ref="E11:E12"/>
    <mergeCell ref="F11:F12"/>
    <mergeCell ref="G11:G12"/>
    <mergeCell ref="H7:H8"/>
    <mergeCell ref="I7:I8"/>
    <mergeCell ref="J7:J8"/>
    <mergeCell ref="K7:K8"/>
    <mergeCell ref="C9:D9"/>
    <mergeCell ref="E9:E10"/>
    <mergeCell ref="F9:F10"/>
    <mergeCell ref="G9:G10"/>
    <mergeCell ref="H9:H10"/>
    <mergeCell ref="I9:I10"/>
    <mergeCell ref="J9:J10"/>
    <mergeCell ref="K9:K10"/>
    <mergeCell ref="B7:B10"/>
    <mergeCell ref="C7:D7"/>
    <mergeCell ref="E7:E8"/>
    <mergeCell ref="F7:F8"/>
    <mergeCell ref="G7:G8"/>
    <mergeCell ref="B1:AC1"/>
    <mergeCell ref="B5:D5"/>
    <mergeCell ref="E5:E6"/>
    <mergeCell ref="F5:F6"/>
    <mergeCell ref="G5:G6"/>
    <mergeCell ref="H5:J5"/>
    <mergeCell ref="L5:N5"/>
    <mergeCell ref="O5:P5"/>
    <mergeCell ref="R5:S5"/>
    <mergeCell ref="U5:V5"/>
    <mergeCell ref="X5:Y5"/>
    <mergeCell ref="AA5:AB5"/>
  </mergeCells>
  <phoneticPr fontId="100" type="noConversion"/>
  <pageMargins left="0.31496062992125984" right="0.31496062992125984" top="0.31496062992125984" bottom="0.31496062992125984" header="0.31496062992125984" footer="0.31496062992125984"/>
  <pageSetup paperSize="9" scale="51" fitToHeight="2"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66FF"/>
    <pageSetUpPr fitToPage="1"/>
  </sheetPr>
  <dimension ref="A1:IW29"/>
  <sheetViews>
    <sheetView zoomScaleNormal="100" workbookViewId="0">
      <pane ySplit="1" topLeftCell="A2" activePane="bottomLeft" state="frozen"/>
      <selection activeCell="B1" sqref="B1:O1"/>
      <selection pane="bottomLeft" activeCell="B1" sqref="B1:S1"/>
    </sheetView>
  </sheetViews>
  <sheetFormatPr defaultColWidth="7.25" defaultRowHeight="16.5"/>
  <cols>
    <col min="1" max="1" width="1" style="142" customWidth="1"/>
    <col min="2" max="2" width="10.75" style="142" customWidth="1"/>
    <col min="3" max="3" width="10.5" style="142" customWidth="1"/>
    <col min="4" max="4" width="9" style="142" customWidth="1"/>
    <col min="5" max="5" width="9" style="143" customWidth="1"/>
    <col min="6" max="10" width="9" style="142" customWidth="1"/>
    <col min="11" max="12" width="8.5" style="142" customWidth="1"/>
    <col min="13" max="13" width="9" style="142" customWidth="1"/>
    <col min="14" max="19" width="9.125" style="142" customWidth="1"/>
    <col min="20" max="23" width="7.25" style="142"/>
    <col min="24" max="26" width="8.125" style="142" bestFit="1" customWidth="1"/>
    <col min="27" max="27" width="8.625" style="142" bestFit="1" customWidth="1"/>
    <col min="28" max="28" width="9.5" style="142" bestFit="1" customWidth="1"/>
    <col min="29" max="29" width="8.625" style="142" bestFit="1" customWidth="1"/>
    <col min="30" max="30" width="7.25" style="142"/>
    <col min="31" max="31" width="9.5" style="142" bestFit="1" customWidth="1"/>
    <col min="32" max="36" width="8.625" style="142" bestFit="1" customWidth="1"/>
    <col min="37" max="37" width="7.5" style="142" bestFit="1" customWidth="1"/>
    <col min="38" max="38" width="8.625" style="142" bestFit="1" customWidth="1"/>
    <col min="39" max="39" width="7.5" style="142" bestFit="1" customWidth="1"/>
    <col min="40" max="40" width="8.625" style="142" bestFit="1" customWidth="1"/>
    <col min="41" max="257" width="7.25" style="142"/>
    <col min="258" max="258" width="0.625" style="142" customWidth="1"/>
    <col min="259" max="260" width="10.5" style="142" customWidth="1"/>
    <col min="261" max="267" width="9.375" style="142" customWidth="1"/>
    <col min="268" max="275" width="8.875" style="142" customWidth="1"/>
    <col min="276" max="279" width="7.25" style="142"/>
    <col min="280" max="282" width="8.125" style="142" bestFit="1" customWidth="1"/>
    <col min="283" max="283" width="8.625" style="142" bestFit="1" customWidth="1"/>
    <col min="284" max="284" width="9.5" style="142" bestFit="1" customWidth="1"/>
    <col min="285" max="285" width="8.625" style="142" bestFit="1" customWidth="1"/>
    <col min="286" max="286" width="7.25" style="142"/>
    <col min="287" max="287" width="9.5" style="142" bestFit="1" customWidth="1"/>
    <col min="288" max="292" width="8.625" style="142" bestFit="1" customWidth="1"/>
    <col min="293" max="293" width="7.5" style="142" bestFit="1" customWidth="1"/>
    <col min="294" max="294" width="8.625" style="142" bestFit="1" customWidth="1"/>
    <col min="295" max="295" width="7.5" style="142" bestFit="1" customWidth="1"/>
    <col min="296" max="296" width="8.625" style="142" bestFit="1" customWidth="1"/>
    <col min="297" max="513" width="7.25" style="142"/>
    <col min="514" max="514" width="0.625" style="142" customWidth="1"/>
    <col min="515" max="516" width="10.5" style="142" customWidth="1"/>
    <col min="517" max="523" width="9.375" style="142" customWidth="1"/>
    <col min="524" max="531" width="8.875" style="142" customWidth="1"/>
    <col min="532" max="535" width="7.25" style="142"/>
    <col min="536" max="538" width="8.125" style="142" bestFit="1" customWidth="1"/>
    <col min="539" max="539" width="8.625" style="142" bestFit="1" customWidth="1"/>
    <col min="540" max="540" width="9.5" style="142" bestFit="1" customWidth="1"/>
    <col min="541" max="541" width="8.625" style="142" bestFit="1" customWidth="1"/>
    <col min="542" max="542" width="7.25" style="142"/>
    <col min="543" max="543" width="9.5" style="142" bestFit="1" customWidth="1"/>
    <col min="544" max="548" width="8.625" style="142" bestFit="1" customWidth="1"/>
    <col min="549" max="549" width="7.5" style="142" bestFit="1" customWidth="1"/>
    <col min="550" max="550" width="8.625" style="142" bestFit="1" customWidth="1"/>
    <col min="551" max="551" width="7.5" style="142" bestFit="1" customWidth="1"/>
    <col min="552" max="552" width="8.625" style="142" bestFit="1" customWidth="1"/>
    <col min="553" max="769" width="7.25" style="142"/>
    <col min="770" max="770" width="0.625" style="142" customWidth="1"/>
    <col min="771" max="772" width="10.5" style="142" customWidth="1"/>
    <col min="773" max="779" width="9.375" style="142" customWidth="1"/>
    <col min="780" max="787" width="8.875" style="142" customWidth="1"/>
    <col min="788" max="791" width="7.25" style="142"/>
    <col min="792" max="794" width="8.125" style="142" bestFit="1" customWidth="1"/>
    <col min="795" max="795" width="8.625" style="142" bestFit="1" customWidth="1"/>
    <col min="796" max="796" width="9.5" style="142" bestFit="1" customWidth="1"/>
    <col min="797" max="797" width="8.625" style="142" bestFit="1" customWidth="1"/>
    <col min="798" max="798" width="7.25" style="142"/>
    <col min="799" max="799" width="9.5" style="142" bestFit="1" customWidth="1"/>
    <col min="800" max="804" width="8.625" style="142" bestFit="1" customWidth="1"/>
    <col min="805" max="805" width="7.5" style="142" bestFit="1" customWidth="1"/>
    <col min="806" max="806" width="8.625" style="142" bestFit="1" customWidth="1"/>
    <col min="807" max="807" width="7.5" style="142" bestFit="1" customWidth="1"/>
    <col min="808" max="808" width="8.625" style="142" bestFit="1" customWidth="1"/>
    <col min="809" max="1025" width="7.25" style="142"/>
    <col min="1026" max="1026" width="0.625" style="142" customWidth="1"/>
    <col min="1027" max="1028" width="10.5" style="142" customWidth="1"/>
    <col min="1029" max="1035" width="9.375" style="142" customWidth="1"/>
    <col min="1036" max="1043" width="8.875" style="142" customWidth="1"/>
    <col min="1044" max="1047" width="7.25" style="142"/>
    <col min="1048" max="1050" width="8.125" style="142" bestFit="1" customWidth="1"/>
    <col min="1051" max="1051" width="8.625" style="142" bestFit="1" customWidth="1"/>
    <col min="1052" max="1052" width="9.5" style="142" bestFit="1" customWidth="1"/>
    <col min="1053" max="1053" width="8.625" style="142" bestFit="1" customWidth="1"/>
    <col min="1054" max="1054" width="7.25" style="142"/>
    <col min="1055" max="1055" width="9.5" style="142" bestFit="1" customWidth="1"/>
    <col min="1056" max="1060" width="8.625" style="142" bestFit="1" customWidth="1"/>
    <col min="1061" max="1061" width="7.5" style="142" bestFit="1" customWidth="1"/>
    <col min="1062" max="1062" width="8.625" style="142" bestFit="1" customWidth="1"/>
    <col min="1063" max="1063" width="7.5" style="142" bestFit="1" customWidth="1"/>
    <col min="1064" max="1064" width="8.625" style="142" bestFit="1" customWidth="1"/>
    <col min="1065" max="1281" width="7.25" style="142"/>
    <col min="1282" max="1282" width="0.625" style="142" customWidth="1"/>
    <col min="1283" max="1284" width="10.5" style="142" customWidth="1"/>
    <col min="1285" max="1291" width="9.375" style="142" customWidth="1"/>
    <col min="1292" max="1299" width="8.875" style="142" customWidth="1"/>
    <col min="1300" max="1303" width="7.25" style="142"/>
    <col min="1304" max="1306" width="8.125" style="142" bestFit="1" customWidth="1"/>
    <col min="1307" max="1307" width="8.625" style="142" bestFit="1" customWidth="1"/>
    <col min="1308" max="1308" width="9.5" style="142" bestFit="1" customWidth="1"/>
    <col min="1309" max="1309" width="8.625" style="142" bestFit="1" customWidth="1"/>
    <col min="1310" max="1310" width="7.25" style="142"/>
    <col min="1311" max="1311" width="9.5" style="142" bestFit="1" customWidth="1"/>
    <col min="1312" max="1316" width="8.625" style="142" bestFit="1" customWidth="1"/>
    <col min="1317" max="1317" width="7.5" style="142" bestFit="1" customWidth="1"/>
    <col min="1318" max="1318" width="8.625" style="142" bestFit="1" customWidth="1"/>
    <col min="1319" max="1319" width="7.5" style="142" bestFit="1" customWidth="1"/>
    <col min="1320" max="1320" width="8.625" style="142" bestFit="1" customWidth="1"/>
    <col min="1321" max="1537" width="7.25" style="142"/>
    <col min="1538" max="1538" width="0.625" style="142" customWidth="1"/>
    <col min="1539" max="1540" width="10.5" style="142" customWidth="1"/>
    <col min="1541" max="1547" width="9.375" style="142" customWidth="1"/>
    <col min="1548" max="1555" width="8.875" style="142" customWidth="1"/>
    <col min="1556" max="1559" width="7.25" style="142"/>
    <col min="1560" max="1562" width="8.125" style="142" bestFit="1" customWidth="1"/>
    <col min="1563" max="1563" width="8.625" style="142" bestFit="1" customWidth="1"/>
    <col min="1564" max="1564" width="9.5" style="142" bestFit="1" customWidth="1"/>
    <col min="1565" max="1565" width="8.625" style="142" bestFit="1" customWidth="1"/>
    <col min="1566" max="1566" width="7.25" style="142"/>
    <col min="1567" max="1567" width="9.5" style="142" bestFit="1" customWidth="1"/>
    <col min="1568" max="1572" width="8.625" style="142" bestFit="1" customWidth="1"/>
    <col min="1573" max="1573" width="7.5" style="142" bestFit="1" customWidth="1"/>
    <col min="1574" max="1574" width="8.625" style="142" bestFit="1" customWidth="1"/>
    <col min="1575" max="1575" width="7.5" style="142" bestFit="1" customWidth="1"/>
    <col min="1576" max="1576" width="8.625" style="142" bestFit="1" customWidth="1"/>
    <col min="1577" max="1793" width="7.25" style="142"/>
    <col min="1794" max="1794" width="0.625" style="142" customWidth="1"/>
    <col min="1795" max="1796" width="10.5" style="142" customWidth="1"/>
    <col min="1797" max="1803" width="9.375" style="142" customWidth="1"/>
    <col min="1804" max="1811" width="8.875" style="142" customWidth="1"/>
    <col min="1812" max="1815" width="7.25" style="142"/>
    <col min="1816" max="1818" width="8.125" style="142" bestFit="1" customWidth="1"/>
    <col min="1819" max="1819" width="8.625" style="142" bestFit="1" customWidth="1"/>
    <col min="1820" max="1820" width="9.5" style="142" bestFit="1" customWidth="1"/>
    <col min="1821" max="1821" width="8.625" style="142" bestFit="1" customWidth="1"/>
    <col min="1822" max="1822" width="7.25" style="142"/>
    <col min="1823" max="1823" width="9.5" style="142" bestFit="1" customWidth="1"/>
    <col min="1824" max="1828" width="8.625" style="142" bestFit="1" customWidth="1"/>
    <col min="1829" max="1829" width="7.5" style="142" bestFit="1" customWidth="1"/>
    <col min="1830" max="1830" width="8.625" style="142" bestFit="1" customWidth="1"/>
    <col min="1831" max="1831" width="7.5" style="142" bestFit="1" customWidth="1"/>
    <col min="1832" max="1832" width="8.625" style="142" bestFit="1" customWidth="1"/>
    <col min="1833" max="2049" width="7.25" style="142"/>
    <col min="2050" max="2050" width="0.625" style="142" customWidth="1"/>
    <col min="2051" max="2052" width="10.5" style="142" customWidth="1"/>
    <col min="2053" max="2059" width="9.375" style="142" customWidth="1"/>
    <col min="2060" max="2067" width="8.875" style="142" customWidth="1"/>
    <col min="2068" max="2071" width="7.25" style="142"/>
    <col min="2072" max="2074" width="8.125" style="142" bestFit="1" customWidth="1"/>
    <col min="2075" max="2075" width="8.625" style="142" bestFit="1" customWidth="1"/>
    <col min="2076" max="2076" width="9.5" style="142" bestFit="1" customWidth="1"/>
    <col min="2077" max="2077" width="8.625" style="142" bestFit="1" customWidth="1"/>
    <col min="2078" max="2078" width="7.25" style="142"/>
    <col min="2079" max="2079" width="9.5" style="142" bestFit="1" customWidth="1"/>
    <col min="2080" max="2084" width="8.625" style="142" bestFit="1" customWidth="1"/>
    <col min="2085" max="2085" width="7.5" style="142" bestFit="1" customWidth="1"/>
    <col min="2086" max="2086" width="8.625" style="142" bestFit="1" customWidth="1"/>
    <col min="2087" max="2087" width="7.5" style="142" bestFit="1" customWidth="1"/>
    <col min="2088" max="2088" width="8.625" style="142" bestFit="1" customWidth="1"/>
    <col min="2089" max="2305" width="7.25" style="142"/>
    <col min="2306" max="2306" width="0.625" style="142" customWidth="1"/>
    <col min="2307" max="2308" width="10.5" style="142" customWidth="1"/>
    <col min="2309" max="2315" width="9.375" style="142" customWidth="1"/>
    <col min="2316" max="2323" width="8.875" style="142" customWidth="1"/>
    <col min="2324" max="2327" width="7.25" style="142"/>
    <col min="2328" max="2330" width="8.125" style="142" bestFit="1" customWidth="1"/>
    <col min="2331" max="2331" width="8.625" style="142" bestFit="1" customWidth="1"/>
    <col min="2332" max="2332" width="9.5" style="142" bestFit="1" customWidth="1"/>
    <col min="2333" max="2333" width="8.625" style="142" bestFit="1" customWidth="1"/>
    <col min="2334" max="2334" width="7.25" style="142"/>
    <col min="2335" max="2335" width="9.5" style="142" bestFit="1" customWidth="1"/>
    <col min="2336" max="2340" width="8.625" style="142" bestFit="1" customWidth="1"/>
    <col min="2341" max="2341" width="7.5" style="142" bestFit="1" customWidth="1"/>
    <col min="2342" max="2342" width="8.625" style="142" bestFit="1" customWidth="1"/>
    <col min="2343" max="2343" width="7.5" style="142" bestFit="1" customWidth="1"/>
    <col min="2344" max="2344" width="8.625" style="142" bestFit="1" customWidth="1"/>
    <col min="2345" max="2561" width="7.25" style="142"/>
    <col min="2562" max="2562" width="0.625" style="142" customWidth="1"/>
    <col min="2563" max="2564" width="10.5" style="142" customWidth="1"/>
    <col min="2565" max="2571" width="9.375" style="142" customWidth="1"/>
    <col min="2572" max="2579" width="8.875" style="142" customWidth="1"/>
    <col min="2580" max="2583" width="7.25" style="142"/>
    <col min="2584" max="2586" width="8.125" style="142" bestFit="1" customWidth="1"/>
    <col min="2587" max="2587" width="8.625" style="142" bestFit="1" customWidth="1"/>
    <col min="2588" max="2588" width="9.5" style="142" bestFit="1" customWidth="1"/>
    <col min="2589" max="2589" width="8.625" style="142" bestFit="1" customWidth="1"/>
    <col min="2590" max="2590" width="7.25" style="142"/>
    <col min="2591" max="2591" width="9.5" style="142" bestFit="1" customWidth="1"/>
    <col min="2592" max="2596" width="8.625" style="142" bestFit="1" customWidth="1"/>
    <col min="2597" max="2597" width="7.5" style="142" bestFit="1" customWidth="1"/>
    <col min="2598" max="2598" width="8.625" style="142" bestFit="1" customWidth="1"/>
    <col min="2599" max="2599" width="7.5" style="142" bestFit="1" customWidth="1"/>
    <col min="2600" max="2600" width="8.625" style="142" bestFit="1" customWidth="1"/>
    <col min="2601" max="2817" width="7.25" style="142"/>
    <col min="2818" max="2818" width="0.625" style="142" customWidth="1"/>
    <col min="2819" max="2820" width="10.5" style="142" customWidth="1"/>
    <col min="2821" max="2827" width="9.375" style="142" customWidth="1"/>
    <col min="2828" max="2835" width="8.875" style="142" customWidth="1"/>
    <col min="2836" max="2839" width="7.25" style="142"/>
    <col min="2840" max="2842" width="8.125" style="142" bestFit="1" customWidth="1"/>
    <col min="2843" max="2843" width="8.625" style="142" bestFit="1" customWidth="1"/>
    <col min="2844" max="2844" width="9.5" style="142" bestFit="1" customWidth="1"/>
    <col min="2845" max="2845" width="8.625" style="142" bestFit="1" customWidth="1"/>
    <col min="2846" max="2846" width="7.25" style="142"/>
    <col min="2847" max="2847" width="9.5" style="142" bestFit="1" customWidth="1"/>
    <col min="2848" max="2852" width="8.625" style="142" bestFit="1" customWidth="1"/>
    <col min="2853" max="2853" width="7.5" style="142" bestFit="1" customWidth="1"/>
    <col min="2854" max="2854" width="8.625" style="142" bestFit="1" customWidth="1"/>
    <col min="2855" max="2855" width="7.5" style="142" bestFit="1" customWidth="1"/>
    <col min="2856" max="2856" width="8.625" style="142" bestFit="1" customWidth="1"/>
    <col min="2857" max="3073" width="7.25" style="142"/>
    <col min="3074" max="3074" width="0.625" style="142" customWidth="1"/>
    <col min="3075" max="3076" width="10.5" style="142" customWidth="1"/>
    <col min="3077" max="3083" width="9.375" style="142" customWidth="1"/>
    <col min="3084" max="3091" width="8.875" style="142" customWidth="1"/>
    <col min="3092" max="3095" width="7.25" style="142"/>
    <col min="3096" max="3098" width="8.125" style="142" bestFit="1" customWidth="1"/>
    <col min="3099" max="3099" width="8.625" style="142" bestFit="1" customWidth="1"/>
    <col min="3100" max="3100" width="9.5" style="142" bestFit="1" customWidth="1"/>
    <col min="3101" max="3101" width="8.625" style="142" bestFit="1" customWidth="1"/>
    <col min="3102" max="3102" width="7.25" style="142"/>
    <col min="3103" max="3103" width="9.5" style="142" bestFit="1" customWidth="1"/>
    <col min="3104" max="3108" width="8.625" style="142" bestFit="1" customWidth="1"/>
    <col min="3109" max="3109" width="7.5" style="142" bestFit="1" customWidth="1"/>
    <col min="3110" max="3110" width="8.625" style="142" bestFit="1" customWidth="1"/>
    <col min="3111" max="3111" width="7.5" style="142" bestFit="1" customWidth="1"/>
    <col min="3112" max="3112" width="8.625" style="142" bestFit="1" customWidth="1"/>
    <col min="3113" max="3329" width="7.25" style="142"/>
    <col min="3330" max="3330" width="0.625" style="142" customWidth="1"/>
    <col min="3331" max="3332" width="10.5" style="142" customWidth="1"/>
    <col min="3333" max="3339" width="9.375" style="142" customWidth="1"/>
    <col min="3340" max="3347" width="8.875" style="142" customWidth="1"/>
    <col min="3348" max="3351" width="7.25" style="142"/>
    <col min="3352" max="3354" width="8.125" style="142" bestFit="1" customWidth="1"/>
    <col min="3355" max="3355" width="8.625" style="142" bestFit="1" customWidth="1"/>
    <col min="3356" max="3356" width="9.5" style="142" bestFit="1" customWidth="1"/>
    <col min="3357" max="3357" width="8.625" style="142" bestFit="1" customWidth="1"/>
    <col min="3358" max="3358" width="7.25" style="142"/>
    <col min="3359" max="3359" width="9.5" style="142" bestFit="1" customWidth="1"/>
    <col min="3360" max="3364" width="8.625" style="142" bestFit="1" customWidth="1"/>
    <col min="3365" max="3365" width="7.5" style="142" bestFit="1" customWidth="1"/>
    <col min="3366" max="3366" width="8.625" style="142" bestFit="1" customWidth="1"/>
    <col min="3367" max="3367" width="7.5" style="142" bestFit="1" customWidth="1"/>
    <col min="3368" max="3368" width="8.625" style="142" bestFit="1" customWidth="1"/>
    <col min="3369" max="3585" width="7.25" style="142"/>
    <col min="3586" max="3586" width="0.625" style="142" customWidth="1"/>
    <col min="3587" max="3588" width="10.5" style="142" customWidth="1"/>
    <col min="3589" max="3595" width="9.375" style="142" customWidth="1"/>
    <col min="3596" max="3603" width="8.875" style="142" customWidth="1"/>
    <col min="3604" max="3607" width="7.25" style="142"/>
    <col min="3608" max="3610" width="8.125" style="142" bestFit="1" customWidth="1"/>
    <col min="3611" max="3611" width="8.625" style="142" bestFit="1" customWidth="1"/>
    <col min="3612" max="3612" width="9.5" style="142" bestFit="1" customWidth="1"/>
    <col min="3613" max="3613" width="8.625" style="142" bestFit="1" customWidth="1"/>
    <col min="3614" max="3614" width="7.25" style="142"/>
    <col min="3615" max="3615" width="9.5" style="142" bestFit="1" customWidth="1"/>
    <col min="3616" max="3620" width="8.625" style="142" bestFit="1" customWidth="1"/>
    <col min="3621" max="3621" width="7.5" style="142" bestFit="1" customWidth="1"/>
    <col min="3622" max="3622" width="8.625" style="142" bestFit="1" customWidth="1"/>
    <col min="3623" max="3623" width="7.5" style="142" bestFit="1" customWidth="1"/>
    <col min="3624" max="3624" width="8.625" style="142" bestFit="1" customWidth="1"/>
    <col min="3625" max="3841" width="7.25" style="142"/>
    <col min="3842" max="3842" width="0.625" style="142" customWidth="1"/>
    <col min="3843" max="3844" width="10.5" style="142" customWidth="1"/>
    <col min="3845" max="3851" width="9.375" style="142" customWidth="1"/>
    <col min="3852" max="3859" width="8.875" style="142" customWidth="1"/>
    <col min="3860" max="3863" width="7.25" style="142"/>
    <col min="3864" max="3866" width="8.125" style="142" bestFit="1" customWidth="1"/>
    <col min="3867" max="3867" width="8.625" style="142" bestFit="1" customWidth="1"/>
    <col min="3868" max="3868" width="9.5" style="142" bestFit="1" customWidth="1"/>
    <col min="3869" max="3869" width="8.625" style="142" bestFit="1" customWidth="1"/>
    <col min="3870" max="3870" width="7.25" style="142"/>
    <col min="3871" max="3871" width="9.5" style="142" bestFit="1" customWidth="1"/>
    <col min="3872" max="3876" width="8.625" style="142" bestFit="1" customWidth="1"/>
    <col min="3877" max="3877" width="7.5" style="142" bestFit="1" customWidth="1"/>
    <col min="3878" max="3878" width="8.625" style="142" bestFit="1" customWidth="1"/>
    <col min="3879" max="3879" width="7.5" style="142" bestFit="1" customWidth="1"/>
    <col min="3880" max="3880" width="8.625" style="142" bestFit="1" customWidth="1"/>
    <col min="3881" max="4097" width="7.25" style="142"/>
    <col min="4098" max="4098" width="0.625" style="142" customWidth="1"/>
    <col min="4099" max="4100" width="10.5" style="142" customWidth="1"/>
    <col min="4101" max="4107" width="9.375" style="142" customWidth="1"/>
    <col min="4108" max="4115" width="8.875" style="142" customWidth="1"/>
    <col min="4116" max="4119" width="7.25" style="142"/>
    <col min="4120" max="4122" width="8.125" style="142" bestFit="1" customWidth="1"/>
    <col min="4123" max="4123" width="8.625" style="142" bestFit="1" customWidth="1"/>
    <col min="4124" max="4124" width="9.5" style="142" bestFit="1" customWidth="1"/>
    <col min="4125" max="4125" width="8.625" style="142" bestFit="1" customWidth="1"/>
    <col min="4126" max="4126" width="7.25" style="142"/>
    <col min="4127" max="4127" width="9.5" style="142" bestFit="1" customWidth="1"/>
    <col min="4128" max="4132" width="8.625" style="142" bestFit="1" customWidth="1"/>
    <col min="4133" max="4133" width="7.5" style="142" bestFit="1" customWidth="1"/>
    <col min="4134" max="4134" width="8.625" style="142" bestFit="1" customWidth="1"/>
    <col min="4135" max="4135" width="7.5" style="142" bestFit="1" customWidth="1"/>
    <col min="4136" max="4136" width="8.625" style="142" bestFit="1" customWidth="1"/>
    <col min="4137" max="4353" width="7.25" style="142"/>
    <col min="4354" max="4354" width="0.625" style="142" customWidth="1"/>
    <col min="4355" max="4356" width="10.5" style="142" customWidth="1"/>
    <col min="4357" max="4363" width="9.375" style="142" customWidth="1"/>
    <col min="4364" max="4371" width="8.875" style="142" customWidth="1"/>
    <col min="4372" max="4375" width="7.25" style="142"/>
    <col min="4376" max="4378" width="8.125" style="142" bestFit="1" customWidth="1"/>
    <col min="4379" max="4379" width="8.625" style="142" bestFit="1" customWidth="1"/>
    <col min="4380" max="4380" width="9.5" style="142" bestFit="1" customWidth="1"/>
    <col min="4381" max="4381" width="8.625" style="142" bestFit="1" customWidth="1"/>
    <col min="4382" max="4382" width="7.25" style="142"/>
    <col min="4383" max="4383" width="9.5" style="142" bestFit="1" customWidth="1"/>
    <col min="4384" max="4388" width="8.625" style="142" bestFit="1" customWidth="1"/>
    <col min="4389" max="4389" width="7.5" style="142" bestFit="1" customWidth="1"/>
    <col min="4390" max="4390" width="8.625" style="142" bestFit="1" customWidth="1"/>
    <col min="4391" max="4391" width="7.5" style="142" bestFit="1" customWidth="1"/>
    <col min="4392" max="4392" width="8.625" style="142" bestFit="1" customWidth="1"/>
    <col min="4393" max="4609" width="7.25" style="142"/>
    <col min="4610" max="4610" width="0.625" style="142" customWidth="1"/>
    <col min="4611" max="4612" width="10.5" style="142" customWidth="1"/>
    <col min="4613" max="4619" width="9.375" style="142" customWidth="1"/>
    <col min="4620" max="4627" width="8.875" style="142" customWidth="1"/>
    <col min="4628" max="4631" width="7.25" style="142"/>
    <col min="4632" max="4634" width="8.125" style="142" bestFit="1" customWidth="1"/>
    <col min="4635" max="4635" width="8.625" style="142" bestFit="1" customWidth="1"/>
    <col min="4636" max="4636" width="9.5" style="142" bestFit="1" customWidth="1"/>
    <col min="4637" max="4637" width="8.625" style="142" bestFit="1" customWidth="1"/>
    <col min="4638" max="4638" width="7.25" style="142"/>
    <col min="4639" max="4639" width="9.5" style="142" bestFit="1" customWidth="1"/>
    <col min="4640" max="4644" width="8.625" style="142" bestFit="1" customWidth="1"/>
    <col min="4645" max="4645" width="7.5" style="142" bestFit="1" customWidth="1"/>
    <col min="4646" max="4646" width="8.625" style="142" bestFit="1" customWidth="1"/>
    <col min="4647" max="4647" width="7.5" style="142" bestFit="1" customWidth="1"/>
    <col min="4648" max="4648" width="8.625" style="142" bestFit="1" customWidth="1"/>
    <col min="4649" max="4865" width="7.25" style="142"/>
    <col min="4866" max="4866" width="0.625" style="142" customWidth="1"/>
    <col min="4867" max="4868" width="10.5" style="142" customWidth="1"/>
    <col min="4869" max="4875" width="9.375" style="142" customWidth="1"/>
    <col min="4876" max="4883" width="8.875" style="142" customWidth="1"/>
    <col min="4884" max="4887" width="7.25" style="142"/>
    <col min="4888" max="4890" width="8.125" style="142" bestFit="1" customWidth="1"/>
    <col min="4891" max="4891" width="8.625" style="142" bestFit="1" customWidth="1"/>
    <col min="4892" max="4892" width="9.5" style="142" bestFit="1" customWidth="1"/>
    <col min="4893" max="4893" width="8.625" style="142" bestFit="1" customWidth="1"/>
    <col min="4894" max="4894" width="7.25" style="142"/>
    <col min="4895" max="4895" width="9.5" style="142" bestFit="1" customWidth="1"/>
    <col min="4896" max="4900" width="8.625" style="142" bestFit="1" customWidth="1"/>
    <col min="4901" max="4901" width="7.5" style="142" bestFit="1" customWidth="1"/>
    <col min="4902" max="4902" width="8.625" style="142" bestFit="1" customWidth="1"/>
    <col min="4903" max="4903" width="7.5" style="142" bestFit="1" customWidth="1"/>
    <col min="4904" max="4904" width="8.625" style="142" bestFit="1" customWidth="1"/>
    <col min="4905" max="5121" width="7.25" style="142"/>
    <col min="5122" max="5122" width="0.625" style="142" customWidth="1"/>
    <col min="5123" max="5124" width="10.5" style="142" customWidth="1"/>
    <col min="5125" max="5131" width="9.375" style="142" customWidth="1"/>
    <col min="5132" max="5139" width="8.875" style="142" customWidth="1"/>
    <col min="5140" max="5143" width="7.25" style="142"/>
    <col min="5144" max="5146" width="8.125" style="142" bestFit="1" customWidth="1"/>
    <col min="5147" max="5147" width="8.625" style="142" bestFit="1" customWidth="1"/>
    <col min="5148" max="5148" width="9.5" style="142" bestFit="1" customWidth="1"/>
    <col min="5149" max="5149" width="8.625" style="142" bestFit="1" customWidth="1"/>
    <col min="5150" max="5150" width="7.25" style="142"/>
    <col min="5151" max="5151" width="9.5" style="142" bestFit="1" customWidth="1"/>
    <col min="5152" max="5156" width="8.625" style="142" bestFit="1" customWidth="1"/>
    <col min="5157" max="5157" width="7.5" style="142" bestFit="1" customWidth="1"/>
    <col min="5158" max="5158" width="8.625" style="142" bestFit="1" customWidth="1"/>
    <col min="5159" max="5159" width="7.5" style="142" bestFit="1" customWidth="1"/>
    <col min="5160" max="5160" width="8.625" style="142" bestFit="1" customWidth="1"/>
    <col min="5161" max="5377" width="7.25" style="142"/>
    <col min="5378" max="5378" width="0.625" style="142" customWidth="1"/>
    <col min="5379" max="5380" width="10.5" style="142" customWidth="1"/>
    <col min="5381" max="5387" width="9.375" style="142" customWidth="1"/>
    <col min="5388" max="5395" width="8.875" style="142" customWidth="1"/>
    <col min="5396" max="5399" width="7.25" style="142"/>
    <col min="5400" max="5402" width="8.125" style="142" bestFit="1" customWidth="1"/>
    <col min="5403" max="5403" width="8.625" style="142" bestFit="1" customWidth="1"/>
    <col min="5404" max="5404" width="9.5" style="142" bestFit="1" customWidth="1"/>
    <col min="5405" max="5405" width="8.625" style="142" bestFit="1" customWidth="1"/>
    <col min="5406" max="5406" width="7.25" style="142"/>
    <col min="5407" max="5407" width="9.5" style="142" bestFit="1" customWidth="1"/>
    <col min="5408" max="5412" width="8.625" style="142" bestFit="1" customWidth="1"/>
    <col min="5413" max="5413" width="7.5" style="142" bestFit="1" customWidth="1"/>
    <col min="5414" max="5414" width="8.625" style="142" bestFit="1" customWidth="1"/>
    <col min="5415" max="5415" width="7.5" style="142" bestFit="1" customWidth="1"/>
    <col min="5416" max="5416" width="8.625" style="142" bestFit="1" customWidth="1"/>
    <col min="5417" max="5633" width="7.25" style="142"/>
    <col min="5634" max="5634" width="0.625" style="142" customWidth="1"/>
    <col min="5635" max="5636" width="10.5" style="142" customWidth="1"/>
    <col min="5637" max="5643" width="9.375" style="142" customWidth="1"/>
    <col min="5644" max="5651" width="8.875" style="142" customWidth="1"/>
    <col min="5652" max="5655" width="7.25" style="142"/>
    <col min="5656" max="5658" width="8.125" style="142" bestFit="1" customWidth="1"/>
    <col min="5659" max="5659" width="8.625" style="142" bestFit="1" customWidth="1"/>
    <col min="5660" max="5660" width="9.5" style="142" bestFit="1" customWidth="1"/>
    <col min="5661" max="5661" width="8.625" style="142" bestFit="1" customWidth="1"/>
    <col min="5662" max="5662" width="7.25" style="142"/>
    <col min="5663" max="5663" width="9.5" style="142" bestFit="1" customWidth="1"/>
    <col min="5664" max="5668" width="8.625" style="142" bestFit="1" customWidth="1"/>
    <col min="5669" max="5669" width="7.5" style="142" bestFit="1" customWidth="1"/>
    <col min="5670" max="5670" width="8.625" style="142" bestFit="1" customWidth="1"/>
    <col min="5671" max="5671" width="7.5" style="142" bestFit="1" customWidth="1"/>
    <col min="5672" max="5672" width="8.625" style="142" bestFit="1" customWidth="1"/>
    <col min="5673" max="5889" width="7.25" style="142"/>
    <col min="5890" max="5890" width="0.625" style="142" customWidth="1"/>
    <col min="5891" max="5892" width="10.5" style="142" customWidth="1"/>
    <col min="5893" max="5899" width="9.375" style="142" customWidth="1"/>
    <col min="5900" max="5907" width="8.875" style="142" customWidth="1"/>
    <col min="5908" max="5911" width="7.25" style="142"/>
    <col min="5912" max="5914" width="8.125" style="142" bestFit="1" customWidth="1"/>
    <col min="5915" max="5915" width="8.625" style="142" bestFit="1" customWidth="1"/>
    <col min="5916" max="5916" width="9.5" style="142" bestFit="1" customWidth="1"/>
    <col min="5917" max="5917" width="8.625" style="142" bestFit="1" customWidth="1"/>
    <col min="5918" max="5918" width="7.25" style="142"/>
    <col min="5919" max="5919" width="9.5" style="142" bestFit="1" customWidth="1"/>
    <col min="5920" max="5924" width="8.625" style="142" bestFit="1" customWidth="1"/>
    <col min="5925" max="5925" width="7.5" style="142" bestFit="1" customWidth="1"/>
    <col min="5926" max="5926" width="8.625" style="142" bestFit="1" customWidth="1"/>
    <col min="5927" max="5927" width="7.5" style="142" bestFit="1" customWidth="1"/>
    <col min="5928" max="5928" width="8.625" style="142" bestFit="1" customWidth="1"/>
    <col min="5929" max="6145" width="7.25" style="142"/>
    <col min="6146" max="6146" width="0.625" style="142" customWidth="1"/>
    <col min="6147" max="6148" width="10.5" style="142" customWidth="1"/>
    <col min="6149" max="6155" width="9.375" style="142" customWidth="1"/>
    <col min="6156" max="6163" width="8.875" style="142" customWidth="1"/>
    <col min="6164" max="6167" width="7.25" style="142"/>
    <col min="6168" max="6170" width="8.125" style="142" bestFit="1" customWidth="1"/>
    <col min="6171" max="6171" width="8.625" style="142" bestFit="1" customWidth="1"/>
    <col min="6172" max="6172" width="9.5" style="142" bestFit="1" customWidth="1"/>
    <col min="6173" max="6173" width="8.625" style="142" bestFit="1" customWidth="1"/>
    <col min="6174" max="6174" width="7.25" style="142"/>
    <col min="6175" max="6175" width="9.5" style="142" bestFit="1" customWidth="1"/>
    <col min="6176" max="6180" width="8.625" style="142" bestFit="1" customWidth="1"/>
    <col min="6181" max="6181" width="7.5" style="142" bestFit="1" customWidth="1"/>
    <col min="6182" max="6182" width="8.625" style="142" bestFit="1" customWidth="1"/>
    <col min="6183" max="6183" width="7.5" style="142" bestFit="1" customWidth="1"/>
    <col min="6184" max="6184" width="8.625" style="142" bestFit="1" customWidth="1"/>
    <col min="6185" max="6401" width="7.25" style="142"/>
    <col min="6402" max="6402" width="0.625" style="142" customWidth="1"/>
    <col min="6403" max="6404" width="10.5" style="142" customWidth="1"/>
    <col min="6405" max="6411" width="9.375" style="142" customWidth="1"/>
    <col min="6412" max="6419" width="8.875" style="142" customWidth="1"/>
    <col min="6420" max="6423" width="7.25" style="142"/>
    <col min="6424" max="6426" width="8.125" style="142" bestFit="1" customWidth="1"/>
    <col min="6427" max="6427" width="8.625" style="142" bestFit="1" customWidth="1"/>
    <col min="6428" max="6428" width="9.5" style="142" bestFit="1" customWidth="1"/>
    <col min="6429" max="6429" width="8.625" style="142" bestFit="1" customWidth="1"/>
    <col min="6430" max="6430" width="7.25" style="142"/>
    <col min="6431" max="6431" width="9.5" style="142" bestFit="1" customWidth="1"/>
    <col min="6432" max="6436" width="8.625" style="142" bestFit="1" customWidth="1"/>
    <col min="6437" max="6437" width="7.5" style="142" bestFit="1" customWidth="1"/>
    <col min="6438" max="6438" width="8.625" style="142" bestFit="1" customWidth="1"/>
    <col min="6439" max="6439" width="7.5" style="142" bestFit="1" customWidth="1"/>
    <col min="6440" max="6440" width="8.625" style="142" bestFit="1" customWidth="1"/>
    <col min="6441" max="6657" width="7.25" style="142"/>
    <col min="6658" max="6658" width="0.625" style="142" customWidth="1"/>
    <col min="6659" max="6660" width="10.5" style="142" customWidth="1"/>
    <col min="6661" max="6667" width="9.375" style="142" customWidth="1"/>
    <col min="6668" max="6675" width="8.875" style="142" customWidth="1"/>
    <col min="6676" max="6679" width="7.25" style="142"/>
    <col min="6680" max="6682" width="8.125" style="142" bestFit="1" customWidth="1"/>
    <col min="6683" max="6683" width="8.625" style="142" bestFit="1" customWidth="1"/>
    <col min="6684" max="6684" width="9.5" style="142" bestFit="1" customWidth="1"/>
    <col min="6685" max="6685" width="8.625" style="142" bestFit="1" customWidth="1"/>
    <col min="6686" max="6686" width="7.25" style="142"/>
    <col min="6687" max="6687" width="9.5" style="142" bestFit="1" customWidth="1"/>
    <col min="6688" max="6692" width="8.625" style="142" bestFit="1" customWidth="1"/>
    <col min="6693" max="6693" width="7.5" style="142" bestFit="1" customWidth="1"/>
    <col min="6694" max="6694" width="8.625" style="142" bestFit="1" customWidth="1"/>
    <col min="6695" max="6695" width="7.5" style="142" bestFit="1" customWidth="1"/>
    <col min="6696" max="6696" width="8.625" style="142" bestFit="1" customWidth="1"/>
    <col min="6697" max="6913" width="7.25" style="142"/>
    <col min="6914" max="6914" width="0.625" style="142" customWidth="1"/>
    <col min="6915" max="6916" width="10.5" style="142" customWidth="1"/>
    <col min="6917" max="6923" width="9.375" style="142" customWidth="1"/>
    <col min="6924" max="6931" width="8.875" style="142" customWidth="1"/>
    <col min="6932" max="6935" width="7.25" style="142"/>
    <col min="6936" max="6938" width="8.125" style="142" bestFit="1" customWidth="1"/>
    <col min="6939" max="6939" width="8.625" style="142" bestFit="1" customWidth="1"/>
    <col min="6940" max="6940" width="9.5" style="142" bestFit="1" customWidth="1"/>
    <col min="6941" max="6941" width="8.625" style="142" bestFit="1" customWidth="1"/>
    <col min="6942" max="6942" width="7.25" style="142"/>
    <col min="6943" max="6943" width="9.5" style="142" bestFit="1" customWidth="1"/>
    <col min="6944" max="6948" width="8.625" style="142" bestFit="1" customWidth="1"/>
    <col min="6949" max="6949" width="7.5" style="142" bestFit="1" customWidth="1"/>
    <col min="6950" max="6950" width="8.625" style="142" bestFit="1" customWidth="1"/>
    <col min="6951" max="6951" width="7.5" style="142" bestFit="1" customWidth="1"/>
    <col min="6952" max="6952" width="8.625" style="142" bestFit="1" customWidth="1"/>
    <col min="6953" max="7169" width="7.25" style="142"/>
    <col min="7170" max="7170" width="0.625" style="142" customWidth="1"/>
    <col min="7171" max="7172" width="10.5" style="142" customWidth="1"/>
    <col min="7173" max="7179" width="9.375" style="142" customWidth="1"/>
    <col min="7180" max="7187" width="8.875" style="142" customWidth="1"/>
    <col min="7188" max="7191" width="7.25" style="142"/>
    <col min="7192" max="7194" width="8.125" style="142" bestFit="1" customWidth="1"/>
    <col min="7195" max="7195" width="8.625" style="142" bestFit="1" customWidth="1"/>
    <col min="7196" max="7196" width="9.5" style="142" bestFit="1" customWidth="1"/>
    <col min="7197" max="7197" width="8.625" style="142" bestFit="1" customWidth="1"/>
    <col min="7198" max="7198" width="7.25" style="142"/>
    <col min="7199" max="7199" width="9.5" style="142" bestFit="1" customWidth="1"/>
    <col min="7200" max="7204" width="8.625" style="142" bestFit="1" customWidth="1"/>
    <col min="7205" max="7205" width="7.5" style="142" bestFit="1" customWidth="1"/>
    <col min="7206" max="7206" width="8.625" style="142" bestFit="1" customWidth="1"/>
    <col min="7207" max="7207" width="7.5" style="142" bestFit="1" customWidth="1"/>
    <col min="7208" max="7208" width="8.625" style="142" bestFit="1" customWidth="1"/>
    <col min="7209" max="7425" width="7.25" style="142"/>
    <col min="7426" max="7426" width="0.625" style="142" customWidth="1"/>
    <col min="7427" max="7428" width="10.5" style="142" customWidth="1"/>
    <col min="7429" max="7435" width="9.375" style="142" customWidth="1"/>
    <col min="7436" max="7443" width="8.875" style="142" customWidth="1"/>
    <col min="7444" max="7447" width="7.25" style="142"/>
    <col min="7448" max="7450" width="8.125" style="142" bestFit="1" customWidth="1"/>
    <col min="7451" max="7451" width="8.625" style="142" bestFit="1" customWidth="1"/>
    <col min="7452" max="7452" width="9.5" style="142" bestFit="1" customWidth="1"/>
    <col min="7453" max="7453" width="8.625" style="142" bestFit="1" customWidth="1"/>
    <col min="7454" max="7454" width="7.25" style="142"/>
    <col min="7455" max="7455" width="9.5" style="142" bestFit="1" customWidth="1"/>
    <col min="7456" max="7460" width="8.625" style="142" bestFit="1" customWidth="1"/>
    <col min="7461" max="7461" width="7.5" style="142" bestFit="1" customWidth="1"/>
    <col min="7462" max="7462" width="8.625" style="142" bestFit="1" customWidth="1"/>
    <col min="7463" max="7463" width="7.5" style="142" bestFit="1" customWidth="1"/>
    <col min="7464" max="7464" width="8.625" style="142" bestFit="1" customWidth="1"/>
    <col min="7465" max="7681" width="7.25" style="142"/>
    <col min="7682" max="7682" width="0.625" style="142" customWidth="1"/>
    <col min="7683" max="7684" width="10.5" style="142" customWidth="1"/>
    <col min="7685" max="7691" width="9.375" style="142" customWidth="1"/>
    <col min="7692" max="7699" width="8.875" style="142" customWidth="1"/>
    <col min="7700" max="7703" width="7.25" style="142"/>
    <col min="7704" max="7706" width="8.125" style="142" bestFit="1" customWidth="1"/>
    <col min="7707" max="7707" width="8.625" style="142" bestFit="1" customWidth="1"/>
    <col min="7708" max="7708" width="9.5" style="142" bestFit="1" customWidth="1"/>
    <col min="7709" max="7709" width="8.625" style="142" bestFit="1" customWidth="1"/>
    <col min="7710" max="7710" width="7.25" style="142"/>
    <col min="7711" max="7711" width="9.5" style="142" bestFit="1" customWidth="1"/>
    <col min="7712" max="7716" width="8.625" style="142" bestFit="1" customWidth="1"/>
    <col min="7717" max="7717" width="7.5" style="142" bestFit="1" customWidth="1"/>
    <col min="7718" max="7718" width="8.625" style="142" bestFit="1" customWidth="1"/>
    <col min="7719" max="7719" width="7.5" style="142" bestFit="1" customWidth="1"/>
    <col min="7720" max="7720" width="8.625" style="142" bestFit="1" customWidth="1"/>
    <col min="7721" max="7937" width="7.25" style="142"/>
    <col min="7938" max="7938" width="0.625" style="142" customWidth="1"/>
    <col min="7939" max="7940" width="10.5" style="142" customWidth="1"/>
    <col min="7941" max="7947" width="9.375" style="142" customWidth="1"/>
    <col min="7948" max="7955" width="8.875" style="142" customWidth="1"/>
    <col min="7956" max="7959" width="7.25" style="142"/>
    <col min="7960" max="7962" width="8.125" style="142" bestFit="1" customWidth="1"/>
    <col min="7963" max="7963" width="8.625" style="142" bestFit="1" customWidth="1"/>
    <col min="7964" max="7964" width="9.5" style="142" bestFit="1" customWidth="1"/>
    <col min="7965" max="7965" width="8.625" style="142" bestFit="1" customWidth="1"/>
    <col min="7966" max="7966" width="7.25" style="142"/>
    <col min="7967" max="7967" width="9.5" style="142" bestFit="1" customWidth="1"/>
    <col min="7968" max="7972" width="8.625" style="142" bestFit="1" customWidth="1"/>
    <col min="7973" max="7973" width="7.5" style="142" bestFit="1" customWidth="1"/>
    <col min="7974" max="7974" width="8.625" style="142" bestFit="1" customWidth="1"/>
    <col min="7975" max="7975" width="7.5" style="142" bestFit="1" customWidth="1"/>
    <col min="7976" max="7976" width="8.625" style="142" bestFit="1" customWidth="1"/>
    <col min="7977" max="8193" width="7.25" style="142"/>
    <col min="8194" max="8194" width="0.625" style="142" customWidth="1"/>
    <col min="8195" max="8196" width="10.5" style="142" customWidth="1"/>
    <col min="8197" max="8203" width="9.375" style="142" customWidth="1"/>
    <col min="8204" max="8211" width="8.875" style="142" customWidth="1"/>
    <col min="8212" max="8215" width="7.25" style="142"/>
    <col min="8216" max="8218" width="8.125" style="142" bestFit="1" customWidth="1"/>
    <col min="8219" max="8219" width="8.625" style="142" bestFit="1" customWidth="1"/>
    <col min="8220" max="8220" width="9.5" style="142" bestFit="1" customWidth="1"/>
    <col min="8221" max="8221" width="8.625" style="142" bestFit="1" customWidth="1"/>
    <col min="8222" max="8222" width="7.25" style="142"/>
    <col min="8223" max="8223" width="9.5" style="142" bestFit="1" customWidth="1"/>
    <col min="8224" max="8228" width="8.625" style="142" bestFit="1" customWidth="1"/>
    <col min="8229" max="8229" width="7.5" style="142" bestFit="1" customWidth="1"/>
    <col min="8230" max="8230" width="8.625" style="142" bestFit="1" customWidth="1"/>
    <col min="8231" max="8231" width="7.5" style="142" bestFit="1" customWidth="1"/>
    <col min="8232" max="8232" width="8.625" style="142" bestFit="1" customWidth="1"/>
    <col min="8233" max="8449" width="7.25" style="142"/>
    <col min="8450" max="8450" width="0.625" style="142" customWidth="1"/>
    <col min="8451" max="8452" width="10.5" style="142" customWidth="1"/>
    <col min="8453" max="8459" width="9.375" style="142" customWidth="1"/>
    <col min="8460" max="8467" width="8.875" style="142" customWidth="1"/>
    <col min="8468" max="8471" width="7.25" style="142"/>
    <col min="8472" max="8474" width="8.125" style="142" bestFit="1" customWidth="1"/>
    <col min="8475" max="8475" width="8.625" style="142" bestFit="1" customWidth="1"/>
    <col min="8476" max="8476" width="9.5" style="142" bestFit="1" customWidth="1"/>
    <col min="8477" max="8477" width="8.625" style="142" bestFit="1" customWidth="1"/>
    <col min="8478" max="8478" width="7.25" style="142"/>
    <col min="8479" max="8479" width="9.5" style="142" bestFit="1" customWidth="1"/>
    <col min="8480" max="8484" width="8.625" style="142" bestFit="1" customWidth="1"/>
    <col min="8485" max="8485" width="7.5" style="142" bestFit="1" customWidth="1"/>
    <col min="8486" max="8486" width="8.625" style="142" bestFit="1" customWidth="1"/>
    <col min="8487" max="8487" width="7.5" style="142" bestFit="1" customWidth="1"/>
    <col min="8488" max="8488" width="8.625" style="142" bestFit="1" customWidth="1"/>
    <col min="8489" max="8705" width="7.25" style="142"/>
    <col min="8706" max="8706" width="0.625" style="142" customWidth="1"/>
    <col min="8707" max="8708" width="10.5" style="142" customWidth="1"/>
    <col min="8709" max="8715" width="9.375" style="142" customWidth="1"/>
    <col min="8716" max="8723" width="8.875" style="142" customWidth="1"/>
    <col min="8724" max="8727" width="7.25" style="142"/>
    <col min="8728" max="8730" width="8.125" style="142" bestFit="1" customWidth="1"/>
    <col min="8731" max="8731" width="8.625" style="142" bestFit="1" customWidth="1"/>
    <col min="8732" max="8732" width="9.5" style="142" bestFit="1" customWidth="1"/>
    <col min="8733" max="8733" width="8.625" style="142" bestFit="1" customWidth="1"/>
    <col min="8734" max="8734" width="7.25" style="142"/>
    <col min="8735" max="8735" width="9.5" style="142" bestFit="1" customWidth="1"/>
    <col min="8736" max="8740" width="8.625" style="142" bestFit="1" customWidth="1"/>
    <col min="8741" max="8741" width="7.5" style="142" bestFit="1" customWidth="1"/>
    <col min="8742" max="8742" width="8.625" style="142" bestFit="1" customWidth="1"/>
    <col min="8743" max="8743" width="7.5" style="142" bestFit="1" customWidth="1"/>
    <col min="8744" max="8744" width="8.625" style="142" bestFit="1" customWidth="1"/>
    <col min="8745" max="8961" width="7.25" style="142"/>
    <col min="8962" max="8962" width="0.625" style="142" customWidth="1"/>
    <col min="8963" max="8964" width="10.5" style="142" customWidth="1"/>
    <col min="8965" max="8971" width="9.375" style="142" customWidth="1"/>
    <col min="8972" max="8979" width="8.875" style="142" customWidth="1"/>
    <col min="8980" max="8983" width="7.25" style="142"/>
    <col min="8984" max="8986" width="8.125" style="142" bestFit="1" customWidth="1"/>
    <col min="8987" max="8987" width="8.625" style="142" bestFit="1" customWidth="1"/>
    <col min="8988" max="8988" width="9.5" style="142" bestFit="1" customWidth="1"/>
    <col min="8989" max="8989" width="8.625" style="142" bestFit="1" customWidth="1"/>
    <col min="8990" max="8990" width="7.25" style="142"/>
    <col min="8991" max="8991" width="9.5" style="142" bestFit="1" customWidth="1"/>
    <col min="8992" max="8996" width="8.625" style="142" bestFit="1" customWidth="1"/>
    <col min="8997" max="8997" width="7.5" style="142" bestFit="1" customWidth="1"/>
    <col min="8998" max="8998" width="8.625" style="142" bestFit="1" customWidth="1"/>
    <col min="8999" max="8999" width="7.5" style="142" bestFit="1" customWidth="1"/>
    <col min="9000" max="9000" width="8.625" style="142" bestFit="1" customWidth="1"/>
    <col min="9001" max="9217" width="7.25" style="142"/>
    <col min="9218" max="9218" width="0.625" style="142" customWidth="1"/>
    <col min="9219" max="9220" width="10.5" style="142" customWidth="1"/>
    <col min="9221" max="9227" width="9.375" style="142" customWidth="1"/>
    <col min="9228" max="9235" width="8.875" style="142" customWidth="1"/>
    <col min="9236" max="9239" width="7.25" style="142"/>
    <col min="9240" max="9242" width="8.125" style="142" bestFit="1" customWidth="1"/>
    <col min="9243" max="9243" width="8.625" style="142" bestFit="1" customWidth="1"/>
    <col min="9244" max="9244" width="9.5" style="142" bestFit="1" customWidth="1"/>
    <col min="9245" max="9245" width="8.625" style="142" bestFit="1" customWidth="1"/>
    <col min="9246" max="9246" width="7.25" style="142"/>
    <col min="9247" max="9247" width="9.5" style="142" bestFit="1" customWidth="1"/>
    <col min="9248" max="9252" width="8.625" style="142" bestFit="1" customWidth="1"/>
    <col min="9253" max="9253" width="7.5" style="142" bestFit="1" customWidth="1"/>
    <col min="9254" max="9254" width="8.625" style="142" bestFit="1" customWidth="1"/>
    <col min="9255" max="9255" width="7.5" style="142" bestFit="1" customWidth="1"/>
    <col min="9256" max="9256" width="8.625" style="142" bestFit="1" customWidth="1"/>
    <col min="9257" max="9473" width="7.25" style="142"/>
    <col min="9474" max="9474" width="0.625" style="142" customWidth="1"/>
    <col min="9475" max="9476" width="10.5" style="142" customWidth="1"/>
    <col min="9477" max="9483" width="9.375" style="142" customWidth="1"/>
    <col min="9484" max="9491" width="8.875" style="142" customWidth="1"/>
    <col min="9492" max="9495" width="7.25" style="142"/>
    <col min="9496" max="9498" width="8.125" style="142" bestFit="1" customWidth="1"/>
    <col min="9499" max="9499" width="8.625" style="142" bestFit="1" customWidth="1"/>
    <col min="9500" max="9500" width="9.5" style="142" bestFit="1" customWidth="1"/>
    <col min="9501" max="9501" width="8.625" style="142" bestFit="1" customWidth="1"/>
    <col min="9502" max="9502" width="7.25" style="142"/>
    <col min="9503" max="9503" width="9.5" style="142" bestFit="1" customWidth="1"/>
    <col min="9504" max="9508" width="8.625" style="142" bestFit="1" customWidth="1"/>
    <col min="9509" max="9509" width="7.5" style="142" bestFit="1" customWidth="1"/>
    <col min="9510" max="9510" width="8.625" style="142" bestFit="1" customWidth="1"/>
    <col min="9511" max="9511" width="7.5" style="142" bestFit="1" customWidth="1"/>
    <col min="9512" max="9512" width="8.625" style="142" bestFit="1" customWidth="1"/>
    <col min="9513" max="9729" width="7.25" style="142"/>
    <col min="9730" max="9730" width="0.625" style="142" customWidth="1"/>
    <col min="9731" max="9732" width="10.5" style="142" customWidth="1"/>
    <col min="9733" max="9739" width="9.375" style="142" customWidth="1"/>
    <col min="9740" max="9747" width="8.875" style="142" customWidth="1"/>
    <col min="9748" max="9751" width="7.25" style="142"/>
    <col min="9752" max="9754" width="8.125" style="142" bestFit="1" customWidth="1"/>
    <col min="9755" max="9755" width="8.625" style="142" bestFit="1" customWidth="1"/>
    <col min="9756" max="9756" width="9.5" style="142" bestFit="1" customWidth="1"/>
    <col min="9757" max="9757" width="8.625" style="142" bestFit="1" customWidth="1"/>
    <col min="9758" max="9758" width="7.25" style="142"/>
    <col min="9759" max="9759" width="9.5" style="142" bestFit="1" customWidth="1"/>
    <col min="9760" max="9764" width="8.625" style="142" bestFit="1" customWidth="1"/>
    <col min="9765" max="9765" width="7.5" style="142" bestFit="1" customWidth="1"/>
    <col min="9766" max="9766" width="8.625" style="142" bestFit="1" customWidth="1"/>
    <col min="9767" max="9767" width="7.5" style="142" bestFit="1" customWidth="1"/>
    <col min="9768" max="9768" width="8.625" style="142" bestFit="1" customWidth="1"/>
    <col min="9769" max="9985" width="7.25" style="142"/>
    <col min="9986" max="9986" width="0.625" style="142" customWidth="1"/>
    <col min="9987" max="9988" width="10.5" style="142" customWidth="1"/>
    <col min="9989" max="9995" width="9.375" style="142" customWidth="1"/>
    <col min="9996" max="10003" width="8.875" style="142" customWidth="1"/>
    <col min="10004" max="10007" width="7.25" style="142"/>
    <col min="10008" max="10010" width="8.125" style="142" bestFit="1" customWidth="1"/>
    <col min="10011" max="10011" width="8.625" style="142" bestFit="1" customWidth="1"/>
    <col min="10012" max="10012" width="9.5" style="142" bestFit="1" customWidth="1"/>
    <col min="10013" max="10013" width="8.625" style="142" bestFit="1" customWidth="1"/>
    <col min="10014" max="10014" width="7.25" style="142"/>
    <col min="10015" max="10015" width="9.5" style="142" bestFit="1" customWidth="1"/>
    <col min="10016" max="10020" width="8.625" style="142" bestFit="1" customWidth="1"/>
    <col min="10021" max="10021" width="7.5" style="142" bestFit="1" customWidth="1"/>
    <col min="10022" max="10022" width="8.625" style="142" bestFit="1" customWidth="1"/>
    <col min="10023" max="10023" width="7.5" style="142" bestFit="1" customWidth="1"/>
    <col min="10024" max="10024" width="8.625" style="142" bestFit="1" customWidth="1"/>
    <col min="10025" max="10241" width="7.25" style="142"/>
    <col min="10242" max="10242" width="0.625" style="142" customWidth="1"/>
    <col min="10243" max="10244" width="10.5" style="142" customWidth="1"/>
    <col min="10245" max="10251" width="9.375" style="142" customWidth="1"/>
    <col min="10252" max="10259" width="8.875" style="142" customWidth="1"/>
    <col min="10260" max="10263" width="7.25" style="142"/>
    <col min="10264" max="10266" width="8.125" style="142" bestFit="1" customWidth="1"/>
    <col min="10267" max="10267" width="8.625" style="142" bestFit="1" customWidth="1"/>
    <col min="10268" max="10268" width="9.5" style="142" bestFit="1" customWidth="1"/>
    <col min="10269" max="10269" width="8.625" style="142" bestFit="1" customWidth="1"/>
    <col min="10270" max="10270" width="7.25" style="142"/>
    <col min="10271" max="10271" width="9.5" style="142" bestFit="1" customWidth="1"/>
    <col min="10272" max="10276" width="8.625" style="142" bestFit="1" customWidth="1"/>
    <col min="10277" max="10277" width="7.5" style="142" bestFit="1" customWidth="1"/>
    <col min="10278" max="10278" width="8.625" style="142" bestFit="1" customWidth="1"/>
    <col min="10279" max="10279" width="7.5" style="142" bestFit="1" customWidth="1"/>
    <col min="10280" max="10280" width="8.625" style="142" bestFit="1" customWidth="1"/>
    <col min="10281" max="10497" width="7.25" style="142"/>
    <col min="10498" max="10498" width="0.625" style="142" customWidth="1"/>
    <col min="10499" max="10500" width="10.5" style="142" customWidth="1"/>
    <col min="10501" max="10507" width="9.375" style="142" customWidth="1"/>
    <col min="10508" max="10515" width="8.875" style="142" customWidth="1"/>
    <col min="10516" max="10519" width="7.25" style="142"/>
    <col min="10520" max="10522" width="8.125" style="142" bestFit="1" customWidth="1"/>
    <col min="10523" max="10523" width="8.625" style="142" bestFit="1" customWidth="1"/>
    <col min="10524" max="10524" width="9.5" style="142" bestFit="1" customWidth="1"/>
    <col min="10525" max="10525" width="8.625" style="142" bestFit="1" customWidth="1"/>
    <col min="10526" max="10526" width="7.25" style="142"/>
    <col min="10527" max="10527" width="9.5" style="142" bestFit="1" customWidth="1"/>
    <col min="10528" max="10532" width="8.625" style="142" bestFit="1" customWidth="1"/>
    <col min="10533" max="10533" width="7.5" style="142" bestFit="1" customWidth="1"/>
    <col min="10534" max="10534" width="8.625" style="142" bestFit="1" customWidth="1"/>
    <col min="10535" max="10535" width="7.5" style="142" bestFit="1" customWidth="1"/>
    <col min="10536" max="10536" width="8.625" style="142" bestFit="1" customWidth="1"/>
    <col min="10537" max="10753" width="7.25" style="142"/>
    <col min="10754" max="10754" width="0.625" style="142" customWidth="1"/>
    <col min="10755" max="10756" width="10.5" style="142" customWidth="1"/>
    <col min="10757" max="10763" width="9.375" style="142" customWidth="1"/>
    <col min="10764" max="10771" width="8.875" style="142" customWidth="1"/>
    <col min="10772" max="10775" width="7.25" style="142"/>
    <col min="10776" max="10778" width="8.125" style="142" bestFit="1" customWidth="1"/>
    <col min="10779" max="10779" width="8.625" style="142" bestFit="1" customWidth="1"/>
    <col min="10780" max="10780" width="9.5" style="142" bestFit="1" customWidth="1"/>
    <col min="10781" max="10781" width="8.625" style="142" bestFit="1" customWidth="1"/>
    <col min="10782" max="10782" width="7.25" style="142"/>
    <col min="10783" max="10783" width="9.5" style="142" bestFit="1" customWidth="1"/>
    <col min="10784" max="10788" width="8.625" style="142" bestFit="1" customWidth="1"/>
    <col min="10789" max="10789" width="7.5" style="142" bestFit="1" customWidth="1"/>
    <col min="10790" max="10790" width="8.625" style="142" bestFit="1" customWidth="1"/>
    <col min="10791" max="10791" width="7.5" style="142" bestFit="1" customWidth="1"/>
    <col min="10792" max="10792" width="8.625" style="142" bestFit="1" customWidth="1"/>
    <col min="10793" max="11009" width="7.25" style="142"/>
    <col min="11010" max="11010" width="0.625" style="142" customWidth="1"/>
    <col min="11011" max="11012" width="10.5" style="142" customWidth="1"/>
    <col min="11013" max="11019" width="9.375" style="142" customWidth="1"/>
    <col min="11020" max="11027" width="8.875" style="142" customWidth="1"/>
    <col min="11028" max="11031" width="7.25" style="142"/>
    <col min="11032" max="11034" width="8.125" style="142" bestFit="1" customWidth="1"/>
    <col min="11035" max="11035" width="8.625" style="142" bestFit="1" customWidth="1"/>
    <col min="11036" max="11036" width="9.5" style="142" bestFit="1" customWidth="1"/>
    <col min="11037" max="11037" width="8.625" style="142" bestFit="1" customWidth="1"/>
    <col min="11038" max="11038" width="7.25" style="142"/>
    <col min="11039" max="11039" width="9.5" style="142" bestFit="1" customWidth="1"/>
    <col min="11040" max="11044" width="8.625" style="142" bestFit="1" customWidth="1"/>
    <col min="11045" max="11045" width="7.5" style="142" bestFit="1" customWidth="1"/>
    <col min="11046" max="11046" width="8.625" style="142" bestFit="1" customWidth="1"/>
    <col min="11047" max="11047" width="7.5" style="142" bestFit="1" customWidth="1"/>
    <col min="11048" max="11048" width="8.625" style="142" bestFit="1" customWidth="1"/>
    <col min="11049" max="11265" width="7.25" style="142"/>
    <col min="11266" max="11266" width="0.625" style="142" customWidth="1"/>
    <col min="11267" max="11268" width="10.5" style="142" customWidth="1"/>
    <col min="11269" max="11275" width="9.375" style="142" customWidth="1"/>
    <col min="11276" max="11283" width="8.875" style="142" customWidth="1"/>
    <col min="11284" max="11287" width="7.25" style="142"/>
    <col min="11288" max="11290" width="8.125" style="142" bestFit="1" customWidth="1"/>
    <col min="11291" max="11291" width="8.625" style="142" bestFit="1" customWidth="1"/>
    <col min="11292" max="11292" width="9.5" style="142" bestFit="1" customWidth="1"/>
    <col min="11293" max="11293" width="8.625" style="142" bestFit="1" customWidth="1"/>
    <col min="11294" max="11294" width="7.25" style="142"/>
    <col min="11295" max="11295" width="9.5" style="142" bestFit="1" customWidth="1"/>
    <col min="11296" max="11300" width="8.625" style="142" bestFit="1" customWidth="1"/>
    <col min="11301" max="11301" width="7.5" style="142" bestFit="1" customWidth="1"/>
    <col min="11302" max="11302" width="8.625" style="142" bestFit="1" customWidth="1"/>
    <col min="11303" max="11303" width="7.5" style="142" bestFit="1" customWidth="1"/>
    <col min="11304" max="11304" width="8.625" style="142" bestFit="1" customWidth="1"/>
    <col min="11305" max="11521" width="7.25" style="142"/>
    <col min="11522" max="11522" width="0.625" style="142" customWidth="1"/>
    <col min="11523" max="11524" width="10.5" style="142" customWidth="1"/>
    <col min="11525" max="11531" width="9.375" style="142" customWidth="1"/>
    <col min="11532" max="11539" width="8.875" style="142" customWidth="1"/>
    <col min="11540" max="11543" width="7.25" style="142"/>
    <col min="11544" max="11546" width="8.125" style="142" bestFit="1" customWidth="1"/>
    <col min="11547" max="11547" width="8.625" style="142" bestFit="1" customWidth="1"/>
    <col min="11548" max="11548" width="9.5" style="142" bestFit="1" customWidth="1"/>
    <col min="11549" max="11549" width="8.625" style="142" bestFit="1" customWidth="1"/>
    <col min="11550" max="11550" width="7.25" style="142"/>
    <col min="11551" max="11551" width="9.5" style="142" bestFit="1" customWidth="1"/>
    <col min="11552" max="11556" width="8.625" style="142" bestFit="1" customWidth="1"/>
    <col min="11557" max="11557" width="7.5" style="142" bestFit="1" customWidth="1"/>
    <col min="11558" max="11558" width="8.625" style="142" bestFit="1" customWidth="1"/>
    <col min="11559" max="11559" width="7.5" style="142" bestFit="1" customWidth="1"/>
    <col min="11560" max="11560" width="8.625" style="142" bestFit="1" customWidth="1"/>
    <col min="11561" max="11777" width="7.25" style="142"/>
    <col min="11778" max="11778" width="0.625" style="142" customWidth="1"/>
    <col min="11779" max="11780" width="10.5" style="142" customWidth="1"/>
    <col min="11781" max="11787" width="9.375" style="142" customWidth="1"/>
    <col min="11788" max="11795" width="8.875" style="142" customWidth="1"/>
    <col min="11796" max="11799" width="7.25" style="142"/>
    <col min="11800" max="11802" width="8.125" style="142" bestFit="1" customWidth="1"/>
    <col min="11803" max="11803" width="8.625" style="142" bestFit="1" customWidth="1"/>
    <col min="11804" max="11804" width="9.5" style="142" bestFit="1" customWidth="1"/>
    <col min="11805" max="11805" width="8.625" style="142" bestFit="1" customWidth="1"/>
    <col min="11806" max="11806" width="7.25" style="142"/>
    <col min="11807" max="11807" width="9.5" style="142" bestFit="1" customWidth="1"/>
    <col min="11808" max="11812" width="8.625" style="142" bestFit="1" customWidth="1"/>
    <col min="11813" max="11813" width="7.5" style="142" bestFit="1" customWidth="1"/>
    <col min="11814" max="11814" width="8.625" style="142" bestFit="1" customWidth="1"/>
    <col min="11815" max="11815" width="7.5" style="142" bestFit="1" customWidth="1"/>
    <col min="11816" max="11816" width="8.625" style="142" bestFit="1" customWidth="1"/>
    <col min="11817" max="12033" width="7.25" style="142"/>
    <col min="12034" max="12034" width="0.625" style="142" customWidth="1"/>
    <col min="12035" max="12036" width="10.5" style="142" customWidth="1"/>
    <col min="12037" max="12043" width="9.375" style="142" customWidth="1"/>
    <col min="12044" max="12051" width="8.875" style="142" customWidth="1"/>
    <col min="12052" max="12055" width="7.25" style="142"/>
    <col min="12056" max="12058" width="8.125" style="142" bestFit="1" customWidth="1"/>
    <col min="12059" max="12059" width="8.625" style="142" bestFit="1" customWidth="1"/>
    <col min="12060" max="12060" width="9.5" style="142" bestFit="1" customWidth="1"/>
    <col min="12061" max="12061" width="8.625" style="142" bestFit="1" customWidth="1"/>
    <col min="12062" max="12062" width="7.25" style="142"/>
    <col min="12063" max="12063" width="9.5" style="142" bestFit="1" customWidth="1"/>
    <col min="12064" max="12068" width="8.625" style="142" bestFit="1" customWidth="1"/>
    <col min="12069" max="12069" width="7.5" style="142" bestFit="1" customWidth="1"/>
    <col min="12070" max="12070" width="8.625" style="142" bestFit="1" customWidth="1"/>
    <col min="12071" max="12071" width="7.5" style="142" bestFit="1" customWidth="1"/>
    <col min="12072" max="12072" width="8.625" style="142" bestFit="1" customWidth="1"/>
    <col min="12073" max="12289" width="7.25" style="142"/>
    <col min="12290" max="12290" width="0.625" style="142" customWidth="1"/>
    <col min="12291" max="12292" width="10.5" style="142" customWidth="1"/>
    <col min="12293" max="12299" width="9.375" style="142" customWidth="1"/>
    <col min="12300" max="12307" width="8.875" style="142" customWidth="1"/>
    <col min="12308" max="12311" width="7.25" style="142"/>
    <col min="12312" max="12314" width="8.125" style="142" bestFit="1" customWidth="1"/>
    <col min="12315" max="12315" width="8.625" style="142" bestFit="1" customWidth="1"/>
    <col min="12316" max="12316" width="9.5" style="142" bestFit="1" customWidth="1"/>
    <col min="12317" max="12317" width="8.625" style="142" bestFit="1" customWidth="1"/>
    <col min="12318" max="12318" width="7.25" style="142"/>
    <col min="12319" max="12319" width="9.5" style="142" bestFit="1" customWidth="1"/>
    <col min="12320" max="12324" width="8.625" style="142" bestFit="1" customWidth="1"/>
    <col min="12325" max="12325" width="7.5" style="142" bestFit="1" customWidth="1"/>
    <col min="12326" max="12326" width="8.625" style="142" bestFit="1" customWidth="1"/>
    <col min="12327" max="12327" width="7.5" style="142" bestFit="1" customWidth="1"/>
    <col min="12328" max="12328" width="8.625" style="142" bestFit="1" customWidth="1"/>
    <col min="12329" max="12545" width="7.25" style="142"/>
    <col min="12546" max="12546" width="0.625" style="142" customWidth="1"/>
    <col min="12547" max="12548" width="10.5" style="142" customWidth="1"/>
    <col min="12549" max="12555" width="9.375" style="142" customWidth="1"/>
    <col min="12556" max="12563" width="8.875" style="142" customWidth="1"/>
    <col min="12564" max="12567" width="7.25" style="142"/>
    <col min="12568" max="12570" width="8.125" style="142" bestFit="1" customWidth="1"/>
    <col min="12571" max="12571" width="8.625" style="142" bestFit="1" customWidth="1"/>
    <col min="12572" max="12572" width="9.5" style="142" bestFit="1" customWidth="1"/>
    <col min="12573" max="12573" width="8.625" style="142" bestFit="1" customWidth="1"/>
    <col min="12574" max="12574" width="7.25" style="142"/>
    <col min="12575" max="12575" width="9.5" style="142" bestFit="1" customWidth="1"/>
    <col min="12576" max="12580" width="8.625" style="142" bestFit="1" customWidth="1"/>
    <col min="12581" max="12581" width="7.5" style="142" bestFit="1" customWidth="1"/>
    <col min="12582" max="12582" width="8.625" style="142" bestFit="1" customWidth="1"/>
    <col min="12583" max="12583" width="7.5" style="142" bestFit="1" customWidth="1"/>
    <col min="12584" max="12584" width="8.625" style="142" bestFit="1" customWidth="1"/>
    <col min="12585" max="12801" width="7.25" style="142"/>
    <col min="12802" max="12802" width="0.625" style="142" customWidth="1"/>
    <col min="12803" max="12804" width="10.5" style="142" customWidth="1"/>
    <col min="12805" max="12811" width="9.375" style="142" customWidth="1"/>
    <col min="12812" max="12819" width="8.875" style="142" customWidth="1"/>
    <col min="12820" max="12823" width="7.25" style="142"/>
    <col min="12824" max="12826" width="8.125" style="142" bestFit="1" customWidth="1"/>
    <col min="12827" max="12827" width="8.625" style="142" bestFit="1" customWidth="1"/>
    <col min="12828" max="12828" width="9.5" style="142" bestFit="1" customWidth="1"/>
    <col min="12829" max="12829" width="8.625" style="142" bestFit="1" customWidth="1"/>
    <col min="12830" max="12830" width="7.25" style="142"/>
    <col min="12831" max="12831" width="9.5" style="142" bestFit="1" customWidth="1"/>
    <col min="12832" max="12836" width="8.625" style="142" bestFit="1" customWidth="1"/>
    <col min="12837" max="12837" width="7.5" style="142" bestFit="1" customWidth="1"/>
    <col min="12838" max="12838" width="8.625" style="142" bestFit="1" customWidth="1"/>
    <col min="12839" max="12839" width="7.5" style="142" bestFit="1" customWidth="1"/>
    <col min="12840" max="12840" width="8.625" style="142" bestFit="1" customWidth="1"/>
    <col min="12841" max="13057" width="7.25" style="142"/>
    <col min="13058" max="13058" width="0.625" style="142" customWidth="1"/>
    <col min="13059" max="13060" width="10.5" style="142" customWidth="1"/>
    <col min="13061" max="13067" width="9.375" style="142" customWidth="1"/>
    <col min="13068" max="13075" width="8.875" style="142" customWidth="1"/>
    <col min="13076" max="13079" width="7.25" style="142"/>
    <col min="13080" max="13082" width="8.125" style="142" bestFit="1" customWidth="1"/>
    <col min="13083" max="13083" width="8.625" style="142" bestFit="1" customWidth="1"/>
    <col min="13084" max="13084" width="9.5" style="142" bestFit="1" customWidth="1"/>
    <col min="13085" max="13085" width="8.625" style="142" bestFit="1" customWidth="1"/>
    <col min="13086" max="13086" width="7.25" style="142"/>
    <col min="13087" max="13087" width="9.5" style="142" bestFit="1" customWidth="1"/>
    <col min="13088" max="13092" width="8.625" style="142" bestFit="1" customWidth="1"/>
    <col min="13093" max="13093" width="7.5" style="142" bestFit="1" customWidth="1"/>
    <col min="13094" max="13094" width="8.625" style="142" bestFit="1" customWidth="1"/>
    <col min="13095" max="13095" width="7.5" style="142" bestFit="1" customWidth="1"/>
    <col min="13096" max="13096" width="8.625" style="142" bestFit="1" customWidth="1"/>
    <col min="13097" max="13313" width="7.25" style="142"/>
    <col min="13314" max="13314" width="0.625" style="142" customWidth="1"/>
    <col min="13315" max="13316" width="10.5" style="142" customWidth="1"/>
    <col min="13317" max="13323" width="9.375" style="142" customWidth="1"/>
    <col min="13324" max="13331" width="8.875" style="142" customWidth="1"/>
    <col min="13332" max="13335" width="7.25" style="142"/>
    <col min="13336" max="13338" width="8.125" style="142" bestFit="1" customWidth="1"/>
    <col min="13339" max="13339" width="8.625" style="142" bestFit="1" customWidth="1"/>
    <col min="13340" max="13340" width="9.5" style="142" bestFit="1" customWidth="1"/>
    <col min="13341" max="13341" width="8.625" style="142" bestFit="1" customWidth="1"/>
    <col min="13342" max="13342" width="7.25" style="142"/>
    <col min="13343" max="13343" width="9.5" style="142" bestFit="1" customWidth="1"/>
    <col min="13344" max="13348" width="8.625" style="142" bestFit="1" customWidth="1"/>
    <col min="13349" max="13349" width="7.5" style="142" bestFit="1" customWidth="1"/>
    <col min="13350" max="13350" width="8.625" style="142" bestFit="1" customWidth="1"/>
    <col min="13351" max="13351" width="7.5" style="142" bestFit="1" customWidth="1"/>
    <col min="13352" max="13352" width="8.625" style="142" bestFit="1" customWidth="1"/>
    <col min="13353" max="13569" width="7.25" style="142"/>
    <col min="13570" max="13570" width="0.625" style="142" customWidth="1"/>
    <col min="13571" max="13572" width="10.5" style="142" customWidth="1"/>
    <col min="13573" max="13579" width="9.375" style="142" customWidth="1"/>
    <col min="13580" max="13587" width="8.875" style="142" customWidth="1"/>
    <col min="13588" max="13591" width="7.25" style="142"/>
    <col min="13592" max="13594" width="8.125" style="142" bestFit="1" customWidth="1"/>
    <col min="13595" max="13595" width="8.625" style="142" bestFit="1" customWidth="1"/>
    <col min="13596" max="13596" width="9.5" style="142" bestFit="1" customWidth="1"/>
    <col min="13597" max="13597" width="8.625" style="142" bestFit="1" customWidth="1"/>
    <col min="13598" max="13598" width="7.25" style="142"/>
    <col min="13599" max="13599" width="9.5" style="142" bestFit="1" customWidth="1"/>
    <col min="13600" max="13604" width="8.625" style="142" bestFit="1" customWidth="1"/>
    <col min="13605" max="13605" width="7.5" style="142" bestFit="1" customWidth="1"/>
    <col min="13606" max="13606" width="8.625" style="142" bestFit="1" customWidth="1"/>
    <col min="13607" max="13607" width="7.5" style="142" bestFit="1" customWidth="1"/>
    <col min="13608" max="13608" width="8.625" style="142" bestFit="1" customWidth="1"/>
    <col min="13609" max="13825" width="7.25" style="142"/>
    <col min="13826" max="13826" width="0.625" style="142" customWidth="1"/>
    <col min="13827" max="13828" width="10.5" style="142" customWidth="1"/>
    <col min="13829" max="13835" width="9.375" style="142" customWidth="1"/>
    <col min="13836" max="13843" width="8.875" style="142" customWidth="1"/>
    <col min="13844" max="13847" width="7.25" style="142"/>
    <col min="13848" max="13850" width="8.125" style="142" bestFit="1" customWidth="1"/>
    <col min="13851" max="13851" width="8.625" style="142" bestFit="1" customWidth="1"/>
    <col min="13852" max="13852" width="9.5" style="142" bestFit="1" customWidth="1"/>
    <col min="13853" max="13853" width="8.625" style="142" bestFit="1" customWidth="1"/>
    <col min="13854" max="13854" width="7.25" style="142"/>
    <col min="13855" max="13855" width="9.5" style="142" bestFit="1" customWidth="1"/>
    <col min="13856" max="13860" width="8.625" style="142" bestFit="1" customWidth="1"/>
    <col min="13861" max="13861" width="7.5" style="142" bestFit="1" customWidth="1"/>
    <col min="13862" max="13862" width="8.625" style="142" bestFit="1" customWidth="1"/>
    <col min="13863" max="13863" width="7.5" style="142" bestFit="1" customWidth="1"/>
    <col min="13864" max="13864" width="8.625" style="142" bestFit="1" customWidth="1"/>
    <col min="13865" max="14081" width="7.25" style="142"/>
    <col min="14082" max="14082" width="0.625" style="142" customWidth="1"/>
    <col min="14083" max="14084" width="10.5" style="142" customWidth="1"/>
    <col min="14085" max="14091" width="9.375" style="142" customWidth="1"/>
    <col min="14092" max="14099" width="8.875" style="142" customWidth="1"/>
    <col min="14100" max="14103" width="7.25" style="142"/>
    <col min="14104" max="14106" width="8.125" style="142" bestFit="1" customWidth="1"/>
    <col min="14107" max="14107" width="8.625" style="142" bestFit="1" customWidth="1"/>
    <col min="14108" max="14108" width="9.5" style="142" bestFit="1" customWidth="1"/>
    <col min="14109" max="14109" width="8.625" style="142" bestFit="1" customWidth="1"/>
    <col min="14110" max="14110" width="7.25" style="142"/>
    <col min="14111" max="14111" width="9.5" style="142" bestFit="1" customWidth="1"/>
    <col min="14112" max="14116" width="8.625" style="142" bestFit="1" customWidth="1"/>
    <col min="14117" max="14117" width="7.5" style="142" bestFit="1" customWidth="1"/>
    <col min="14118" max="14118" width="8.625" style="142" bestFit="1" customWidth="1"/>
    <col min="14119" max="14119" width="7.5" style="142" bestFit="1" customWidth="1"/>
    <col min="14120" max="14120" width="8.625" style="142" bestFit="1" customWidth="1"/>
    <col min="14121" max="14337" width="7.25" style="142"/>
    <col min="14338" max="14338" width="0.625" style="142" customWidth="1"/>
    <col min="14339" max="14340" width="10.5" style="142" customWidth="1"/>
    <col min="14341" max="14347" width="9.375" style="142" customWidth="1"/>
    <col min="14348" max="14355" width="8.875" style="142" customWidth="1"/>
    <col min="14356" max="14359" width="7.25" style="142"/>
    <col min="14360" max="14362" width="8.125" style="142" bestFit="1" customWidth="1"/>
    <col min="14363" max="14363" width="8.625" style="142" bestFit="1" customWidth="1"/>
    <col min="14364" max="14364" width="9.5" style="142" bestFit="1" customWidth="1"/>
    <col min="14365" max="14365" width="8.625" style="142" bestFit="1" customWidth="1"/>
    <col min="14366" max="14366" width="7.25" style="142"/>
    <col min="14367" max="14367" width="9.5" style="142" bestFit="1" customWidth="1"/>
    <col min="14368" max="14372" width="8.625" style="142" bestFit="1" customWidth="1"/>
    <col min="14373" max="14373" width="7.5" style="142" bestFit="1" customWidth="1"/>
    <col min="14374" max="14374" width="8.625" style="142" bestFit="1" customWidth="1"/>
    <col min="14375" max="14375" width="7.5" style="142" bestFit="1" customWidth="1"/>
    <col min="14376" max="14376" width="8.625" style="142" bestFit="1" customWidth="1"/>
    <col min="14377" max="14593" width="7.25" style="142"/>
    <col min="14594" max="14594" width="0.625" style="142" customWidth="1"/>
    <col min="14595" max="14596" width="10.5" style="142" customWidth="1"/>
    <col min="14597" max="14603" width="9.375" style="142" customWidth="1"/>
    <col min="14604" max="14611" width="8.875" style="142" customWidth="1"/>
    <col min="14612" max="14615" width="7.25" style="142"/>
    <col min="14616" max="14618" width="8.125" style="142" bestFit="1" customWidth="1"/>
    <col min="14619" max="14619" width="8.625" style="142" bestFit="1" customWidth="1"/>
    <col min="14620" max="14620" width="9.5" style="142" bestFit="1" customWidth="1"/>
    <col min="14621" max="14621" width="8.625" style="142" bestFit="1" customWidth="1"/>
    <col min="14622" max="14622" width="7.25" style="142"/>
    <col min="14623" max="14623" width="9.5" style="142" bestFit="1" customWidth="1"/>
    <col min="14624" max="14628" width="8.625" style="142" bestFit="1" customWidth="1"/>
    <col min="14629" max="14629" width="7.5" style="142" bestFit="1" customWidth="1"/>
    <col min="14630" max="14630" width="8.625" style="142" bestFit="1" customWidth="1"/>
    <col min="14631" max="14631" width="7.5" style="142" bestFit="1" customWidth="1"/>
    <col min="14632" max="14632" width="8.625" style="142" bestFit="1" customWidth="1"/>
    <col min="14633" max="14849" width="7.25" style="142"/>
    <col min="14850" max="14850" width="0.625" style="142" customWidth="1"/>
    <col min="14851" max="14852" width="10.5" style="142" customWidth="1"/>
    <col min="14853" max="14859" width="9.375" style="142" customWidth="1"/>
    <col min="14860" max="14867" width="8.875" style="142" customWidth="1"/>
    <col min="14868" max="14871" width="7.25" style="142"/>
    <col min="14872" max="14874" width="8.125" style="142" bestFit="1" customWidth="1"/>
    <col min="14875" max="14875" width="8.625" style="142" bestFit="1" customWidth="1"/>
    <col min="14876" max="14876" width="9.5" style="142" bestFit="1" customWidth="1"/>
    <col min="14877" max="14877" width="8.625" style="142" bestFit="1" customWidth="1"/>
    <col min="14878" max="14878" width="7.25" style="142"/>
    <col min="14879" max="14879" width="9.5" style="142" bestFit="1" customWidth="1"/>
    <col min="14880" max="14884" width="8.625" style="142" bestFit="1" customWidth="1"/>
    <col min="14885" max="14885" width="7.5" style="142" bestFit="1" customWidth="1"/>
    <col min="14886" max="14886" width="8.625" style="142" bestFit="1" customWidth="1"/>
    <col min="14887" max="14887" width="7.5" style="142" bestFit="1" customWidth="1"/>
    <col min="14888" max="14888" width="8.625" style="142" bestFit="1" customWidth="1"/>
    <col min="14889" max="15105" width="7.25" style="142"/>
    <col min="15106" max="15106" width="0.625" style="142" customWidth="1"/>
    <col min="15107" max="15108" width="10.5" style="142" customWidth="1"/>
    <col min="15109" max="15115" width="9.375" style="142" customWidth="1"/>
    <col min="15116" max="15123" width="8.875" style="142" customWidth="1"/>
    <col min="15124" max="15127" width="7.25" style="142"/>
    <col min="15128" max="15130" width="8.125" style="142" bestFit="1" customWidth="1"/>
    <col min="15131" max="15131" width="8.625" style="142" bestFit="1" customWidth="1"/>
    <col min="15132" max="15132" width="9.5" style="142" bestFit="1" customWidth="1"/>
    <col min="15133" max="15133" width="8.625" style="142" bestFit="1" customWidth="1"/>
    <col min="15134" max="15134" width="7.25" style="142"/>
    <col min="15135" max="15135" width="9.5" style="142" bestFit="1" customWidth="1"/>
    <col min="15136" max="15140" width="8.625" style="142" bestFit="1" customWidth="1"/>
    <col min="15141" max="15141" width="7.5" style="142" bestFit="1" customWidth="1"/>
    <col min="15142" max="15142" width="8.625" style="142" bestFit="1" customWidth="1"/>
    <col min="15143" max="15143" width="7.5" style="142" bestFit="1" customWidth="1"/>
    <col min="15144" max="15144" width="8.625" style="142" bestFit="1" customWidth="1"/>
    <col min="15145" max="15361" width="7.25" style="142"/>
    <col min="15362" max="15362" width="0.625" style="142" customWidth="1"/>
    <col min="15363" max="15364" width="10.5" style="142" customWidth="1"/>
    <col min="15365" max="15371" width="9.375" style="142" customWidth="1"/>
    <col min="15372" max="15379" width="8.875" style="142" customWidth="1"/>
    <col min="15380" max="15383" width="7.25" style="142"/>
    <col min="15384" max="15386" width="8.125" style="142" bestFit="1" customWidth="1"/>
    <col min="15387" max="15387" width="8.625" style="142" bestFit="1" customWidth="1"/>
    <col min="15388" max="15388" width="9.5" style="142" bestFit="1" customWidth="1"/>
    <col min="15389" max="15389" width="8.625" style="142" bestFit="1" customWidth="1"/>
    <col min="15390" max="15390" width="7.25" style="142"/>
    <col min="15391" max="15391" width="9.5" style="142" bestFit="1" customWidth="1"/>
    <col min="15392" max="15396" width="8.625" style="142" bestFit="1" customWidth="1"/>
    <col min="15397" max="15397" width="7.5" style="142" bestFit="1" customWidth="1"/>
    <col min="15398" max="15398" width="8.625" style="142" bestFit="1" customWidth="1"/>
    <col min="15399" max="15399" width="7.5" style="142" bestFit="1" customWidth="1"/>
    <col min="15400" max="15400" width="8.625" style="142" bestFit="1" customWidth="1"/>
    <col min="15401" max="15617" width="7.25" style="142"/>
    <col min="15618" max="15618" width="0.625" style="142" customWidth="1"/>
    <col min="15619" max="15620" width="10.5" style="142" customWidth="1"/>
    <col min="15621" max="15627" width="9.375" style="142" customWidth="1"/>
    <col min="15628" max="15635" width="8.875" style="142" customWidth="1"/>
    <col min="15636" max="15639" width="7.25" style="142"/>
    <col min="15640" max="15642" width="8.125" style="142" bestFit="1" customWidth="1"/>
    <col min="15643" max="15643" width="8.625" style="142" bestFit="1" customWidth="1"/>
    <col min="15644" max="15644" width="9.5" style="142" bestFit="1" customWidth="1"/>
    <col min="15645" max="15645" width="8.625" style="142" bestFit="1" customWidth="1"/>
    <col min="15646" max="15646" width="7.25" style="142"/>
    <col min="15647" max="15647" width="9.5" style="142" bestFit="1" customWidth="1"/>
    <col min="15648" max="15652" width="8.625" style="142" bestFit="1" customWidth="1"/>
    <col min="15653" max="15653" width="7.5" style="142" bestFit="1" customWidth="1"/>
    <col min="15654" max="15654" width="8.625" style="142" bestFit="1" customWidth="1"/>
    <col min="15655" max="15655" width="7.5" style="142" bestFit="1" customWidth="1"/>
    <col min="15656" max="15656" width="8.625" style="142" bestFit="1" customWidth="1"/>
    <col min="15657" max="15873" width="7.25" style="142"/>
    <col min="15874" max="15874" width="0.625" style="142" customWidth="1"/>
    <col min="15875" max="15876" width="10.5" style="142" customWidth="1"/>
    <col min="15877" max="15883" width="9.375" style="142" customWidth="1"/>
    <col min="15884" max="15891" width="8.875" style="142" customWidth="1"/>
    <col min="15892" max="15895" width="7.25" style="142"/>
    <col min="15896" max="15898" width="8.125" style="142" bestFit="1" customWidth="1"/>
    <col min="15899" max="15899" width="8.625" style="142" bestFit="1" customWidth="1"/>
    <col min="15900" max="15900" width="9.5" style="142" bestFit="1" customWidth="1"/>
    <col min="15901" max="15901" width="8.625" style="142" bestFit="1" customWidth="1"/>
    <col min="15902" max="15902" width="7.25" style="142"/>
    <col min="15903" max="15903" width="9.5" style="142" bestFit="1" customWidth="1"/>
    <col min="15904" max="15908" width="8.625" style="142" bestFit="1" customWidth="1"/>
    <col min="15909" max="15909" width="7.5" style="142" bestFit="1" customWidth="1"/>
    <col min="15910" max="15910" width="8.625" style="142" bestFit="1" customWidth="1"/>
    <col min="15911" max="15911" width="7.5" style="142" bestFit="1" customWidth="1"/>
    <col min="15912" max="15912" width="8.625" style="142" bestFit="1" customWidth="1"/>
    <col min="15913" max="16129" width="7.25" style="142"/>
    <col min="16130" max="16130" width="0.625" style="142" customWidth="1"/>
    <col min="16131" max="16132" width="10.5" style="142" customWidth="1"/>
    <col min="16133" max="16139" width="9.375" style="142" customWidth="1"/>
    <col min="16140" max="16147" width="8.875" style="142" customWidth="1"/>
    <col min="16148" max="16151" width="7.25" style="142"/>
    <col min="16152" max="16154" width="8.125" style="142" bestFit="1" customWidth="1"/>
    <col min="16155" max="16155" width="8.625" style="142" bestFit="1" customWidth="1"/>
    <col min="16156" max="16156" width="9.5" style="142" bestFit="1" customWidth="1"/>
    <col min="16157" max="16157" width="8.625" style="142" bestFit="1" customWidth="1"/>
    <col min="16158" max="16158" width="7.25" style="142"/>
    <col min="16159" max="16159" width="9.5" style="142" bestFit="1" customWidth="1"/>
    <col min="16160" max="16164" width="8.625" style="142" bestFit="1" customWidth="1"/>
    <col min="16165" max="16165" width="7.5" style="142" bestFit="1" customWidth="1"/>
    <col min="16166" max="16166" width="8.625" style="142" bestFit="1" customWidth="1"/>
    <col min="16167" max="16167" width="7.5" style="142" bestFit="1" customWidth="1"/>
    <col min="16168" max="16168" width="8.625" style="142" bestFit="1" customWidth="1"/>
    <col min="16169" max="16384" width="7.25" style="142"/>
  </cols>
  <sheetData>
    <row r="1" spans="1:257" s="111" customFormat="1" ht="30" customHeight="1" thickBot="1">
      <c r="A1" s="311"/>
      <c r="B1" s="1083" t="s">
        <v>1714</v>
      </c>
      <c r="C1" s="1083"/>
      <c r="D1" s="1083"/>
      <c r="E1" s="1083"/>
      <c r="F1" s="1083"/>
      <c r="G1" s="1083"/>
      <c r="H1" s="1083"/>
      <c r="I1" s="1083"/>
      <c r="J1" s="1083"/>
      <c r="K1" s="1083"/>
      <c r="L1" s="1083"/>
      <c r="M1" s="1083"/>
      <c r="N1" s="1083"/>
      <c r="O1" s="1083"/>
      <c r="P1" s="1083"/>
      <c r="Q1" s="1083"/>
      <c r="R1" s="1083"/>
      <c r="S1" s="1083"/>
      <c r="T1" s="136"/>
      <c r="U1" s="136"/>
      <c r="V1" s="136"/>
      <c r="W1" s="136"/>
      <c r="X1" s="136"/>
      <c r="Y1" s="136"/>
      <c r="Z1" s="1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c r="CN1" s="136"/>
      <c r="CO1" s="136"/>
      <c r="CP1" s="136"/>
      <c r="CQ1" s="136"/>
      <c r="CR1" s="136"/>
      <c r="CS1" s="136"/>
      <c r="CT1" s="136"/>
      <c r="CU1" s="136"/>
      <c r="CV1" s="136"/>
      <c r="CW1" s="136"/>
      <c r="CX1" s="136"/>
      <c r="CY1" s="136"/>
      <c r="CZ1" s="136"/>
      <c r="DA1" s="136"/>
      <c r="DB1" s="136"/>
      <c r="DC1" s="136"/>
      <c r="DD1" s="136"/>
      <c r="DE1" s="136"/>
      <c r="DF1" s="136"/>
      <c r="DG1" s="136"/>
      <c r="DH1" s="136"/>
      <c r="DI1" s="136"/>
      <c r="DJ1" s="136"/>
      <c r="DK1" s="136"/>
      <c r="DL1" s="136"/>
      <c r="DM1" s="136"/>
      <c r="DN1" s="136"/>
      <c r="DO1" s="136"/>
      <c r="DP1" s="136"/>
      <c r="DQ1" s="136"/>
      <c r="DR1" s="136"/>
      <c r="DS1" s="136"/>
      <c r="DT1" s="136"/>
      <c r="DU1" s="136"/>
      <c r="DV1" s="136"/>
      <c r="DW1" s="136"/>
      <c r="DX1" s="136"/>
      <c r="DY1" s="136"/>
      <c r="DZ1" s="136"/>
      <c r="EA1" s="136"/>
      <c r="EB1" s="136"/>
      <c r="EC1" s="136"/>
      <c r="ED1" s="136"/>
      <c r="EE1" s="136"/>
      <c r="EF1" s="136"/>
      <c r="EG1" s="136"/>
      <c r="EH1" s="136"/>
      <c r="EI1" s="136"/>
      <c r="EJ1" s="136"/>
      <c r="EK1" s="136"/>
      <c r="EL1" s="136"/>
      <c r="EM1" s="136"/>
      <c r="EN1" s="136"/>
      <c r="EO1" s="136"/>
      <c r="EP1" s="136"/>
      <c r="EQ1" s="136"/>
      <c r="ER1" s="136"/>
      <c r="ES1" s="136"/>
      <c r="ET1" s="136"/>
      <c r="EU1" s="136"/>
      <c r="EV1" s="136"/>
      <c r="EW1" s="136"/>
      <c r="EX1" s="136"/>
      <c r="EY1" s="136"/>
      <c r="EZ1" s="136"/>
      <c r="FA1" s="136"/>
      <c r="FB1" s="136"/>
      <c r="FC1" s="136"/>
      <c r="FD1" s="136"/>
      <c r="FE1" s="136"/>
      <c r="FF1" s="136"/>
      <c r="FG1" s="136"/>
      <c r="FH1" s="136"/>
      <c r="FI1" s="136"/>
      <c r="FJ1" s="136"/>
      <c r="FK1" s="136"/>
      <c r="FL1" s="136"/>
      <c r="FM1" s="136"/>
      <c r="FN1" s="136"/>
      <c r="FO1" s="136"/>
      <c r="FP1" s="136"/>
      <c r="FQ1" s="136"/>
      <c r="FR1" s="136"/>
      <c r="FS1" s="136"/>
      <c r="FT1" s="136"/>
      <c r="FU1" s="136"/>
      <c r="FV1" s="136"/>
      <c r="FW1" s="136"/>
      <c r="FX1" s="136"/>
      <c r="FY1" s="136"/>
      <c r="FZ1" s="136"/>
      <c r="GA1" s="136"/>
      <c r="GB1" s="136"/>
      <c r="GC1" s="136"/>
      <c r="GD1" s="136"/>
      <c r="GE1" s="136"/>
      <c r="GF1" s="136"/>
      <c r="GG1" s="136"/>
      <c r="GH1" s="136"/>
      <c r="GI1" s="136"/>
      <c r="GJ1" s="136"/>
      <c r="GK1" s="136"/>
      <c r="GL1" s="136"/>
      <c r="GM1" s="136"/>
      <c r="GN1" s="136"/>
      <c r="GO1" s="136"/>
      <c r="GP1" s="136"/>
      <c r="GQ1" s="136"/>
      <c r="GR1" s="136"/>
      <c r="GS1" s="136"/>
      <c r="GT1" s="136"/>
      <c r="GU1" s="136"/>
      <c r="GV1" s="136"/>
      <c r="GW1" s="136"/>
      <c r="GX1" s="136"/>
      <c r="GY1" s="136"/>
      <c r="GZ1" s="136"/>
      <c r="HA1" s="136"/>
      <c r="HB1" s="136"/>
      <c r="HC1" s="136"/>
      <c r="HD1" s="136"/>
      <c r="HE1" s="136"/>
      <c r="HF1" s="136"/>
      <c r="HG1" s="136"/>
      <c r="HH1" s="136"/>
      <c r="HI1" s="136"/>
      <c r="HJ1" s="136"/>
      <c r="HK1" s="136"/>
      <c r="HL1" s="136"/>
      <c r="HM1" s="136"/>
      <c r="HN1" s="136"/>
      <c r="HO1" s="136"/>
      <c r="HP1" s="136"/>
      <c r="HQ1" s="136"/>
      <c r="HR1" s="136"/>
      <c r="HS1" s="136"/>
      <c r="HT1" s="136"/>
      <c r="HU1" s="136"/>
      <c r="HV1" s="136"/>
      <c r="HW1" s="136"/>
      <c r="HX1" s="136"/>
      <c r="HY1" s="136"/>
      <c r="HZ1" s="136"/>
      <c r="IA1" s="136"/>
      <c r="IB1" s="136"/>
      <c r="IC1" s="136"/>
      <c r="ID1" s="136"/>
      <c r="IE1" s="136"/>
      <c r="IF1" s="136"/>
      <c r="IG1" s="136"/>
      <c r="IH1" s="136"/>
      <c r="II1" s="136"/>
      <c r="IJ1" s="136"/>
      <c r="IK1" s="136"/>
      <c r="IL1" s="136"/>
      <c r="IM1" s="136"/>
      <c r="IN1" s="136"/>
      <c r="IO1" s="136"/>
      <c r="IP1" s="136"/>
      <c r="IQ1" s="136"/>
      <c r="IR1" s="136"/>
      <c r="IS1" s="136"/>
      <c r="IT1" s="136"/>
      <c r="IU1" s="136"/>
      <c r="IV1" s="136"/>
      <c r="IW1" s="136"/>
    </row>
    <row r="2" spans="1:257" s="110" customFormat="1" ht="18" customHeight="1" thickTop="1">
      <c r="A2" s="65"/>
      <c r="B2" s="64"/>
      <c r="C2" s="64"/>
      <c r="D2" s="137"/>
      <c r="E2" s="138"/>
      <c r="F2" s="138"/>
      <c r="G2" s="139"/>
      <c r="H2" s="139"/>
      <c r="I2" s="139"/>
      <c r="J2" s="139"/>
      <c r="K2" s="139"/>
      <c r="L2" s="139"/>
      <c r="M2" s="138"/>
      <c r="N2" s="138"/>
      <c r="O2" s="138"/>
      <c r="P2" s="138"/>
      <c r="Q2" s="138"/>
      <c r="R2" s="138"/>
      <c r="S2" s="138"/>
      <c r="T2" s="138"/>
      <c r="U2" s="65"/>
      <c r="V2" s="65"/>
      <c r="W2" s="65"/>
      <c r="X2" s="65"/>
      <c r="Y2" s="65"/>
      <c r="Z2" s="65"/>
      <c r="AA2" s="65"/>
      <c r="AB2" s="65"/>
      <c r="AC2" s="65"/>
      <c r="AD2" s="65"/>
      <c r="AE2" s="65"/>
      <c r="AF2" s="65"/>
      <c r="AG2" s="65"/>
      <c r="AH2" s="65"/>
      <c r="AI2" s="65"/>
      <c r="AJ2" s="65"/>
      <c r="AK2" s="65"/>
      <c r="AL2" s="65"/>
      <c r="AM2" s="65"/>
      <c r="AN2" s="65"/>
      <c r="AO2" s="65"/>
      <c r="AP2" s="65"/>
      <c r="AQ2" s="65"/>
      <c r="AR2" s="65"/>
      <c r="AS2" s="65"/>
      <c r="AT2" s="65"/>
      <c r="AU2" s="65"/>
      <c r="AV2" s="65"/>
      <c r="AW2" s="65"/>
      <c r="AX2" s="65"/>
      <c r="AY2" s="65"/>
      <c r="AZ2" s="65"/>
      <c r="BA2" s="65"/>
      <c r="BB2" s="65"/>
      <c r="BC2" s="65"/>
      <c r="BD2" s="65"/>
      <c r="BE2" s="65"/>
      <c r="BF2" s="65"/>
      <c r="BG2" s="65"/>
      <c r="BH2" s="65"/>
      <c r="BI2" s="65"/>
      <c r="BJ2" s="65"/>
      <c r="BK2" s="65"/>
      <c r="BL2" s="65"/>
      <c r="BM2" s="65"/>
      <c r="BN2" s="65"/>
      <c r="BO2" s="65"/>
      <c r="BP2" s="65"/>
      <c r="BQ2" s="65"/>
      <c r="BR2" s="65"/>
      <c r="BS2" s="65"/>
      <c r="BT2" s="65"/>
      <c r="BU2" s="65"/>
      <c r="BV2" s="65"/>
      <c r="BW2" s="65"/>
      <c r="BX2" s="65"/>
      <c r="BY2" s="65"/>
      <c r="BZ2" s="65"/>
      <c r="CA2" s="65"/>
      <c r="CB2" s="65"/>
      <c r="CC2" s="65"/>
      <c r="CD2" s="65"/>
      <c r="CE2" s="65"/>
      <c r="CF2" s="65"/>
      <c r="CG2" s="65"/>
      <c r="CH2" s="65"/>
      <c r="CI2" s="65"/>
      <c r="CJ2" s="65"/>
      <c r="CK2" s="65"/>
      <c r="CL2" s="65"/>
      <c r="CM2" s="65"/>
      <c r="CN2" s="65"/>
      <c r="CO2" s="65"/>
      <c r="CP2" s="65"/>
      <c r="CQ2" s="65"/>
      <c r="CR2" s="65"/>
      <c r="CS2" s="65"/>
      <c r="CT2" s="65"/>
      <c r="CU2" s="65"/>
      <c r="CV2" s="65"/>
      <c r="CW2" s="65"/>
      <c r="CX2" s="65"/>
      <c r="CY2" s="65"/>
      <c r="CZ2" s="65"/>
      <c r="DA2" s="65"/>
      <c r="DB2" s="65"/>
      <c r="DC2" s="65"/>
      <c r="DD2" s="65"/>
      <c r="DE2" s="65"/>
      <c r="DF2" s="65"/>
      <c r="DG2" s="65"/>
      <c r="DH2" s="65"/>
      <c r="DI2" s="65"/>
      <c r="DJ2" s="65"/>
      <c r="DK2" s="65"/>
      <c r="DL2" s="65"/>
      <c r="DM2" s="65"/>
      <c r="DN2" s="65"/>
      <c r="DO2" s="65"/>
      <c r="DP2" s="65"/>
      <c r="DQ2" s="65"/>
      <c r="DR2" s="65"/>
      <c r="DS2" s="65"/>
      <c r="DT2" s="65"/>
      <c r="DU2" s="65"/>
      <c r="DV2" s="65"/>
      <c r="DW2" s="65"/>
      <c r="DX2" s="65"/>
      <c r="DY2" s="65"/>
      <c r="DZ2" s="65"/>
      <c r="EA2" s="65"/>
      <c r="EB2" s="65"/>
      <c r="EC2" s="65"/>
      <c r="ED2" s="65"/>
      <c r="EE2" s="65"/>
      <c r="EF2" s="65"/>
      <c r="EG2" s="65"/>
      <c r="EH2" s="65"/>
      <c r="EI2" s="65"/>
      <c r="EJ2" s="65"/>
      <c r="EK2" s="65"/>
      <c r="EL2" s="65"/>
      <c r="EM2" s="65"/>
      <c r="EN2" s="65"/>
      <c r="EO2" s="65"/>
      <c r="EP2" s="65"/>
      <c r="EQ2" s="65"/>
      <c r="ER2" s="65"/>
      <c r="ES2" s="65"/>
      <c r="ET2" s="65"/>
      <c r="EU2" s="65"/>
      <c r="EV2" s="65"/>
      <c r="EW2" s="65"/>
      <c r="EX2" s="65"/>
      <c r="EY2" s="65"/>
      <c r="EZ2" s="65"/>
      <c r="FA2" s="65"/>
      <c r="FB2" s="65"/>
      <c r="FC2" s="65"/>
      <c r="FD2" s="65"/>
      <c r="FE2" s="65"/>
      <c r="FF2" s="65"/>
      <c r="FG2" s="65"/>
      <c r="FH2" s="65"/>
      <c r="FI2" s="65"/>
      <c r="FJ2" s="65"/>
      <c r="FK2" s="65"/>
      <c r="FL2" s="65"/>
      <c r="FM2" s="65"/>
      <c r="FN2" s="65"/>
      <c r="FO2" s="65"/>
      <c r="FP2" s="65"/>
      <c r="FQ2" s="65"/>
      <c r="FR2" s="65"/>
      <c r="FS2" s="65"/>
      <c r="FT2" s="65"/>
      <c r="FU2" s="65"/>
      <c r="FV2" s="65"/>
      <c r="FW2" s="65"/>
      <c r="FX2" s="65"/>
      <c r="FY2" s="65"/>
      <c r="FZ2" s="65"/>
      <c r="GA2" s="65"/>
      <c r="GB2" s="65"/>
      <c r="GC2" s="65"/>
      <c r="GD2" s="65"/>
      <c r="GE2" s="65"/>
      <c r="GF2" s="65"/>
      <c r="GG2" s="65"/>
      <c r="GH2" s="65"/>
      <c r="GI2" s="65"/>
      <c r="GJ2" s="65"/>
      <c r="GK2" s="65"/>
      <c r="GL2" s="65"/>
      <c r="GM2" s="65"/>
      <c r="GN2" s="65"/>
      <c r="GO2" s="65"/>
      <c r="GP2" s="65"/>
      <c r="GQ2" s="65"/>
      <c r="GR2" s="65"/>
      <c r="GS2" s="65"/>
      <c r="GT2" s="65"/>
      <c r="GU2" s="65"/>
      <c r="GV2" s="65"/>
      <c r="GW2" s="65"/>
      <c r="GX2" s="65"/>
      <c r="GY2" s="65"/>
      <c r="GZ2" s="65"/>
      <c r="HA2" s="65"/>
      <c r="HB2" s="65"/>
      <c r="HC2" s="65"/>
      <c r="HD2" s="65"/>
      <c r="HE2" s="65"/>
      <c r="HF2" s="65"/>
      <c r="HG2" s="65"/>
      <c r="HH2" s="65"/>
      <c r="HI2" s="65"/>
      <c r="HJ2" s="65"/>
      <c r="HK2" s="65"/>
      <c r="HL2" s="65"/>
      <c r="HM2" s="65"/>
      <c r="HN2" s="65"/>
      <c r="HO2" s="65"/>
      <c r="HP2" s="65"/>
      <c r="HQ2" s="65"/>
      <c r="HR2" s="65"/>
      <c r="HS2" s="65"/>
      <c r="HT2" s="65"/>
      <c r="HU2" s="65"/>
      <c r="HV2" s="65"/>
      <c r="HW2" s="65"/>
      <c r="HX2" s="65"/>
      <c r="HY2" s="65"/>
      <c r="HZ2" s="65"/>
      <c r="IA2" s="65"/>
      <c r="IB2" s="65"/>
      <c r="IC2" s="65"/>
      <c r="ID2" s="65"/>
      <c r="IE2" s="65"/>
      <c r="IF2" s="65"/>
      <c r="IG2" s="65"/>
      <c r="IH2" s="65"/>
      <c r="II2" s="65"/>
      <c r="IJ2" s="65"/>
      <c r="IK2" s="65"/>
      <c r="IL2" s="65"/>
      <c r="IM2" s="65"/>
      <c r="IN2" s="65"/>
      <c r="IO2" s="65"/>
      <c r="IP2" s="65"/>
      <c r="IQ2" s="65"/>
      <c r="IR2" s="65"/>
      <c r="IS2" s="65"/>
      <c r="IT2" s="65"/>
      <c r="IU2" s="65"/>
      <c r="IV2" s="65"/>
      <c r="IW2" s="65"/>
    </row>
    <row r="3" spans="1:257" s="111" customFormat="1" ht="18" customHeight="1" thickBot="1">
      <c r="A3" s="66"/>
      <c r="B3" s="67" t="s">
        <v>1621</v>
      </c>
      <c r="C3" s="67"/>
      <c r="D3" s="138"/>
      <c r="E3" s="139"/>
      <c r="F3" s="138"/>
      <c r="G3" s="139"/>
      <c r="H3" s="139"/>
      <c r="I3" s="139"/>
      <c r="J3" s="139"/>
      <c r="K3" s="139"/>
      <c r="L3" s="139"/>
      <c r="M3" s="139"/>
      <c r="N3" s="139"/>
      <c r="O3" s="139"/>
      <c r="P3" s="139"/>
      <c r="Q3" s="139"/>
      <c r="R3" s="139"/>
      <c r="S3" s="139"/>
      <c r="T3" s="139"/>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c r="CA3" s="66"/>
      <c r="CB3" s="66"/>
      <c r="CC3" s="66"/>
      <c r="CD3" s="66"/>
      <c r="CE3" s="66"/>
      <c r="CF3" s="66"/>
      <c r="CG3" s="66"/>
      <c r="CH3" s="66"/>
      <c r="CI3" s="66"/>
      <c r="CJ3" s="66"/>
      <c r="CK3" s="66"/>
      <c r="CL3" s="66"/>
      <c r="CM3" s="66"/>
      <c r="CN3" s="66"/>
      <c r="CO3" s="66"/>
      <c r="CP3" s="66"/>
      <c r="CQ3" s="66"/>
      <c r="CR3" s="66"/>
      <c r="CS3" s="66"/>
      <c r="CT3" s="66"/>
      <c r="CU3" s="66"/>
      <c r="CV3" s="66"/>
      <c r="CW3" s="66"/>
      <c r="CX3" s="66"/>
      <c r="CY3" s="66"/>
      <c r="CZ3" s="66"/>
      <c r="DA3" s="66"/>
      <c r="DB3" s="66"/>
      <c r="DC3" s="66"/>
      <c r="DD3" s="66"/>
      <c r="DE3" s="66"/>
      <c r="DF3" s="66"/>
      <c r="DG3" s="66"/>
      <c r="DH3" s="66"/>
      <c r="DI3" s="66"/>
      <c r="DJ3" s="66"/>
      <c r="DK3" s="66"/>
      <c r="DL3" s="66"/>
      <c r="DM3" s="66"/>
      <c r="DN3" s="66"/>
      <c r="DO3" s="66"/>
      <c r="DP3" s="66"/>
      <c r="DQ3" s="66"/>
      <c r="DR3" s="66"/>
      <c r="DS3" s="66"/>
      <c r="DT3" s="66"/>
      <c r="DU3" s="66"/>
      <c r="DV3" s="66"/>
      <c r="DW3" s="66"/>
      <c r="DX3" s="66"/>
      <c r="DY3" s="66"/>
      <c r="DZ3" s="66"/>
      <c r="EA3" s="66"/>
      <c r="EB3" s="66"/>
      <c r="EC3" s="66"/>
      <c r="ED3" s="66"/>
      <c r="EE3" s="66"/>
      <c r="EF3" s="66"/>
      <c r="EG3" s="66"/>
      <c r="EH3" s="66"/>
      <c r="EI3" s="66"/>
      <c r="EJ3" s="66"/>
      <c r="EK3" s="66"/>
      <c r="EL3" s="66"/>
      <c r="EM3" s="66"/>
      <c r="EN3" s="66"/>
      <c r="EO3" s="66"/>
      <c r="EP3" s="66"/>
      <c r="EQ3" s="66"/>
      <c r="ER3" s="66"/>
      <c r="ES3" s="66"/>
      <c r="ET3" s="66"/>
      <c r="EU3" s="66"/>
      <c r="EV3" s="66"/>
      <c r="EW3" s="66"/>
      <c r="EX3" s="66"/>
      <c r="EY3" s="66"/>
      <c r="EZ3" s="66"/>
      <c r="FA3" s="66"/>
      <c r="FB3" s="66"/>
      <c r="FC3" s="66"/>
      <c r="FD3" s="66"/>
      <c r="FE3" s="66"/>
      <c r="FF3" s="66"/>
      <c r="FG3" s="66"/>
      <c r="FH3" s="66"/>
      <c r="FI3" s="66"/>
      <c r="FJ3" s="66"/>
      <c r="FK3" s="66"/>
      <c r="FL3" s="66"/>
      <c r="FM3" s="66"/>
      <c r="FN3" s="66"/>
      <c r="FO3" s="66"/>
      <c r="FP3" s="66"/>
      <c r="FQ3" s="66"/>
      <c r="FR3" s="66"/>
      <c r="FS3" s="66"/>
      <c r="FT3" s="66"/>
      <c r="FU3" s="66"/>
      <c r="FV3" s="66"/>
      <c r="FW3" s="66"/>
      <c r="FX3" s="66"/>
      <c r="FY3" s="66"/>
      <c r="FZ3" s="66"/>
      <c r="GA3" s="66"/>
      <c r="GB3" s="66"/>
      <c r="GC3" s="66"/>
      <c r="GD3" s="66"/>
      <c r="GE3" s="66"/>
      <c r="GF3" s="66"/>
      <c r="GG3" s="66"/>
      <c r="GH3" s="66"/>
      <c r="GI3" s="66"/>
      <c r="GJ3" s="66"/>
      <c r="GK3" s="66"/>
      <c r="GL3" s="66"/>
      <c r="GM3" s="66"/>
      <c r="GN3" s="66"/>
      <c r="GO3" s="66"/>
      <c r="GP3" s="66"/>
      <c r="GQ3" s="66"/>
      <c r="GR3" s="66"/>
      <c r="GS3" s="66"/>
      <c r="GT3" s="66"/>
      <c r="GU3" s="66"/>
      <c r="GV3" s="66"/>
      <c r="GW3" s="66"/>
      <c r="GX3" s="66"/>
      <c r="GY3" s="66"/>
      <c r="GZ3" s="66"/>
      <c r="HA3" s="66"/>
      <c r="HB3" s="66"/>
      <c r="HC3" s="66"/>
      <c r="HD3" s="66"/>
      <c r="HE3" s="66"/>
      <c r="HF3" s="66"/>
      <c r="HG3" s="66"/>
      <c r="HH3" s="66"/>
      <c r="HI3" s="66"/>
      <c r="HJ3" s="66"/>
      <c r="HK3" s="66"/>
      <c r="HL3" s="66"/>
      <c r="HM3" s="66"/>
      <c r="HN3" s="66"/>
      <c r="HO3" s="66"/>
      <c r="HP3" s="66"/>
      <c r="HQ3" s="66"/>
      <c r="HR3" s="66"/>
      <c r="HS3" s="66"/>
      <c r="HT3" s="66"/>
      <c r="HU3" s="66"/>
      <c r="HV3" s="66"/>
      <c r="HW3" s="66"/>
      <c r="HX3" s="66"/>
      <c r="HY3" s="66"/>
      <c r="HZ3" s="66"/>
      <c r="IA3" s="66"/>
      <c r="IB3" s="66"/>
      <c r="IC3" s="66"/>
      <c r="ID3" s="66"/>
      <c r="IE3" s="66"/>
      <c r="IF3" s="66"/>
      <c r="IG3" s="66"/>
      <c r="IH3" s="66"/>
      <c r="II3" s="66"/>
      <c r="IJ3" s="66"/>
      <c r="IK3" s="66"/>
      <c r="IL3" s="66"/>
      <c r="IM3" s="66"/>
      <c r="IN3" s="66"/>
      <c r="IO3" s="66"/>
      <c r="IP3" s="66"/>
      <c r="IQ3" s="66"/>
      <c r="IR3" s="66"/>
      <c r="IS3" s="66"/>
      <c r="IT3" s="66"/>
      <c r="IU3" s="66"/>
      <c r="IV3" s="66"/>
      <c r="IW3" s="66"/>
    </row>
    <row r="4" spans="1:257" s="217" customFormat="1" ht="18" customHeight="1">
      <c r="A4" s="547"/>
      <c r="B4" s="1301" t="s">
        <v>1375</v>
      </c>
      <c r="C4" s="1302"/>
      <c r="D4" s="1303" t="s">
        <v>1376</v>
      </c>
      <c r="E4" s="1304"/>
      <c r="F4" s="1304"/>
      <c r="G4" s="1304"/>
      <c r="H4" s="1304"/>
      <c r="I4" s="1304"/>
      <c r="J4" s="1304"/>
      <c r="K4" s="1304"/>
      <c r="L4" s="1304"/>
      <c r="M4" s="1304"/>
      <c r="N4" s="1304"/>
      <c r="O4" s="1305"/>
      <c r="P4" s="547"/>
    </row>
    <row r="5" spans="1:257" s="217" customFormat="1" ht="18" customHeight="1">
      <c r="A5" s="547"/>
      <c r="B5" s="1306" t="s">
        <v>1622</v>
      </c>
      <c r="C5" s="1307"/>
      <c r="D5" s="1308" t="s">
        <v>1623</v>
      </c>
      <c r="E5" s="1309"/>
      <c r="F5" s="1309"/>
      <c r="G5" s="1309"/>
      <c r="H5" s="1309"/>
      <c r="I5" s="1309"/>
      <c r="J5" s="1309"/>
      <c r="K5" s="1309"/>
      <c r="L5" s="1309"/>
      <c r="M5" s="1309"/>
      <c r="N5" s="1309"/>
      <c r="O5" s="1310"/>
      <c r="P5" s="547"/>
    </row>
    <row r="6" spans="1:257" s="217" customFormat="1" ht="18" customHeight="1" thickBot="1">
      <c r="A6" s="547"/>
      <c r="B6" s="1296" t="s">
        <v>1624</v>
      </c>
      <c r="C6" s="1297"/>
      <c r="D6" s="1298" t="s">
        <v>1625</v>
      </c>
      <c r="E6" s="1299"/>
      <c r="F6" s="1299"/>
      <c r="G6" s="1299"/>
      <c r="H6" s="1299"/>
      <c r="I6" s="1299"/>
      <c r="J6" s="1299"/>
      <c r="K6" s="1299"/>
      <c r="L6" s="1299"/>
      <c r="M6" s="1299"/>
      <c r="N6" s="1299"/>
      <c r="O6" s="1300"/>
      <c r="P6" s="547"/>
    </row>
    <row r="7" spans="1:257" s="111" customFormat="1" ht="18" customHeight="1">
      <c r="A7" s="66"/>
      <c r="B7" s="66"/>
      <c r="C7" s="66"/>
      <c r="D7" s="65"/>
      <c r="E7" s="66"/>
      <c r="F7" s="65"/>
      <c r="G7" s="66"/>
      <c r="H7" s="66"/>
      <c r="I7" s="66"/>
      <c r="J7" s="66"/>
      <c r="K7" s="66"/>
      <c r="L7" s="66"/>
      <c r="M7" s="66"/>
      <c r="N7" s="66"/>
      <c r="O7" s="66"/>
      <c r="P7" s="66"/>
      <c r="Q7" s="66"/>
      <c r="R7" s="66"/>
      <c r="S7" s="66"/>
      <c r="T7" s="66"/>
      <c r="U7" s="66"/>
      <c r="V7" s="66"/>
      <c r="W7" s="66"/>
      <c r="X7" s="66"/>
      <c r="Y7" s="66"/>
      <c r="Z7" s="66"/>
      <c r="AA7" s="66"/>
      <c r="AB7" s="66"/>
      <c r="AC7" s="66"/>
      <c r="AD7" s="66"/>
      <c r="AE7" s="66"/>
      <c r="AF7" s="66"/>
      <c r="AG7" s="66"/>
      <c r="AH7" s="66"/>
      <c r="AI7" s="66"/>
      <c r="AJ7" s="66"/>
      <c r="AK7" s="66"/>
      <c r="AL7" s="66"/>
      <c r="AM7" s="66"/>
      <c r="AN7" s="66"/>
      <c r="AO7" s="66"/>
      <c r="AP7" s="66"/>
      <c r="AQ7" s="66"/>
      <c r="AR7" s="66"/>
      <c r="AS7" s="66"/>
      <c r="AT7" s="66"/>
      <c r="AU7" s="66"/>
      <c r="AV7" s="66"/>
      <c r="AW7" s="66"/>
      <c r="AX7" s="66"/>
      <c r="AY7" s="66"/>
      <c r="AZ7" s="66"/>
      <c r="BA7" s="66"/>
      <c r="BB7" s="66"/>
      <c r="BC7" s="66"/>
      <c r="BD7" s="66"/>
      <c r="BE7" s="66"/>
      <c r="BF7" s="66"/>
      <c r="BG7" s="66"/>
      <c r="BH7" s="66"/>
      <c r="BI7" s="66"/>
      <c r="BJ7" s="66"/>
      <c r="BK7" s="66"/>
      <c r="BL7" s="66"/>
      <c r="BM7" s="66"/>
      <c r="BN7" s="66"/>
      <c r="BO7" s="66"/>
      <c r="BP7" s="66"/>
      <c r="BQ7" s="66"/>
      <c r="BR7" s="66"/>
      <c r="BS7" s="66"/>
      <c r="BT7" s="66"/>
      <c r="BU7" s="66"/>
      <c r="BV7" s="66"/>
      <c r="BW7" s="66"/>
      <c r="BX7" s="66"/>
      <c r="BY7" s="66"/>
      <c r="BZ7" s="66"/>
      <c r="CA7" s="66"/>
      <c r="CB7" s="66"/>
      <c r="CC7" s="66"/>
      <c r="CD7" s="66"/>
      <c r="CE7" s="66"/>
      <c r="CF7" s="66"/>
      <c r="CG7" s="66"/>
      <c r="CH7" s="66"/>
      <c r="CI7" s="66"/>
      <c r="CJ7" s="66"/>
      <c r="CK7" s="66"/>
      <c r="CL7" s="66"/>
      <c r="CM7" s="66"/>
      <c r="CN7" s="66"/>
      <c r="CO7" s="66"/>
      <c r="CP7" s="66"/>
      <c r="CQ7" s="66"/>
      <c r="CR7" s="66"/>
      <c r="CS7" s="66"/>
      <c r="CT7" s="66"/>
      <c r="CU7" s="66"/>
      <c r="CV7" s="66"/>
      <c r="CW7" s="66"/>
      <c r="CX7" s="66"/>
      <c r="CY7" s="66"/>
      <c r="CZ7" s="66"/>
      <c r="DA7" s="66"/>
      <c r="DB7" s="66"/>
      <c r="DC7" s="66"/>
      <c r="DD7" s="66"/>
      <c r="DE7" s="66"/>
      <c r="DF7" s="66"/>
      <c r="DG7" s="66"/>
      <c r="DH7" s="66"/>
      <c r="DI7" s="66"/>
      <c r="DJ7" s="66"/>
      <c r="DK7" s="66"/>
      <c r="DL7" s="66"/>
      <c r="DM7" s="66"/>
      <c r="DN7" s="66"/>
      <c r="DO7" s="66"/>
      <c r="DP7" s="66"/>
      <c r="DQ7" s="66"/>
      <c r="DR7" s="66"/>
      <c r="DS7" s="66"/>
      <c r="DT7" s="66"/>
      <c r="DU7" s="66"/>
      <c r="DV7" s="66"/>
      <c r="DW7" s="66"/>
      <c r="DX7" s="66"/>
      <c r="DY7" s="66"/>
      <c r="DZ7" s="66"/>
      <c r="EA7" s="66"/>
      <c r="EB7" s="66"/>
      <c r="EC7" s="66"/>
      <c r="ED7" s="66"/>
      <c r="EE7" s="66"/>
      <c r="EF7" s="66"/>
      <c r="EG7" s="66"/>
      <c r="EH7" s="66"/>
      <c r="EI7" s="66"/>
      <c r="EJ7" s="66"/>
      <c r="EK7" s="66"/>
      <c r="EL7" s="66"/>
      <c r="EM7" s="66"/>
      <c r="EN7" s="66"/>
      <c r="EO7" s="66"/>
      <c r="EP7" s="66"/>
      <c r="EQ7" s="66"/>
      <c r="ER7" s="66"/>
      <c r="ES7" s="66"/>
      <c r="ET7" s="66"/>
      <c r="EU7" s="66"/>
      <c r="EV7" s="66"/>
      <c r="EW7" s="66"/>
      <c r="EX7" s="66"/>
      <c r="EY7" s="66"/>
      <c r="EZ7" s="66"/>
      <c r="FA7" s="66"/>
      <c r="FB7" s="66"/>
      <c r="FC7" s="66"/>
      <c r="FD7" s="66"/>
      <c r="FE7" s="66"/>
      <c r="FF7" s="66"/>
      <c r="FG7" s="66"/>
      <c r="FH7" s="66"/>
      <c r="FI7" s="66"/>
      <c r="FJ7" s="66"/>
      <c r="FK7" s="66"/>
      <c r="FL7" s="66"/>
      <c r="FM7" s="66"/>
      <c r="FN7" s="66"/>
      <c r="FO7" s="66"/>
      <c r="FP7" s="66"/>
      <c r="FQ7" s="66"/>
      <c r="FR7" s="66"/>
      <c r="FS7" s="66"/>
      <c r="FT7" s="66"/>
      <c r="FU7" s="66"/>
      <c r="FV7" s="66"/>
      <c r="FW7" s="66"/>
      <c r="FX7" s="66"/>
      <c r="FY7" s="66"/>
      <c r="FZ7" s="66"/>
      <c r="GA7" s="66"/>
      <c r="GB7" s="66"/>
      <c r="GC7" s="66"/>
      <c r="GD7" s="66"/>
      <c r="GE7" s="66"/>
      <c r="GF7" s="66"/>
      <c r="GG7" s="66"/>
      <c r="GH7" s="66"/>
      <c r="GI7" s="66"/>
      <c r="GJ7" s="66"/>
      <c r="GK7" s="66"/>
      <c r="GL7" s="66"/>
      <c r="GM7" s="66"/>
      <c r="GN7" s="66"/>
      <c r="GO7" s="66"/>
      <c r="GP7" s="66"/>
      <c r="GQ7" s="66"/>
      <c r="GR7" s="66"/>
      <c r="GS7" s="66"/>
      <c r="GT7" s="66"/>
      <c r="GU7" s="66"/>
      <c r="GV7" s="66"/>
      <c r="GW7" s="66"/>
      <c r="GX7" s="66"/>
      <c r="GY7" s="66"/>
      <c r="GZ7" s="66"/>
      <c r="HA7" s="66"/>
      <c r="HB7" s="66"/>
      <c r="HC7" s="66"/>
      <c r="HD7" s="66"/>
      <c r="HE7" s="66"/>
      <c r="HF7" s="66"/>
      <c r="HG7" s="66"/>
      <c r="HH7" s="66"/>
      <c r="HI7" s="66"/>
      <c r="HJ7" s="66"/>
      <c r="HK7" s="66"/>
      <c r="HL7" s="66"/>
      <c r="HM7" s="66"/>
      <c r="HN7" s="66"/>
      <c r="HO7" s="66"/>
      <c r="HP7" s="66"/>
      <c r="HQ7" s="66"/>
      <c r="HR7" s="66"/>
      <c r="HS7" s="66"/>
      <c r="HT7" s="66"/>
      <c r="HU7" s="66"/>
      <c r="HV7" s="66"/>
      <c r="HW7" s="66"/>
      <c r="HX7" s="66"/>
      <c r="HY7" s="66"/>
      <c r="HZ7" s="66"/>
      <c r="IA7" s="66"/>
      <c r="IB7" s="66"/>
      <c r="IC7" s="66"/>
      <c r="ID7" s="66"/>
      <c r="IE7" s="66"/>
      <c r="IF7" s="66"/>
      <c r="IG7" s="66"/>
      <c r="IH7" s="66"/>
      <c r="II7" s="66"/>
      <c r="IJ7" s="66"/>
      <c r="IK7" s="66"/>
      <c r="IL7" s="66"/>
      <c r="IM7" s="66"/>
      <c r="IN7" s="66"/>
      <c r="IO7" s="66"/>
      <c r="IP7" s="66"/>
      <c r="IQ7" s="66"/>
      <c r="IR7" s="66"/>
      <c r="IS7" s="66"/>
      <c r="IT7" s="66"/>
      <c r="IU7" s="66"/>
      <c r="IV7" s="66"/>
      <c r="IW7" s="66"/>
    </row>
    <row r="8" spans="1:257" s="111" customFormat="1" ht="18" customHeight="1" thickBot="1">
      <c r="A8" s="66"/>
      <c r="B8" s="49" t="s">
        <v>1626</v>
      </c>
      <c r="C8" s="502"/>
      <c r="D8" s="1015"/>
      <c r="E8" s="66"/>
      <c r="F8" s="65"/>
      <c r="G8" s="66"/>
      <c r="H8" s="66"/>
      <c r="I8" s="66"/>
      <c r="J8" s="66"/>
      <c r="K8" s="1015"/>
      <c r="L8" s="66"/>
      <c r="M8" s="66"/>
      <c r="N8" s="66"/>
      <c r="O8" s="66"/>
      <c r="P8" s="66"/>
      <c r="Q8" s="66"/>
      <c r="R8" s="66"/>
      <c r="S8" s="66"/>
      <c r="T8" s="66"/>
      <c r="U8" s="66"/>
      <c r="V8" s="66"/>
      <c r="W8" s="66"/>
      <c r="X8" s="66"/>
      <c r="Y8" s="66"/>
      <c r="Z8" s="66"/>
      <c r="AA8" s="66"/>
      <c r="AB8" s="66"/>
      <c r="AC8" s="66"/>
      <c r="AD8" s="66"/>
      <c r="AE8" s="66"/>
      <c r="AF8" s="66"/>
      <c r="AG8" s="66"/>
      <c r="AH8" s="66"/>
      <c r="AI8" s="66"/>
      <c r="AJ8" s="66"/>
      <c r="AK8" s="66"/>
      <c r="AL8" s="66"/>
      <c r="AM8" s="66"/>
      <c r="AN8" s="66"/>
      <c r="AO8" s="66"/>
      <c r="AP8" s="66"/>
      <c r="AQ8" s="66"/>
      <c r="AR8" s="66"/>
      <c r="AS8" s="66"/>
      <c r="AT8" s="66"/>
      <c r="AU8" s="66"/>
      <c r="AV8" s="66"/>
      <c r="AW8" s="66"/>
      <c r="AX8" s="66"/>
      <c r="AY8" s="66"/>
      <c r="AZ8" s="66"/>
      <c r="BA8" s="66"/>
      <c r="BB8" s="66"/>
      <c r="BC8" s="66"/>
      <c r="BD8" s="66"/>
      <c r="BE8" s="66"/>
      <c r="BF8" s="66"/>
      <c r="BG8" s="66"/>
      <c r="BH8" s="66"/>
      <c r="BI8" s="66"/>
      <c r="BJ8" s="66"/>
      <c r="BK8" s="66"/>
      <c r="BL8" s="66"/>
      <c r="BM8" s="66"/>
      <c r="BN8" s="66"/>
      <c r="BO8" s="66"/>
      <c r="BP8" s="66"/>
      <c r="BQ8" s="66"/>
      <c r="BR8" s="66"/>
      <c r="BS8" s="66"/>
      <c r="BT8" s="66"/>
      <c r="BU8" s="66"/>
      <c r="BV8" s="66"/>
      <c r="BW8" s="66"/>
      <c r="BX8" s="66"/>
      <c r="BY8" s="66"/>
      <c r="BZ8" s="66"/>
      <c r="CA8" s="66"/>
      <c r="CB8" s="66"/>
      <c r="CC8" s="66"/>
      <c r="CD8" s="66"/>
      <c r="CE8" s="66"/>
      <c r="CF8" s="66"/>
      <c r="CG8" s="66"/>
      <c r="CH8" s="66"/>
      <c r="CI8" s="66"/>
      <c r="CJ8" s="66"/>
      <c r="CK8" s="66"/>
      <c r="CL8" s="66"/>
      <c r="CM8" s="66"/>
      <c r="CN8" s="66"/>
      <c r="CO8" s="66"/>
      <c r="CP8" s="66"/>
      <c r="CQ8" s="66"/>
      <c r="CR8" s="66"/>
      <c r="CS8" s="66"/>
      <c r="CT8" s="66"/>
      <c r="CU8" s="66"/>
      <c r="CV8" s="66"/>
      <c r="CW8" s="66"/>
      <c r="CX8" s="66"/>
      <c r="CY8" s="66"/>
      <c r="CZ8" s="66"/>
      <c r="DA8" s="66"/>
      <c r="DB8" s="66"/>
      <c r="DC8" s="66"/>
      <c r="DD8" s="66"/>
      <c r="DE8" s="66"/>
      <c r="DF8" s="66"/>
      <c r="DG8" s="66"/>
      <c r="DH8" s="66"/>
      <c r="DI8" s="66"/>
      <c r="DJ8" s="66"/>
      <c r="DK8" s="66"/>
      <c r="DL8" s="66"/>
      <c r="DM8" s="66"/>
      <c r="DN8" s="66"/>
      <c r="DO8" s="66"/>
      <c r="DP8" s="66"/>
      <c r="DQ8" s="66"/>
      <c r="DR8" s="66"/>
      <c r="DS8" s="66"/>
      <c r="DT8" s="66"/>
      <c r="DU8" s="66"/>
      <c r="DV8" s="66"/>
      <c r="DW8" s="66"/>
      <c r="DX8" s="66"/>
      <c r="DY8" s="66"/>
      <c r="DZ8" s="66"/>
      <c r="EA8" s="66"/>
      <c r="EB8" s="66"/>
      <c r="EC8" s="66"/>
      <c r="ED8" s="66"/>
      <c r="EE8" s="66"/>
      <c r="EF8" s="66"/>
      <c r="EG8" s="66"/>
      <c r="EH8" s="66"/>
      <c r="EI8" s="66"/>
      <c r="EJ8" s="66"/>
      <c r="EK8" s="66"/>
      <c r="EL8" s="66"/>
      <c r="EM8" s="66"/>
      <c r="EN8" s="66"/>
      <c r="EO8" s="66"/>
      <c r="EP8" s="66"/>
      <c r="EQ8" s="66"/>
      <c r="ER8" s="66"/>
      <c r="ES8" s="66"/>
      <c r="ET8" s="66"/>
      <c r="EU8" s="66"/>
      <c r="EV8" s="66"/>
      <c r="EW8" s="66"/>
      <c r="EX8" s="66"/>
      <c r="EY8" s="66"/>
      <c r="EZ8" s="66"/>
      <c r="FA8" s="66"/>
      <c r="FB8" s="66"/>
      <c r="FC8" s="66"/>
      <c r="FD8" s="66"/>
      <c r="FE8" s="66"/>
      <c r="FF8" s="66"/>
      <c r="FG8" s="66"/>
      <c r="FH8" s="66"/>
      <c r="FI8" s="66"/>
      <c r="FJ8" s="66"/>
      <c r="FK8" s="66"/>
      <c r="FL8" s="66"/>
      <c r="FM8" s="66"/>
      <c r="FN8" s="66"/>
      <c r="FO8" s="66"/>
      <c r="FP8" s="66"/>
      <c r="FQ8" s="66"/>
      <c r="FR8" s="66"/>
      <c r="FS8" s="66"/>
      <c r="FT8" s="66"/>
      <c r="FU8" s="66"/>
      <c r="FV8" s="66"/>
      <c r="FW8" s="66"/>
      <c r="FX8" s="66"/>
      <c r="FY8" s="66"/>
      <c r="FZ8" s="66"/>
      <c r="GA8" s="66"/>
      <c r="GB8" s="66"/>
      <c r="GC8" s="66"/>
      <c r="GD8" s="66"/>
      <c r="GE8" s="66"/>
      <c r="GF8" s="66"/>
      <c r="GG8" s="66"/>
      <c r="GH8" s="66"/>
      <c r="GI8" s="66"/>
      <c r="GJ8" s="66"/>
      <c r="GK8" s="66"/>
      <c r="GL8" s="66"/>
      <c r="GM8" s="66"/>
      <c r="GN8" s="66"/>
      <c r="GO8" s="66"/>
      <c r="GP8" s="66"/>
      <c r="GQ8" s="66"/>
      <c r="GR8" s="66"/>
      <c r="GS8" s="66"/>
      <c r="GT8" s="66"/>
      <c r="GU8" s="66"/>
      <c r="GV8" s="66"/>
      <c r="GW8" s="66"/>
      <c r="GX8" s="66"/>
      <c r="GY8" s="66"/>
      <c r="GZ8" s="66"/>
      <c r="HA8" s="66"/>
      <c r="HB8" s="66"/>
      <c r="HC8" s="66"/>
      <c r="HD8" s="66"/>
      <c r="HE8" s="66"/>
      <c r="HF8" s="66"/>
      <c r="HG8" s="66"/>
      <c r="HH8" s="66"/>
      <c r="HI8" s="66"/>
      <c r="HJ8" s="66"/>
      <c r="HK8" s="66"/>
      <c r="HL8" s="66"/>
      <c r="HM8" s="66"/>
      <c r="HN8" s="66"/>
      <c r="HO8" s="66"/>
      <c r="HP8" s="66"/>
      <c r="HQ8" s="66"/>
      <c r="HR8" s="66"/>
      <c r="HS8" s="66"/>
      <c r="HT8" s="66"/>
      <c r="HU8" s="66"/>
      <c r="HV8" s="66"/>
      <c r="HW8" s="66"/>
      <c r="HX8" s="66"/>
      <c r="HY8" s="66"/>
      <c r="HZ8" s="66"/>
      <c r="IA8" s="66"/>
      <c r="IB8" s="66"/>
      <c r="IC8" s="66"/>
      <c r="ID8" s="66"/>
      <c r="IE8" s="66"/>
      <c r="IF8" s="66"/>
      <c r="IG8" s="66"/>
      <c r="IH8" s="66"/>
      <c r="II8" s="66"/>
      <c r="IJ8" s="66"/>
      <c r="IK8" s="66"/>
      <c r="IL8" s="66"/>
      <c r="IM8" s="66"/>
      <c r="IN8" s="66"/>
      <c r="IO8" s="66"/>
      <c r="IP8" s="66"/>
      <c r="IQ8" s="66"/>
      <c r="IR8" s="66"/>
      <c r="IS8" s="66"/>
      <c r="IT8" s="66"/>
      <c r="IU8" s="66"/>
      <c r="IV8" s="66"/>
      <c r="IW8" s="66"/>
    </row>
    <row r="9" spans="1:257" s="111" customFormat="1" ht="18" customHeight="1">
      <c r="A9" s="66"/>
      <c r="B9" s="1189" t="s">
        <v>1375</v>
      </c>
      <c r="C9" s="1190"/>
      <c r="D9" s="1190" t="s">
        <v>1627</v>
      </c>
      <c r="E9" s="1190"/>
      <c r="F9" s="1190"/>
      <c r="G9" s="1190"/>
      <c r="H9" s="1190"/>
      <c r="I9" s="1190"/>
      <c r="J9" s="1190"/>
      <c r="K9" s="1190"/>
      <c r="L9" s="1190"/>
      <c r="M9" s="1190"/>
      <c r="N9" s="1190"/>
      <c r="O9" s="1190"/>
      <c r="P9" s="1190"/>
      <c r="Q9" s="1190"/>
      <c r="R9" s="1190"/>
      <c r="S9" s="1191"/>
      <c r="X9" s="66"/>
      <c r="Y9" s="66"/>
      <c r="Z9" s="66"/>
      <c r="AA9" s="66"/>
      <c r="AB9" s="66"/>
      <c r="AC9" s="66"/>
      <c r="AD9" s="66"/>
      <c r="AE9" s="66"/>
      <c r="AF9" s="66"/>
      <c r="AG9" s="66"/>
      <c r="AH9" s="66"/>
      <c r="AI9" s="66"/>
      <c r="AJ9" s="66"/>
      <c r="AK9" s="66"/>
      <c r="AL9" s="66"/>
      <c r="AM9" s="66"/>
      <c r="AN9" s="66"/>
      <c r="AO9" s="66"/>
      <c r="AP9" s="66"/>
      <c r="AQ9" s="66"/>
      <c r="AR9" s="66"/>
      <c r="AS9" s="66"/>
      <c r="AT9" s="66"/>
      <c r="AU9" s="66"/>
      <c r="AV9" s="66"/>
      <c r="AW9" s="66"/>
      <c r="AX9" s="66"/>
      <c r="AY9" s="66"/>
      <c r="AZ9" s="66"/>
      <c r="BA9" s="66"/>
      <c r="BB9" s="66"/>
      <c r="BC9" s="66"/>
      <c r="BD9" s="66"/>
      <c r="BE9" s="66"/>
      <c r="BF9" s="66"/>
      <c r="BG9" s="66"/>
      <c r="BH9" s="66"/>
      <c r="BI9" s="66"/>
      <c r="BJ9" s="66"/>
      <c r="BK9" s="66"/>
      <c r="BL9" s="66"/>
      <c r="BM9" s="66"/>
      <c r="BN9" s="66"/>
      <c r="BO9" s="66"/>
      <c r="BP9" s="66"/>
      <c r="BQ9" s="66"/>
      <c r="BR9" s="66"/>
      <c r="BS9" s="66"/>
      <c r="BT9" s="66"/>
      <c r="BU9" s="66"/>
      <c r="BV9" s="66"/>
      <c r="BW9" s="66"/>
      <c r="BX9" s="66"/>
      <c r="BY9" s="66"/>
      <c r="BZ9" s="66"/>
      <c r="CA9" s="66"/>
      <c r="CB9" s="66"/>
      <c r="CC9" s="66"/>
      <c r="CD9" s="66"/>
      <c r="CE9" s="66"/>
      <c r="CF9" s="66"/>
      <c r="CG9" s="66"/>
      <c r="CH9" s="66"/>
      <c r="CI9" s="66"/>
      <c r="CJ9" s="66"/>
      <c r="CK9" s="66"/>
      <c r="CL9" s="66"/>
      <c r="CM9" s="66"/>
      <c r="CN9" s="66"/>
      <c r="CO9" s="66"/>
      <c r="CP9" s="66"/>
      <c r="CQ9" s="66"/>
      <c r="CR9" s="66"/>
      <c r="CS9" s="66"/>
      <c r="CT9" s="66"/>
      <c r="CU9" s="66"/>
      <c r="CV9" s="66"/>
      <c r="CW9" s="66"/>
      <c r="CX9" s="66"/>
      <c r="CY9" s="66"/>
      <c r="CZ9" s="66"/>
      <c r="DA9" s="66"/>
      <c r="DB9" s="66"/>
      <c r="DC9" s="66"/>
      <c r="DD9" s="66"/>
      <c r="DE9" s="66"/>
      <c r="DF9" s="66"/>
      <c r="DG9" s="66"/>
      <c r="DH9" s="66"/>
      <c r="DI9" s="66"/>
      <c r="DJ9" s="66"/>
      <c r="DK9" s="66"/>
      <c r="DL9" s="66"/>
      <c r="DM9" s="66"/>
      <c r="DN9" s="66"/>
      <c r="DO9" s="66"/>
      <c r="DP9" s="66"/>
      <c r="DQ9" s="66"/>
      <c r="DR9" s="66"/>
      <c r="DS9" s="66"/>
      <c r="DT9" s="66"/>
      <c r="DU9" s="66"/>
      <c r="DV9" s="66"/>
      <c r="DW9" s="66"/>
      <c r="DX9" s="66"/>
      <c r="DY9" s="66"/>
      <c r="DZ9" s="66"/>
      <c r="EA9" s="66"/>
      <c r="EB9" s="66"/>
      <c r="EC9" s="66"/>
      <c r="ED9" s="66"/>
      <c r="EE9" s="66"/>
      <c r="EF9" s="66"/>
      <c r="EG9" s="66"/>
      <c r="EH9" s="66"/>
      <c r="EI9" s="66"/>
      <c r="EJ9" s="66"/>
      <c r="EK9" s="66"/>
      <c r="EL9" s="66"/>
      <c r="EM9" s="66"/>
      <c r="EN9" s="66"/>
      <c r="EO9" s="66"/>
      <c r="EP9" s="66"/>
      <c r="EQ9" s="66"/>
      <c r="ER9" s="66"/>
      <c r="ES9" s="66"/>
      <c r="ET9" s="66"/>
      <c r="EU9" s="66"/>
      <c r="EV9" s="66"/>
      <c r="EW9" s="66"/>
      <c r="EX9" s="66"/>
      <c r="EY9" s="66"/>
      <c r="EZ9" s="66"/>
      <c r="FA9" s="66"/>
      <c r="FB9" s="66"/>
      <c r="FC9" s="66"/>
      <c r="FD9" s="66"/>
      <c r="FE9" s="66"/>
      <c r="FF9" s="66"/>
      <c r="FG9" s="66"/>
      <c r="FH9" s="66"/>
      <c r="FI9" s="66"/>
      <c r="FJ9" s="66"/>
      <c r="FK9" s="66"/>
      <c r="FL9" s="66"/>
      <c r="FM9" s="66"/>
      <c r="FN9" s="66"/>
      <c r="FO9" s="66"/>
      <c r="FP9" s="66"/>
      <c r="FQ9" s="66"/>
      <c r="FR9" s="66"/>
      <c r="FS9" s="66"/>
      <c r="FT9" s="66"/>
      <c r="FU9" s="66"/>
      <c r="FV9" s="66"/>
      <c r="FW9" s="66"/>
      <c r="FX9" s="66"/>
      <c r="FY9" s="66"/>
      <c r="FZ9" s="66"/>
      <c r="GA9" s="66"/>
      <c r="GB9" s="66"/>
      <c r="GC9" s="66"/>
      <c r="GD9" s="66"/>
      <c r="GE9" s="66"/>
      <c r="GF9" s="66"/>
      <c r="GG9" s="66"/>
      <c r="GH9" s="66"/>
      <c r="GI9" s="66"/>
      <c r="GJ9" s="66"/>
      <c r="GK9" s="66"/>
      <c r="GL9" s="66"/>
      <c r="GM9" s="66"/>
      <c r="GN9" s="66"/>
      <c r="GO9" s="66"/>
      <c r="GP9" s="66"/>
      <c r="GQ9" s="66"/>
      <c r="GR9" s="66"/>
      <c r="GS9" s="66"/>
      <c r="GT9" s="66"/>
      <c r="GU9" s="66"/>
      <c r="GV9" s="66"/>
      <c r="GW9" s="66"/>
      <c r="GX9" s="66"/>
      <c r="GY9" s="66"/>
      <c r="GZ9" s="66"/>
      <c r="HA9" s="66"/>
      <c r="HB9" s="66"/>
      <c r="HC9" s="66"/>
      <c r="HD9" s="66"/>
      <c r="HE9" s="66"/>
      <c r="HF9" s="66"/>
      <c r="HG9" s="66"/>
      <c r="HH9" s="66"/>
      <c r="HI9" s="66"/>
      <c r="HJ9" s="66"/>
      <c r="HK9" s="66"/>
      <c r="HL9" s="66"/>
      <c r="HM9" s="66"/>
      <c r="HN9" s="66"/>
      <c r="HO9" s="66"/>
      <c r="HP9" s="66"/>
      <c r="HQ9" s="66"/>
      <c r="HR9" s="66"/>
      <c r="HS9" s="66"/>
      <c r="HT9" s="66"/>
      <c r="HU9" s="66"/>
      <c r="HV9" s="66"/>
      <c r="HW9" s="66"/>
      <c r="HX9" s="66"/>
      <c r="HY9" s="66"/>
      <c r="HZ9" s="66"/>
      <c r="IA9" s="66"/>
      <c r="IB9" s="66"/>
      <c r="IC9" s="66"/>
      <c r="ID9" s="66"/>
      <c r="IE9" s="66"/>
      <c r="IF9" s="66"/>
      <c r="IG9" s="66"/>
      <c r="IH9" s="66"/>
      <c r="II9" s="66"/>
      <c r="IJ9" s="66"/>
      <c r="IK9" s="66"/>
      <c r="IL9" s="66"/>
      <c r="IM9" s="66"/>
      <c r="IN9" s="66"/>
      <c r="IO9" s="66"/>
      <c r="IP9" s="66"/>
      <c r="IQ9" s="66"/>
      <c r="IR9" s="66"/>
      <c r="IS9" s="66"/>
      <c r="IT9" s="66"/>
      <c r="IU9" s="66"/>
      <c r="IV9" s="66"/>
      <c r="IW9" s="66"/>
    </row>
    <row r="10" spans="1:257" s="111" customFormat="1" ht="45" customHeight="1" thickBot="1">
      <c r="A10" s="66"/>
      <c r="B10" s="1184" t="s">
        <v>1628</v>
      </c>
      <c r="C10" s="1185"/>
      <c r="D10" s="1183" t="s">
        <v>1629</v>
      </c>
      <c r="E10" s="1286"/>
      <c r="F10" s="1286"/>
      <c r="G10" s="1286"/>
      <c r="H10" s="1286"/>
      <c r="I10" s="1286"/>
      <c r="J10" s="1286"/>
      <c r="K10" s="1286"/>
      <c r="L10" s="1286"/>
      <c r="M10" s="1286"/>
      <c r="N10" s="1286"/>
      <c r="O10" s="1286"/>
      <c r="P10" s="1286"/>
      <c r="Q10" s="1286"/>
      <c r="R10" s="1286"/>
      <c r="S10" s="1287"/>
      <c r="X10" s="66"/>
      <c r="Y10" s="66"/>
      <c r="Z10" s="66"/>
      <c r="AA10" s="66"/>
      <c r="AB10" s="66"/>
      <c r="AC10" s="66"/>
      <c r="AD10" s="66"/>
      <c r="AE10" s="66"/>
      <c r="AF10" s="66"/>
      <c r="AG10" s="66"/>
      <c r="AH10" s="66"/>
      <c r="AI10" s="66"/>
      <c r="AJ10" s="66"/>
      <c r="AK10" s="66"/>
      <c r="AL10" s="66"/>
      <c r="AM10" s="66"/>
      <c r="AN10" s="66"/>
      <c r="AO10" s="66"/>
      <c r="AP10" s="66"/>
      <c r="AQ10" s="66"/>
      <c r="AR10" s="66"/>
      <c r="AS10" s="66"/>
      <c r="AT10" s="66"/>
      <c r="AU10" s="66"/>
      <c r="AV10" s="66"/>
      <c r="AW10" s="66"/>
      <c r="AX10" s="66"/>
      <c r="AY10" s="66"/>
      <c r="AZ10" s="66"/>
      <c r="BA10" s="66"/>
      <c r="BB10" s="66"/>
      <c r="BC10" s="66"/>
      <c r="BD10" s="66"/>
      <c r="BE10" s="66"/>
      <c r="BF10" s="66"/>
      <c r="BG10" s="66"/>
      <c r="BH10" s="66"/>
      <c r="BI10" s="66"/>
      <c r="BJ10" s="66"/>
      <c r="BK10" s="66"/>
      <c r="BL10" s="66"/>
      <c r="BM10" s="66"/>
      <c r="BN10" s="66"/>
      <c r="BO10" s="66"/>
      <c r="BP10" s="66"/>
      <c r="BQ10" s="66"/>
      <c r="BR10" s="66"/>
      <c r="BS10" s="66"/>
      <c r="BT10" s="66"/>
      <c r="BU10" s="66"/>
      <c r="BV10" s="66"/>
      <c r="BW10" s="66"/>
      <c r="BX10" s="66"/>
      <c r="BY10" s="66"/>
      <c r="BZ10" s="66"/>
      <c r="CA10" s="66"/>
      <c r="CB10" s="66"/>
      <c r="CC10" s="66"/>
      <c r="CD10" s="66"/>
      <c r="CE10" s="66"/>
      <c r="CF10" s="66"/>
      <c r="CG10" s="66"/>
      <c r="CH10" s="66"/>
      <c r="CI10" s="66"/>
      <c r="CJ10" s="66"/>
      <c r="CK10" s="66"/>
      <c r="CL10" s="66"/>
      <c r="CM10" s="66"/>
      <c r="CN10" s="66"/>
      <c r="CO10" s="66"/>
      <c r="CP10" s="66"/>
      <c r="CQ10" s="66"/>
      <c r="CR10" s="66"/>
      <c r="CS10" s="66"/>
      <c r="CT10" s="66"/>
      <c r="CU10" s="66"/>
      <c r="CV10" s="66"/>
      <c r="CW10" s="66"/>
      <c r="CX10" s="66"/>
      <c r="CY10" s="66"/>
      <c r="CZ10" s="66"/>
      <c r="DA10" s="66"/>
      <c r="DB10" s="66"/>
      <c r="DC10" s="66"/>
      <c r="DD10" s="66"/>
      <c r="DE10" s="66"/>
      <c r="DF10" s="66"/>
      <c r="DG10" s="66"/>
      <c r="DH10" s="66"/>
      <c r="DI10" s="66"/>
      <c r="DJ10" s="66"/>
      <c r="DK10" s="66"/>
      <c r="DL10" s="66"/>
      <c r="DM10" s="66"/>
      <c r="DN10" s="66"/>
      <c r="DO10" s="66"/>
      <c r="DP10" s="66"/>
      <c r="DQ10" s="66"/>
      <c r="DR10" s="66"/>
      <c r="DS10" s="66"/>
      <c r="DT10" s="66"/>
      <c r="DU10" s="66"/>
      <c r="DV10" s="66"/>
      <c r="DW10" s="66"/>
      <c r="DX10" s="66"/>
      <c r="DY10" s="66"/>
      <c r="DZ10" s="66"/>
      <c r="EA10" s="66"/>
      <c r="EB10" s="66"/>
      <c r="EC10" s="66"/>
      <c r="ED10" s="66"/>
      <c r="EE10" s="66"/>
      <c r="EF10" s="66"/>
      <c r="EG10" s="66"/>
      <c r="EH10" s="66"/>
      <c r="EI10" s="66"/>
      <c r="EJ10" s="66"/>
      <c r="EK10" s="66"/>
      <c r="EL10" s="66"/>
      <c r="EM10" s="66"/>
      <c r="EN10" s="66"/>
      <c r="EO10" s="66"/>
      <c r="EP10" s="66"/>
      <c r="EQ10" s="66"/>
      <c r="ER10" s="66"/>
      <c r="ES10" s="66"/>
      <c r="ET10" s="66"/>
      <c r="EU10" s="66"/>
      <c r="EV10" s="66"/>
      <c r="EW10" s="66"/>
      <c r="EX10" s="66"/>
      <c r="EY10" s="66"/>
      <c r="EZ10" s="66"/>
      <c r="FA10" s="66"/>
      <c r="FB10" s="66"/>
      <c r="FC10" s="66"/>
      <c r="FD10" s="66"/>
      <c r="FE10" s="66"/>
      <c r="FF10" s="66"/>
      <c r="FG10" s="66"/>
      <c r="FH10" s="66"/>
      <c r="FI10" s="66"/>
      <c r="FJ10" s="66"/>
      <c r="FK10" s="66"/>
      <c r="FL10" s="66"/>
      <c r="FM10" s="66"/>
      <c r="FN10" s="66"/>
      <c r="FO10" s="66"/>
      <c r="FP10" s="66"/>
      <c r="FQ10" s="66"/>
      <c r="FR10" s="66"/>
      <c r="FS10" s="66"/>
      <c r="FT10" s="66"/>
      <c r="FU10" s="66"/>
      <c r="FV10" s="66"/>
      <c r="FW10" s="66"/>
      <c r="FX10" s="66"/>
      <c r="FY10" s="66"/>
      <c r="FZ10" s="66"/>
      <c r="GA10" s="66"/>
      <c r="GB10" s="66"/>
      <c r="GC10" s="66"/>
      <c r="GD10" s="66"/>
      <c r="GE10" s="66"/>
      <c r="GF10" s="66"/>
      <c r="GG10" s="66"/>
      <c r="GH10" s="66"/>
      <c r="GI10" s="66"/>
      <c r="GJ10" s="66"/>
      <c r="GK10" s="66"/>
      <c r="GL10" s="66"/>
      <c r="GM10" s="66"/>
      <c r="GN10" s="66"/>
      <c r="GO10" s="66"/>
      <c r="GP10" s="66"/>
      <c r="GQ10" s="66"/>
      <c r="GR10" s="66"/>
      <c r="GS10" s="66"/>
      <c r="GT10" s="66"/>
      <c r="GU10" s="66"/>
      <c r="GV10" s="66"/>
      <c r="GW10" s="66"/>
      <c r="GX10" s="66"/>
      <c r="GY10" s="66"/>
      <c r="GZ10" s="66"/>
      <c r="HA10" s="66"/>
      <c r="HB10" s="66"/>
      <c r="HC10" s="66"/>
      <c r="HD10" s="66"/>
      <c r="HE10" s="66"/>
      <c r="HF10" s="66"/>
      <c r="HG10" s="66"/>
      <c r="HH10" s="66"/>
      <c r="HI10" s="66"/>
      <c r="HJ10" s="66"/>
      <c r="HK10" s="66"/>
      <c r="HL10" s="66"/>
      <c r="HM10" s="66"/>
      <c r="HN10" s="66"/>
      <c r="HO10" s="66"/>
      <c r="HP10" s="66"/>
      <c r="HQ10" s="66"/>
      <c r="HR10" s="66"/>
      <c r="HS10" s="66"/>
      <c r="HT10" s="66"/>
      <c r="HU10" s="66"/>
      <c r="HV10" s="66"/>
      <c r="HW10" s="66"/>
      <c r="HX10" s="66"/>
      <c r="HY10" s="66"/>
      <c r="HZ10" s="66"/>
      <c r="IA10" s="66"/>
      <c r="IB10" s="66"/>
      <c r="IC10" s="66"/>
      <c r="ID10" s="66"/>
      <c r="IE10" s="66"/>
      <c r="IF10" s="66"/>
      <c r="IG10" s="66"/>
      <c r="IH10" s="66"/>
      <c r="II10" s="66"/>
      <c r="IJ10" s="66"/>
      <c r="IK10" s="66"/>
      <c r="IL10" s="66"/>
      <c r="IM10" s="66"/>
      <c r="IN10" s="66"/>
      <c r="IO10" s="66"/>
      <c r="IP10" s="66"/>
      <c r="IQ10" s="66"/>
      <c r="IR10" s="66"/>
      <c r="IS10" s="66"/>
      <c r="IT10" s="66"/>
      <c r="IU10" s="66"/>
      <c r="IV10" s="66"/>
      <c r="IW10" s="66"/>
    </row>
    <row r="11" spans="1:257" s="111" customFormat="1" ht="18" customHeight="1">
      <c r="A11" s="66"/>
      <c r="B11" s="502"/>
      <c r="C11" s="502"/>
      <c r="D11" s="502"/>
      <c r="E11" s="502"/>
      <c r="F11" s="502"/>
      <c r="G11" s="502"/>
      <c r="H11" s="502"/>
      <c r="I11" s="502"/>
      <c r="J11" s="502"/>
      <c r="K11" s="502"/>
      <c r="L11" s="502"/>
      <c r="M11" s="996"/>
      <c r="N11" s="996"/>
      <c r="O11" s="996"/>
      <c r="P11" s="996"/>
      <c r="Q11" s="996"/>
      <c r="R11" s="66"/>
      <c r="S11" s="66"/>
      <c r="T11" s="66"/>
      <c r="U11" s="66"/>
      <c r="V11" s="66"/>
      <c r="W11" s="66"/>
      <c r="X11" s="66"/>
      <c r="Y11" s="66"/>
      <c r="Z11" s="66"/>
      <c r="AA11" s="66"/>
      <c r="AB11" s="66"/>
      <c r="AC11" s="66"/>
      <c r="AD11" s="66"/>
      <c r="AE11" s="66"/>
      <c r="AF11" s="66"/>
      <c r="AG11" s="66"/>
      <c r="AH11" s="66"/>
      <c r="AI11" s="66"/>
      <c r="AJ11" s="66"/>
      <c r="AK11" s="66"/>
      <c r="AL11" s="66"/>
      <c r="AM11" s="66"/>
      <c r="AN11" s="66"/>
      <c r="AO11" s="66"/>
      <c r="AP11" s="66"/>
      <c r="AQ11" s="66"/>
      <c r="AR11" s="66"/>
      <c r="AS11" s="66"/>
      <c r="AT11" s="66"/>
      <c r="AU11" s="66"/>
      <c r="AV11" s="66"/>
      <c r="AW11" s="66"/>
      <c r="AX11" s="66"/>
      <c r="AY11" s="66"/>
      <c r="AZ11" s="66"/>
      <c r="BA11" s="66"/>
      <c r="BB11" s="66"/>
      <c r="BC11" s="66"/>
      <c r="BD11" s="66"/>
      <c r="BE11" s="66"/>
      <c r="BF11" s="66"/>
      <c r="BG11" s="66"/>
      <c r="BH11" s="66"/>
      <c r="BI11" s="66"/>
      <c r="BJ11" s="66"/>
      <c r="BK11" s="66"/>
      <c r="BL11" s="66"/>
      <c r="BM11" s="66"/>
      <c r="BN11" s="66"/>
      <c r="BO11" s="66"/>
      <c r="BP11" s="66"/>
      <c r="BQ11" s="66"/>
      <c r="BR11" s="66"/>
      <c r="BS11" s="66"/>
      <c r="BT11" s="66"/>
      <c r="BU11" s="66"/>
      <c r="BV11" s="66"/>
      <c r="BW11" s="66"/>
      <c r="BX11" s="66"/>
      <c r="BY11" s="66"/>
      <c r="BZ11" s="66"/>
      <c r="CA11" s="66"/>
      <c r="CB11" s="66"/>
      <c r="CC11" s="66"/>
      <c r="CD11" s="66"/>
      <c r="CE11" s="66"/>
      <c r="CF11" s="66"/>
      <c r="CG11" s="66"/>
      <c r="CH11" s="66"/>
      <c r="CI11" s="66"/>
      <c r="CJ11" s="66"/>
      <c r="CK11" s="66"/>
      <c r="CL11" s="66"/>
      <c r="CM11" s="66"/>
      <c r="CN11" s="66"/>
      <c r="CO11" s="66"/>
      <c r="CP11" s="66"/>
      <c r="CQ11" s="66"/>
      <c r="CR11" s="66"/>
      <c r="CS11" s="66"/>
      <c r="CT11" s="66"/>
      <c r="CU11" s="66"/>
      <c r="CV11" s="66"/>
      <c r="CW11" s="66"/>
      <c r="CX11" s="66"/>
      <c r="CY11" s="66"/>
      <c r="CZ11" s="66"/>
      <c r="DA11" s="66"/>
      <c r="DB11" s="66"/>
      <c r="DC11" s="66"/>
      <c r="DD11" s="66"/>
      <c r="DE11" s="66"/>
      <c r="DF11" s="66"/>
      <c r="DG11" s="66"/>
      <c r="DH11" s="66"/>
      <c r="DI11" s="66"/>
      <c r="DJ11" s="66"/>
      <c r="DK11" s="66"/>
      <c r="DL11" s="66"/>
      <c r="DM11" s="66"/>
      <c r="DN11" s="66"/>
      <c r="DO11" s="66"/>
      <c r="DP11" s="66"/>
      <c r="DQ11" s="66"/>
      <c r="DR11" s="66"/>
      <c r="DS11" s="66"/>
      <c r="DT11" s="66"/>
      <c r="DU11" s="66"/>
      <c r="DV11" s="66"/>
      <c r="DW11" s="66"/>
      <c r="DX11" s="66"/>
      <c r="DY11" s="66"/>
      <c r="DZ11" s="66"/>
      <c r="EA11" s="66"/>
      <c r="EB11" s="66"/>
      <c r="EC11" s="66"/>
      <c r="ED11" s="66"/>
      <c r="EE11" s="66"/>
      <c r="EF11" s="66"/>
      <c r="EG11" s="66"/>
      <c r="EH11" s="66"/>
      <c r="EI11" s="66"/>
      <c r="EJ11" s="66"/>
      <c r="EK11" s="66"/>
      <c r="EL11" s="66"/>
      <c r="EM11" s="66"/>
      <c r="EN11" s="66"/>
      <c r="EO11" s="66"/>
      <c r="EP11" s="66"/>
      <c r="EQ11" s="66"/>
      <c r="ER11" s="66"/>
      <c r="ES11" s="66"/>
      <c r="ET11" s="66"/>
      <c r="EU11" s="66"/>
      <c r="EV11" s="66"/>
      <c r="EW11" s="66"/>
      <c r="EX11" s="66"/>
      <c r="EY11" s="66"/>
      <c r="EZ11" s="66"/>
      <c r="FA11" s="66"/>
      <c r="FB11" s="66"/>
      <c r="FC11" s="66"/>
      <c r="FD11" s="66"/>
      <c r="FE11" s="66"/>
      <c r="FF11" s="66"/>
      <c r="FG11" s="66"/>
      <c r="FH11" s="66"/>
      <c r="FI11" s="66"/>
      <c r="FJ11" s="66"/>
      <c r="FK11" s="66"/>
      <c r="FL11" s="66"/>
      <c r="FM11" s="66"/>
      <c r="FN11" s="66"/>
      <c r="FO11" s="66"/>
      <c r="FP11" s="66"/>
      <c r="FQ11" s="66"/>
      <c r="FR11" s="66"/>
      <c r="FS11" s="66"/>
      <c r="FT11" s="66"/>
      <c r="FU11" s="66"/>
      <c r="FV11" s="66"/>
      <c r="FW11" s="66"/>
      <c r="FX11" s="66"/>
      <c r="FY11" s="66"/>
      <c r="FZ11" s="66"/>
      <c r="GA11" s="66"/>
      <c r="GB11" s="66"/>
      <c r="GC11" s="66"/>
      <c r="GD11" s="66"/>
      <c r="GE11" s="66"/>
      <c r="GF11" s="66"/>
      <c r="GG11" s="66"/>
      <c r="GH11" s="66"/>
      <c r="GI11" s="66"/>
      <c r="GJ11" s="66"/>
      <c r="GK11" s="66"/>
      <c r="GL11" s="66"/>
      <c r="GM11" s="66"/>
      <c r="GN11" s="66"/>
      <c r="GO11" s="66"/>
      <c r="GP11" s="66"/>
      <c r="GQ11" s="66"/>
      <c r="GR11" s="66"/>
      <c r="GS11" s="66"/>
      <c r="GT11" s="66"/>
      <c r="GU11" s="66"/>
      <c r="GV11" s="66"/>
      <c r="GW11" s="66"/>
      <c r="GX11" s="66"/>
      <c r="GY11" s="66"/>
      <c r="GZ11" s="66"/>
      <c r="HA11" s="66"/>
      <c r="HB11" s="66"/>
      <c r="HC11" s="66"/>
      <c r="HD11" s="66"/>
      <c r="HE11" s="66"/>
      <c r="HF11" s="66"/>
      <c r="HG11" s="66"/>
      <c r="HH11" s="66"/>
      <c r="HI11" s="66"/>
      <c r="HJ11" s="66"/>
      <c r="HK11" s="66"/>
      <c r="HL11" s="66"/>
      <c r="HM11" s="66"/>
      <c r="HN11" s="66"/>
      <c r="HO11" s="66"/>
      <c r="HP11" s="66"/>
      <c r="HQ11" s="66"/>
      <c r="HR11" s="66"/>
      <c r="HS11" s="66"/>
      <c r="HT11" s="66"/>
      <c r="HU11" s="66"/>
      <c r="HV11" s="66"/>
      <c r="HW11" s="66"/>
      <c r="HX11" s="66"/>
      <c r="HY11" s="66"/>
      <c r="HZ11" s="66"/>
      <c r="IA11" s="66"/>
      <c r="IB11" s="66"/>
      <c r="IC11" s="66"/>
      <c r="ID11" s="66"/>
      <c r="IE11" s="66"/>
      <c r="IF11" s="66"/>
      <c r="IG11" s="66"/>
      <c r="IH11" s="66"/>
      <c r="II11" s="66"/>
      <c r="IJ11" s="66"/>
      <c r="IK11" s="66"/>
      <c r="IL11" s="66"/>
      <c r="IM11" s="66"/>
      <c r="IN11" s="66"/>
      <c r="IO11" s="66"/>
      <c r="IP11" s="66"/>
      <c r="IQ11" s="66"/>
      <c r="IR11" s="66"/>
      <c r="IS11" s="66"/>
      <c r="IT11" s="66"/>
      <c r="IU11" s="66"/>
      <c r="IV11" s="66"/>
      <c r="IW11" s="66"/>
    </row>
    <row r="12" spans="1:257" s="110" customFormat="1" ht="18" customHeight="1" thickBot="1">
      <c r="A12" s="65"/>
      <c r="B12" s="67" t="s">
        <v>1556</v>
      </c>
      <c r="C12" s="67"/>
      <c r="D12" s="65"/>
      <c r="E12" s="65"/>
      <c r="F12" s="65"/>
      <c r="G12" s="66"/>
      <c r="H12" s="66"/>
      <c r="I12" s="66"/>
      <c r="J12" s="66"/>
      <c r="K12" s="66"/>
      <c r="L12" s="66"/>
      <c r="M12" s="65"/>
      <c r="N12" s="65"/>
      <c r="O12" s="65"/>
      <c r="P12" s="65"/>
      <c r="Q12" s="65"/>
      <c r="R12" s="65"/>
      <c r="S12" s="65"/>
      <c r="T12" s="65"/>
      <c r="U12" s="65"/>
      <c r="V12" s="65"/>
      <c r="W12" s="65"/>
      <c r="X12" s="65"/>
      <c r="Y12" s="65"/>
      <c r="Z12" s="65"/>
      <c r="AA12" s="65"/>
      <c r="AB12" s="65"/>
      <c r="AC12" s="65"/>
      <c r="AD12" s="65"/>
      <c r="AE12" s="65"/>
      <c r="AF12" s="65"/>
      <c r="AG12" s="65"/>
      <c r="AH12" s="65"/>
      <c r="AI12" s="65"/>
      <c r="AJ12" s="65"/>
      <c r="AK12" s="65"/>
      <c r="AL12" s="65"/>
      <c r="AM12" s="65"/>
      <c r="AN12" s="65"/>
      <c r="AO12" s="65"/>
      <c r="AP12" s="65"/>
      <c r="AQ12" s="65"/>
      <c r="AR12" s="65"/>
      <c r="AS12" s="65"/>
      <c r="AT12" s="65"/>
      <c r="AU12" s="65"/>
      <c r="AV12" s="65"/>
      <c r="AW12" s="65"/>
      <c r="AX12" s="65"/>
      <c r="AY12" s="65"/>
      <c r="AZ12" s="65"/>
      <c r="BA12" s="65"/>
      <c r="BB12" s="65"/>
      <c r="BC12" s="65"/>
      <c r="BD12" s="65"/>
      <c r="BE12" s="65"/>
      <c r="BF12" s="65"/>
      <c r="BG12" s="65"/>
      <c r="BH12" s="65"/>
      <c r="BI12" s="65"/>
      <c r="BJ12" s="65"/>
      <c r="BK12" s="65"/>
      <c r="BL12" s="65"/>
      <c r="BM12" s="65"/>
      <c r="BN12" s="65"/>
      <c r="BO12" s="65"/>
      <c r="BP12" s="65"/>
      <c r="BQ12" s="65"/>
      <c r="BR12" s="65"/>
      <c r="BS12" s="65"/>
      <c r="BT12" s="65"/>
      <c r="BU12" s="65"/>
      <c r="BV12" s="65"/>
      <c r="BW12" s="65"/>
      <c r="BX12" s="65"/>
      <c r="BY12" s="65"/>
      <c r="BZ12" s="65"/>
      <c r="CA12" s="65"/>
      <c r="CB12" s="65"/>
      <c r="CC12" s="65"/>
      <c r="CD12" s="65"/>
      <c r="CE12" s="65"/>
      <c r="CF12" s="65"/>
      <c r="CG12" s="65"/>
      <c r="CH12" s="65"/>
      <c r="CI12" s="65"/>
      <c r="CJ12" s="65"/>
      <c r="CK12" s="65"/>
      <c r="CL12" s="65"/>
      <c r="CM12" s="65"/>
      <c r="CN12" s="65"/>
      <c r="CO12" s="65"/>
      <c r="CP12" s="65"/>
      <c r="CQ12" s="65"/>
      <c r="CR12" s="65"/>
      <c r="CS12" s="65"/>
      <c r="CT12" s="65"/>
      <c r="CU12" s="65"/>
      <c r="CV12" s="65"/>
      <c r="CW12" s="65"/>
      <c r="CX12" s="65"/>
      <c r="CY12" s="65"/>
      <c r="CZ12" s="65"/>
      <c r="DA12" s="65"/>
      <c r="DB12" s="65"/>
      <c r="DC12" s="65"/>
      <c r="DD12" s="65"/>
      <c r="DE12" s="65"/>
      <c r="DF12" s="65"/>
      <c r="DG12" s="65"/>
      <c r="DH12" s="65"/>
      <c r="DI12" s="65"/>
      <c r="DJ12" s="65"/>
      <c r="DK12" s="65"/>
      <c r="DL12" s="65"/>
      <c r="DM12" s="65"/>
      <c r="DN12" s="65"/>
      <c r="DO12" s="65"/>
      <c r="DP12" s="65"/>
      <c r="DQ12" s="65"/>
      <c r="DR12" s="65"/>
      <c r="DS12" s="65"/>
      <c r="DT12" s="65"/>
      <c r="DU12" s="65"/>
      <c r="DV12" s="65"/>
      <c r="DW12" s="65"/>
      <c r="DX12" s="65"/>
      <c r="DY12" s="65"/>
      <c r="DZ12" s="65"/>
      <c r="EA12" s="65"/>
      <c r="EB12" s="65"/>
      <c r="EC12" s="65"/>
      <c r="ED12" s="65"/>
      <c r="EE12" s="65"/>
      <c r="EF12" s="65"/>
      <c r="EG12" s="65"/>
      <c r="EH12" s="65"/>
      <c r="EI12" s="65"/>
      <c r="EJ12" s="65"/>
      <c r="EK12" s="65"/>
      <c r="EL12" s="65"/>
      <c r="EM12" s="65"/>
      <c r="EN12" s="65"/>
      <c r="EO12" s="65"/>
      <c r="EP12" s="65"/>
      <c r="EQ12" s="65"/>
      <c r="ER12" s="65"/>
      <c r="ES12" s="65"/>
      <c r="ET12" s="65"/>
      <c r="EU12" s="65"/>
      <c r="EV12" s="65"/>
      <c r="EW12" s="65"/>
      <c r="EX12" s="65"/>
      <c r="EY12" s="65"/>
      <c r="EZ12" s="65"/>
      <c r="FA12" s="65"/>
      <c r="FB12" s="65"/>
      <c r="FC12" s="65"/>
      <c r="FD12" s="65"/>
      <c r="FE12" s="65"/>
      <c r="FF12" s="65"/>
      <c r="FG12" s="65"/>
      <c r="FH12" s="65"/>
      <c r="FI12" s="65"/>
      <c r="FJ12" s="65"/>
      <c r="FK12" s="65"/>
      <c r="FL12" s="65"/>
      <c r="FM12" s="65"/>
      <c r="FN12" s="65"/>
      <c r="FO12" s="65"/>
      <c r="FP12" s="65"/>
      <c r="FQ12" s="65"/>
      <c r="FR12" s="65"/>
      <c r="FS12" s="65"/>
      <c r="FT12" s="65"/>
      <c r="FU12" s="65"/>
      <c r="FV12" s="65"/>
      <c r="FW12" s="65"/>
      <c r="FX12" s="65"/>
      <c r="FY12" s="65"/>
      <c r="FZ12" s="65"/>
      <c r="GA12" s="65"/>
      <c r="GB12" s="65"/>
      <c r="GC12" s="65"/>
      <c r="GD12" s="65"/>
      <c r="GE12" s="65"/>
      <c r="GF12" s="65"/>
      <c r="GG12" s="65"/>
      <c r="GH12" s="65"/>
      <c r="GI12" s="65"/>
      <c r="GJ12" s="65"/>
      <c r="GK12" s="65"/>
      <c r="GL12" s="65"/>
      <c r="GM12" s="65"/>
      <c r="GN12" s="65"/>
      <c r="GO12" s="65"/>
      <c r="GP12" s="65"/>
      <c r="GQ12" s="65"/>
      <c r="GR12" s="65"/>
      <c r="GS12" s="65"/>
      <c r="GT12" s="65"/>
      <c r="GU12" s="65"/>
      <c r="GV12" s="65"/>
      <c r="GW12" s="65"/>
      <c r="GX12" s="65"/>
      <c r="GY12" s="65"/>
      <c r="GZ12" s="65"/>
      <c r="HA12" s="65"/>
      <c r="HB12" s="65"/>
      <c r="HC12" s="65"/>
      <c r="HD12" s="65"/>
      <c r="HE12" s="65"/>
      <c r="HF12" s="65"/>
      <c r="HG12" s="65"/>
      <c r="HH12" s="65"/>
      <c r="HI12" s="65"/>
      <c r="HJ12" s="65"/>
      <c r="HK12" s="65"/>
      <c r="HL12" s="65"/>
      <c r="HM12" s="65"/>
      <c r="HN12" s="65"/>
      <c r="HO12" s="65"/>
      <c r="HP12" s="65"/>
      <c r="HQ12" s="65"/>
      <c r="HR12" s="65"/>
      <c r="HS12" s="65"/>
      <c r="HT12" s="65"/>
      <c r="HU12" s="65"/>
      <c r="HV12" s="65"/>
      <c r="HW12" s="65"/>
      <c r="HX12" s="65"/>
      <c r="HY12" s="65"/>
      <c r="HZ12" s="65"/>
      <c r="IA12" s="65"/>
      <c r="IB12" s="65"/>
      <c r="IC12" s="65"/>
      <c r="ID12" s="65"/>
      <c r="IE12" s="65"/>
      <c r="IF12" s="65"/>
      <c r="IG12" s="65"/>
      <c r="IH12" s="65"/>
      <c r="II12" s="65"/>
      <c r="IJ12" s="65"/>
      <c r="IK12" s="65"/>
      <c r="IL12" s="65"/>
      <c r="IM12" s="65"/>
      <c r="IN12" s="65"/>
      <c r="IO12" s="65"/>
      <c r="IP12" s="65"/>
      <c r="IQ12" s="65"/>
      <c r="IR12" s="65"/>
      <c r="IS12" s="65"/>
      <c r="IT12" s="65"/>
      <c r="IU12" s="65"/>
      <c r="IV12" s="65"/>
      <c r="IW12" s="65"/>
    </row>
    <row r="13" spans="1:257" s="110" customFormat="1" ht="31.5" customHeight="1" thickBot="1">
      <c r="A13" s="65"/>
      <c r="B13" s="1294" t="s">
        <v>1375</v>
      </c>
      <c r="C13" s="1295"/>
      <c r="D13" s="1168" t="s">
        <v>1630</v>
      </c>
      <c r="E13" s="1169"/>
      <c r="F13" s="1169"/>
      <c r="G13" s="1169"/>
      <c r="H13" s="1169"/>
      <c r="I13" s="1169"/>
      <c r="J13" s="1169"/>
      <c r="K13" s="1169"/>
      <c r="L13" s="1169"/>
      <c r="M13" s="1169"/>
      <c r="N13" s="1169" t="s">
        <v>1631</v>
      </c>
      <c r="O13" s="1169"/>
      <c r="P13" s="1169"/>
      <c r="Q13" s="1169"/>
      <c r="R13" s="1169"/>
      <c r="S13" s="1170"/>
      <c r="T13" s="65"/>
      <c r="U13" s="65"/>
      <c r="V13" s="65"/>
      <c r="W13" s="65"/>
      <c r="X13" s="65"/>
      <c r="Y13" s="65"/>
      <c r="Z13" s="65"/>
      <c r="AA13" s="65"/>
      <c r="AB13" s="65"/>
      <c r="AC13" s="65"/>
      <c r="AD13" s="65"/>
      <c r="AE13" s="65"/>
      <c r="AF13" s="65"/>
      <c r="AG13" s="65"/>
      <c r="AH13" s="65"/>
      <c r="AI13" s="65"/>
      <c r="AJ13" s="65"/>
      <c r="AK13" s="65"/>
      <c r="AL13" s="65"/>
      <c r="AM13" s="65"/>
      <c r="AN13" s="65"/>
      <c r="AO13" s="65"/>
      <c r="AP13" s="65"/>
      <c r="AQ13" s="65"/>
      <c r="AR13" s="65"/>
      <c r="AS13" s="65"/>
      <c r="AT13" s="65"/>
      <c r="AU13" s="65"/>
      <c r="AV13" s="65"/>
      <c r="AW13" s="65"/>
      <c r="AX13" s="65"/>
      <c r="AY13" s="65"/>
      <c r="AZ13" s="65"/>
      <c r="BA13" s="65"/>
      <c r="BB13" s="65"/>
      <c r="BC13" s="65"/>
      <c r="BD13" s="65"/>
      <c r="BE13" s="65"/>
      <c r="BF13" s="65"/>
      <c r="BG13" s="65"/>
      <c r="BH13" s="65"/>
      <c r="BI13" s="65"/>
      <c r="BJ13" s="65"/>
      <c r="BK13" s="65"/>
      <c r="BL13" s="65"/>
      <c r="BM13" s="65"/>
      <c r="BN13" s="65"/>
      <c r="BO13" s="65"/>
      <c r="BP13" s="65"/>
      <c r="BQ13" s="65"/>
      <c r="BR13" s="65"/>
      <c r="BS13" s="65"/>
      <c r="BT13" s="65"/>
      <c r="BU13" s="65"/>
      <c r="BV13" s="65"/>
      <c r="BW13" s="65"/>
      <c r="BX13" s="65"/>
      <c r="BY13" s="65"/>
      <c r="BZ13" s="65"/>
      <c r="CA13" s="65"/>
      <c r="CB13" s="65"/>
      <c r="CC13" s="65"/>
      <c r="CD13" s="65"/>
      <c r="CE13" s="65"/>
      <c r="CF13" s="65"/>
      <c r="CG13" s="65"/>
      <c r="CH13" s="65"/>
      <c r="CI13" s="65"/>
      <c r="CJ13" s="65"/>
      <c r="CK13" s="65"/>
      <c r="CL13" s="65"/>
      <c r="CM13" s="65"/>
      <c r="CN13" s="65"/>
      <c r="CO13" s="65"/>
      <c r="CP13" s="65"/>
      <c r="CQ13" s="65"/>
      <c r="CR13" s="65"/>
      <c r="CS13" s="65"/>
      <c r="CT13" s="65"/>
      <c r="CU13" s="65"/>
      <c r="CV13" s="65"/>
      <c r="CW13" s="65"/>
      <c r="CX13" s="65"/>
      <c r="CY13" s="65"/>
      <c r="CZ13" s="65"/>
      <c r="DA13" s="65"/>
      <c r="DB13" s="65"/>
      <c r="DC13" s="65"/>
      <c r="DD13" s="65"/>
      <c r="DE13" s="65"/>
      <c r="DF13" s="65"/>
      <c r="DG13" s="65"/>
      <c r="DH13" s="65"/>
      <c r="DI13" s="65"/>
      <c r="DJ13" s="65"/>
      <c r="DK13" s="65"/>
      <c r="DL13" s="65"/>
      <c r="DM13" s="65"/>
      <c r="DN13" s="65"/>
      <c r="DO13" s="65"/>
      <c r="DP13" s="65"/>
      <c r="DQ13" s="65"/>
      <c r="DR13" s="65"/>
      <c r="DS13" s="65"/>
      <c r="DT13" s="65"/>
      <c r="DU13" s="65"/>
      <c r="DV13" s="65"/>
      <c r="DW13" s="65"/>
      <c r="DX13" s="65"/>
      <c r="DY13" s="65"/>
      <c r="DZ13" s="65"/>
      <c r="EA13" s="65"/>
      <c r="EB13" s="65"/>
      <c r="EC13" s="65"/>
      <c r="ED13" s="65"/>
      <c r="EE13" s="65"/>
      <c r="EF13" s="65"/>
      <c r="EG13" s="65"/>
      <c r="EH13" s="65"/>
      <c r="EI13" s="65"/>
      <c r="EJ13" s="65"/>
      <c r="EK13" s="65"/>
      <c r="EL13" s="65"/>
      <c r="EM13" s="65"/>
      <c r="EN13" s="65"/>
      <c r="EO13" s="65"/>
      <c r="EP13" s="65"/>
      <c r="EQ13" s="65"/>
      <c r="ER13" s="65"/>
      <c r="ES13" s="65"/>
      <c r="ET13" s="65"/>
      <c r="EU13" s="65"/>
      <c r="EV13" s="65"/>
      <c r="EW13" s="65"/>
      <c r="EX13" s="65"/>
      <c r="EY13" s="65"/>
      <c r="EZ13" s="65"/>
      <c r="FA13" s="65"/>
      <c r="FB13" s="65"/>
      <c r="FC13" s="65"/>
      <c r="FD13" s="65"/>
      <c r="FE13" s="65"/>
      <c r="FF13" s="65"/>
      <c r="FG13" s="65"/>
      <c r="FH13" s="65"/>
      <c r="FI13" s="65"/>
      <c r="FJ13" s="65"/>
      <c r="FK13" s="65"/>
      <c r="FL13" s="65"/>
      <c r="FM13" s="65"/>
      <c r="FN13" s="65"/>
      <c r="FO13" s="65"/>
      <c r="FP13" s="65"/>
      <c r="FQ13" s="65"/>
      <c r="FR13" s="65"/>
      <c r="FS13" s="65"/>
      <c r="FT13" s="65"/>
      <c r="FU13" s="65"/>
      <c r="FV13" s="65"/>
      <c r="FW13" s="65"/>
      <c r="FX13" s="65"/>
      <c r="FY13" s="65"/>
      <c r="FZ13" s="65"/>
      <c r="GA13" s="65"/>
      <c r="GB13" s="65"/>
      <c r="GC13" s="65"/>
      <c r="GD13" s="65"/>
      <c r="GE13" s="65"/>
      <c r="GF13" s="65"/>
      <c r="GG13" s="65"/>
      <c r="GH13" s="65"/>
      <c r="GI13" s="65"/>
      <c r="GJ13" s="65"/>
      <c r="GK13" s="65"/>
      <c r="GL13" s="65"/>
      <c r="GM13" s="65"/>
      <c r="GN13" s="65"/>
      <c r="GO13" s="65"/>
      <c r="GP13" s="65"/>
      <c r="GQ13" s="65"/>
      <c r="GR13" s="65"/>
      <c r="GS13" s="65"/>
      <c r="GT13" s="65"/>
      <c r="GU13" s="65"/>
      <c r="GV13" s="65"/>
      <c r="GW13" s="65"/>
      <c r="GX13" s="65"/>
      <c r="GY13" s="65"/>
      <c r="GZ13" s="65"/>
      <c r="HA13" s="65"/>
      <c r="HB13" s="65"/>
      <c r="HC13" s="65"/>
      <c r="HD13" s="65"/>
      <c r="HE13" s="65"/>
      <c r="HF13" s="65"/>
      <c r="HG13" s="65"/>
      <c r="HH13" s="65"/>
      <c r="HI13" s="65"/>
      <c r="HJ13" s="65"/>
      <c r="HK13" s="65"/>
      <c r="HL13" s="65"/>
      <c r="HM13" s="65"/>
      <c r="HN13" s="65"/>
      <c r="HO13" s="65"/>
      <c r="HP13" s="65"/>
      <c r="HQ13" s="65"/>
      <c r="HR13" s="65"/>
      <c r="HS13" s="65"/>
      <c r="HT13" s="65"/>
      <c r="HU13" s="65"/>
      <c r="HV13" s="65"/>
      <c r="HW13" s="65"/>
      <c r="HX13" s="65"/>
      <c r="HY13" s="65"/>
      <c r="HZ13" s="65"/>
      <c r="IA13" s="65"/>
      <c r="IB13" s="65"/>
      <c r="IC13" s="65"/>
      <c r="ID13" s="65"/>
      <c r="IE13" s="65"/>
      <c r="IF13" s="65"/>
      <c r="IG13" s="65"/>
      <c r="IH13" s="65"/>
      <c r="II13" s="65"/>
      <c r="IJ13" s="65"/>
      <c r="IK13" s="65"/>
      <c r="IL13" s="65"/>
      <c r="IM13" s="65"/>
      <c r="IN13" s="65"/>
      <c r="IO13" s="65"/>
      <c r="IP13" s="65"/>
      <c r="IQ13" s="65"/>
      <c r="IR13" s="65"/>
      <c r="IS13" s="65"/>
      <c r="IT13" s="65"/>
      <c r="IU13" s="65"/>
      <c r="IV13" s="65"/>
      <c r="IW13" s="65"/>
    </row>
    <row r="14" spans="1:257" s="110" customFormat="1" ht="18" customHeight="1">
      <c r="A14" s="65"/>
      <c r="B14" s="1288" t="s">
        <v>1632</v>
      </c>
      <c r="C14" s="1289"/>
      <c r="D14" s="1290" t="s">
        <v>1633</v>
      </c>
      <c r="E14" s="1291"/>
      <c r="F14" s="1291"/>
      <c r="G14" s="1291"/>
      <c r="H14" s="1291"/>
      <c r="I14" s="1291"/>
      <c r="J14" s="1291"/>
      <c r="K14" s="1291"/>
      <c r="L14" s="1291"/>
      <c r="M14" s="1292"/>
      <c r="N14" s="1291" t="s">
        <v>1634</v>
      </c>
      <c r="O14" s="1291"/>
      <c r="P14" s="1291"/>
      <c r="Q14" s="1291"/>
      <c r="R14" s="1291"/>
      <c r="S14" s="1293"/>
      <c r="T14" s="1015"/>
      <c r="U14" s="65"/>
      <c r="V14" s="65"/>
      <c r="W14" s="65"/>
      <c r="X14" s="65"/>
      <c r="Y14" s="65"/>
      <c r="Z14" s="65"/>
      <c r="AA14" s="65"/>
      <c r="AB14" s="65"/>
      <c r="AC14" s="65"/>
      <c r="AD14" s="65"/>
      <c r="AE14" s="65"/>
      <c r="AF14" s="65"/>
      <c r="AG14" s="65"/>
      <c r="AH14" s="65"/>
      <c r="AI14" s="65"/>
      <c r="AJ14" s="65"/>
      <c r="AK14" s="65"/>
      <c r="AL14" s="65"/>
      <c r="AM14" s="65"/>
      <c r="AN14" s="65"/>
      <c r="AO14" s="65"/>
      <c r="AP14" s="65"/>
      <c r="AQ14" s="65"/>
      <c r="AR14" s="65"/>
      <c r="AS14" s="65"/>
      <c r="AT14" s="65"/>
      <c r="AU14" s="65"/>
      <c r="AV14" s="65"/>
      <c r="AW14" s="65"/>
      <c r="AX14" s="65"/>
      <c r="AY14" s="65"/>
      <c r="AZ14" s="65"/>
      <c r="BA14" s="65"/>
      <c r="BB14" s="65"/>
      <c r="BC14" s="65"/>
      <c r="BD14" s="65"/>
      <c r="BE14" s="65"/>
      <c r="BF14" s="65"/>
      <c r="BG14" s="65"/>
      <c r="BH14" s="65"/>
      <c r="BI14" s="65"/>
      <c r="BJ14" s="65"/>
      <c r="BK14" s="65"/>
      <c r="BL14" s="65"/>
      <c r="BM14" s="65"/>
      <c r="BN14" s="65"/>
      <c r="BO14" s="65"/>
      <c r="BP14" s="65"/>
      <c r="BQ14" s="65"/>
      <c r="BR14" s="65"/>
      <c r="BS14" s="65"/>
      <c r="BT14" s="65"/>
      <c r="BU14" s="65"/>
      <c r="BV14" s="65"/>
      <c r="BW14" s="65"/>
      <c r="BX14" s="65"/>
      <c r="BY14" s="65"/>
      <c r="BZ14" s="65"/>
      <c r="CA14" s="65"/>
      <c r="CB14" s="65"/>
      <c r="CC14" s="65"/>
      <c r="CD14" s="65"/>
      <c r="CE14" s="65"/>
      <c r="CF14" s="65"/>
      <c r="CG14" s="65"/>
      <c r="CH14" s="65"/>
      <c r="CI14" s="65"/>
      <c r="CJ14" s="65"/>
      <c r="CK14" s="65"/>
      <c r="CL14" s="65"/>
      <c r="CM14" s="65"/>
      <c r="CN14" s="65"/>
      <c r="CO14" s="65"/>
      <c r="CP14" s="65"/>
      <c r="CQ14" s="65"/>
      <c r="CR14" s="65"/>
      <c r="CS14" s="65"/>
      <c r="CT14" s="65"/>
      <c r="CU14" s="65"/>
      <c r="CV14" s="65"/>
      <c r="CW14" s="65"/>
      <c r="CX14" s="65"/>
      <c r="CY14" s="65"/>
      <c r="CZ14" s="65"/>
      <c r="DA14" s="65"/>
      <c r="DB14" s="65"/>
      <c r="DC14" s="65"/>
      <c r="DD14" s="65"/>
      <c r="DE14" s="65"/>
      <c r="DF14" s="65"/>
      <c r="DG14" s="65"/>
      <c r="DH14" s="65"/>
      <c r="DI14" s="65"/>
      <c r="DJ14" s="65"/>
      <c r="DK14" s="65"/>
      <c r="DL14" s="65"/>
      <c r="DM14" s="65"/>
      <c r="DN14" s="65"/>
      <c r="DO14" s="65"/>
      <c r="DP14" s="65"/>
      <c r="DQ14" s="65"/>
      <c r="DR14" s="65"/>
      <c r="DS14" s="65"/>
      <c r="DT14" s="65"/>
      <c r="DU14" s="65"/>
      <c r="DV14" s="65"/>
      <c r="DW14" s="65"/>
      <c r="DX14" s="65"/>
      <c r="DY14" s="65"/>
      <c r="DZ14" s="65"/>
      <c r="EA14" s="65"/>
      <c r="EB14" s="65"/>
      <c r="EC14" s="65"/>
      <c r="ED14" s="65"/>
      <c r="EE14" s="65"/>
      <c r="EF14" s="65"/>
      <c r="EG14" s="65"/>
      <c r="EH14" s="65"/>
      <c r="EI14" s="65"/>
      <c r="EJ14" s="65"/>
      <c r="EK14" s="65"/>
      <c r="EL14" s="65"/>
      <c r="EM14" s="65"/>
      <c r="EN14" s="65"/>
      <c r="EO14" s="65"/>
      <c r="EP14" s="65"/>
      <c r="EQ14" s="65"/>
      <c r="ER14" s="65"/>
      <c r="ES14" s="65"/>
      <c r="ET14" s="65"/>
      <c r="EU14" s="65"/>
      <c r="EV14" s="65"/>
      <c r="EW14" s="65"/>
      <c r="EX14" s="65"/>
      <c r="EY14" s="65"/>
      <c r="EZ14" s="65"/>
      <c r="FA14" s="65"/>
      <c r="FB14" s="65"/>
      <c r="FC14" s="65"/>
      <c r="FD14" s="65"/>
      <c r="FE14" s="65"/>
      <c r="FF14" s="65"/>
      <c r="FG14" s="65"/>
      <c r="FH14" s="65"/>
      <c r="FI14" s="65"/>
      <c r="FJ14" s="65"/>
      <c r="FK14" s="65"/>
      <c r="FL14" s="65"/>
      <c r="FM14" s="65"/>
      <c r="FN14" s="65"/>
      <c r="FO14" s="65"/>
      <c r="FP14" s="65"/>
      <c r="FQ14" s="65"/>
      <c r="FR14" s="65"/>
      <c r="FS14" s="65"/>
      <c r="FT14" s="65"/>
      <c r="FU14" s="65"/>
      <c r="FV14" s="65"/>
      <c r="FW14" s="65"/>
      <c r="FX14" s="65"/>
      <c r="FY14" s="65"/>
      <c r="FZ14" s="65"/>
      <c r="GA14" s="65"/>
      <c r="GB14" s="65"/>
      <c r="GC14" s="65"/>
      <c r="GD14" s="65"/>
      <c r="GE14" s="65"/>
      <c r="GF14" s="65"/>
      <c r="GG14" s="65"/>
      <c r="GH14" s="65"/>
      <c r="GI14" s="65"/>
      <c r="GJ14" s="65"/>
      <c r="GK14" s="65"/>
      <c r="GL14" s="65"/>
      <c r="GM14" s="65"/>
      <c r="GN14" s="65"/>
      <c r="GO14" s="65"/>
      <c r="GP14" s="65"/>
      <c r="GQ14" s="65"/>
      <c r="GR14" s="65"/>
      <c r="GS14" s="65"/>
      <c r="GT14" s="65"/>
      <c r="GU14" s="65"/>
      <c r="GV14" s="65"/>
      <c r="GW14" s="65"/>
      <c r="GX14" s="65"/>
      <c r="GY14" s="65"/>
      <c r="GZ14" s="65"/>
      <c r="HA14" s="65"/>
      <c r="HB14" s="65"/>
      <c r="HC14" s="65"/>
      <c r="HD14" s="65"/>
      <c r="HE14" s="65"/>
      <c r="HF14" s="65"/>
      <c r="HG14" s="65"/>
      <c r="HH14" s="65"/>
      <c r="HI14" s="65"/>
      <c r="HJ14" s="65"/>
      <c r="HK14" s="65"/>
      <c r="HL14" s="65"/>
      <c r="HM14" s="65"/>
      <c r="HN14" s="65"/>
      <c r="HO14" s="65"/>
      <c r="HP14" s="65"/>
      <c r="HQ14" s="65"/>
      <c r="HR14" s="65"/>
      <c r="HS14" s="65"/>
      <c r="HT14" s="65"/>
      <c r="HU14" s="65"/>
      <c r="HV14" s="65"/>
      <c r="HW14" s="65"/>
      <c r="HX14" s="65"/>
      <c r="HY14" s="65"/>
      <c r="HZ14" s="65"/>
      <c r="IA14" s="65"/>
      <c r="IB14" s="65"/>
      <c r="IC14" s="65"/>
      <c r="ID14" s="65"/>
      <c r="IE14" s="65"/>
      <c r="IF14" s="65"/>
      <c r="IG14" s="65"/>
      <c r="IH14" s="65"/>
      <c r="II14" s="65"/>
      <c r="IJ14" s="65"/>
      <c r="IK14" s="65"/>
      <c r="IL14" s="65"/>
      <c r="IM14" s="65"/>
      <c r="IN14" s="65"/>
      <c r="IO14" s="65"/>
      <c r="IP14" s="65"/>
      <c r="IQ14" s="65"/>
      <c r="IR14" s="65"/>
      <c r="IS14" s="65"/>
      <c r="IT14" s="65"/>
      <c r="IU14" s="65"/>
      <c r="IV14" s="65"/>
      <c r="IW14" s="65"/>
    </row>
    <row r="15" spans="1:257" s="110" customFormat="1" ht="18" customHeight="1" thickBot="1">
      <c r="A15" s="65"/>
      <c r="B15" s="1265" t="s">
        <v>1635</v>
      </c>
      <c r="C15" s="1266"/>
      <c r="D15" s="1281" t="s">
        <v>1636</v>
      </c>
      <c r="E15" s="1282"/>
      <c r="F15" s="1282"/>
      <c r="G15" s="1282"/>
      <c r="H15" s="1282"/>
      <c r="I15" s="1282"/>
      <c r="J15" s="1282"/>
      <c r="K15" s="1282"/>
      <c r="L15" s="1282"/>
      <c r="M15" s="1283"/>
      <c r="N15" s="1284" t="s">
        <v>1637</v>
      </c>
      <c r="O15" s="1284"/>
      <c r="P15" s="1284"/>
      <c r="Q15" s="1284"/>
      <c r="R15" s="1284"/>
      <c r="S15" s="1285"/>
      <c r="T15" s="1015"/>
      <c r="U15" s="65"/>
      <c r="V15" s="65"/>
      <c r="W15" s="65"/>
      <c r="X15" s="65"/>
      <c r="Y15" s="65"/>
      <c r="Z15" s="65"/>
      <c r="AA15" s="65"/>
      <c r="AB15" s="65"/>
      <c r="AC15" s="65"/>
      <c r="AD15" s="65"/>
      <c r="AE15" s="65"/>
      <c r="AF15" s="65"/>
      <c r="AG15" s="65"/>
      <c r="AH15" s="65"/>
      <c r="AI15" s="65"/>
      <c r="AJ15" s="65"/>
      <c r="AK15" s="65"/>
      <c r="AL15" s="65"/>
      <c r="AM15" s="65"/>
      <c r="AN15" s="65"/>
      <c r="AO15" s="65"/>
      <c r="AP15" s="65"/>
      <c r="AQ15" s="65"/>
      <c r="AR15" s="65"/>
      <c r="AS15" s="65"/>
      <c r="AT15" s="65"/>
      <c r="AU15" s="65"/>
      <c r="AV15" s="65"/>
      <c r="AW15" s="65"/>
      <c r="AX15" s="65"/>
      <c r="AY15" s="65"/>
      <c r="AZ15" s="65"/>
      <c r="BA15" s="65"/>
      <c r="BB15" s="65"/>
      <c r="BC15" s="65"/>
      <c r="BD15" s="65"/>
      <c r="BE15" s="65"/>
      <c r="BF15" s="65"/>
      <c r="BG15" s="65"/>
      <c r="BH15" s="65"/>
      <c r="BI15" s="65"/>
      <c r="BJ15" s="65"/>
      <c r="BK15" s="65"/>
      <c r="BL15" s="65"/>
      <c r="BM15" s="65"/>
      <c r="BN15" s="65"/>
      <c r="BO15" s="65"/>
      <c r="BP15" s="65"/>
      <c r="BQ15" s="65"/>
      <c r="BR15" s="65"/>
      <c r="BS15" s="65"/>
      <c r="BT15" s="65"/>
      <c r="BU15" s="65"/>
      <c r="BV15" s="65"/>
      <c r="BW15" s="65"/>
      <c r="BX15" s="65"/>
      <c r="BY15" s="65"/>
      <c r="BZ15" s="65"/>
      <c r="CA15" s="65"/>
      <c r="CB15" s="65"/>
      <c r="CC15" s="65"/>
      <c r="CD15" s="65"/>
      <c r="CE15" s="65"/>
      <c r="CF15" s="65"/>
      <c r="CG15" s="65"/>
      <c r="CH15" s="65"/>
      <c r="CI15" s="65"/>
      <c r="CJ15" s="65"/>
      <c r="CK15" s="65"/>
      <c r="CL15" s="65"/>
      <c r="CM15" s="65"/>
      <c r="CN15" s="65"/>
      <c r="CO15" s="65"/>
      <c r="CP15" s="65"/>
      <c r="CQ15" s="65"/>
      <c r="CR15" s="65"/>
      <c r="CS15" s="65"/>
      <c r="CT15" s="65"/>
      <c r="CU15" s="65"/>
      <c r="CV15" s="65"/>
      <c r="CW15" s="65"/>
      <c r="CX15" s="65"/>
      <c r="CY15" s="65"/>
      <c r="CZ15" s="65"/>
      <c r="DA15" s="65"/>
      <c r="DB15" s="65"/>
      <c r="DC15" s="65"/>
      <c r="DD15" s="65"/>
      <c r="DE15" s="65"/>
      <c r="DF15" s="65"/>
      <c r="DG15" s="65"/>
      <c r="DH15" s="65"/>
      <c r="DI15" s="65"/>
      <c r="DJ15" s="65"/>
      <c r="DK15" s="65"/>
      <c r="DL15" s="65"/>
      <c r="DM15" s="65"/>
      <c r="DN15" s="65"/>
      <c r="DO15" s="65"/>
      <c r="DP15" s="65"/>
      <c r="DQ15" s="65"/>
      <c r="DR15" s="65"/>
      <c r="DS15" s="65"/>
      <c r="DT15" s="65"/>
      <c r="DU15" s="65"/>
      <c r="DV15" s="65"/>
      <c r="DW15" s="65"/>
      <c r="DX15" s="65"/>
      <c r="DY15" s="65"/>
      <c r="DZ15" s="65"/>
      <c r="EA15" s="65"/>
      <c r="EB15" s="65"/>
      <c r="EC15" s="65"/>
      <c r="ED15" s="65"/>
      <c r="EE15" s="65"/>
      <c r="EF15" s="65"/>
      <c r="EG15" s="65"/>
      <c r="EH15" s="65"/>
      <c r="EI15" s="65"/>
      <c r="EJ15" s="65"/>
      <c r="EK15" s="65"/>
      <c r="EL15" s="65"/>
      <c r="EM15" s="65"/>
      <c r="EN15" s="65"/>
      <c r="EO15" s="65"/>
      <c r="EP15" s="65"/>
      <c r="EQ15" s="65"/>
      <c r="ER15" s="65"/>
      <c r="ES15" s="65"/>
      <c r="ET15" s="65"/>
      <c r="EU15" s="65"/>
      <c r="EV15" s="65"/>
      <c r="EW15" s="65"/>
      <c r="EX15" s="65"/>
      <c r="EY15" s="65"/>
      <c r="EZ15" s="65"/>
      <c r="FA15" s="65"/>
      <c r="FB15" s="65"/>
      <c r="FC15" s="65"/>
      <c r="FD15" s="65"/>
      <c r="FE15" s="65"/>
      <c r="FF15" s="65"/>
      <c r="FG15" s="65"/>
      <c r="FH15" s="65"/>
      <c r="FI15" s="65"/>
      <c r="FJ15" s="65"/>
      <c r="FK15" s="65"/>
      <c r="FL15" s="65"/>
      <c r="FM15" s="65"/>
      <c r="FN15" s="65"/>
      <c r="FO15" s="65"/>
      <c r="FP15" s="65"/>
      <c r="FQ15" s="65"/>
      <c r="FR15" s="65"/>
      <c r="FS15" s="65"/>
      <c r="FT15" s="65"/>
      <c r="FU15" s="65"/>
      <c r="FV15" s="65"/>
      <c r="FW15" s="65"/>
      <c r="FX15" s="65"/>
      <c r="FY15" s="65"/>
      <c r="FZ15" s="65"/>
      <c r="GA15" s="65"/>
      <c r="GB15" s="65"/>
      <c r="GC15" s="65"/>
      <c r="GD15" s="65"/>
      <c r="GE15" s="65"/>
      <c r="GF15" s="65"/>
      <c r="GG15" s="65"/>
      <c r="GH15" s="65"/>
      <c r="GI15" s="65"/>
      <c r="GJ15" s="65"/>
      <c r="GK15" s="65"/>
      <c r="GL15" s="65"/>
      <c r="GM15" s="65"/>
      <c r="GN15" s="65"/>
      <c r="GO15" s="65"/>
      <c r="GP15" s="65"/>
      <c r="GQ15" s="65"/>
      <c r="GR15" s="65"/>
      <c r="GS15" s="65"/>
      <c r="GT15" s="65"/>
      <c r="GU15" s="65"/>
      <c r="GV15" s="65"/>
      <c r="GW15" s="65"/>
      <c r="GX15" s="65"/>
      <c r="GY15" s="65"/>
      <c r="GZ15" s="65"/>
      <c r="HA15" s="65"/>
      <c r="HB15" s="65"/>
      <c r="HC15" s="65"/>
      <c r="HD15" s="65"/>
      <c r="HE15" s="65"/>
      <c r="HF15" s="65"/>
      <c r="HG15" s="65"/>
      <c r="HH15" s="65"/>
      <c r="HI15" s="65"/>
      <c r="HJ15" s="65"/>
      <c r="HK15" s="65"/>
      <c r="HL15" s="65"/>
      <c r="HM15" s="65"/>
      <c r="HN15" s="65"/>
      <c r="HO15" s="65"/>
      <c r="HP15" s="65"/>
      <c r="HQ15" s="65"/>
      <c r="HR15" s="65"/>
      <c r="HS15" s="65"/>
      <c r="HT15" s="65"/>
      <c r="HU15" s="65"/>
      <c r="HV15" s="65"/>
      <c r="HW15" s="65"/>
      <c r="HX15" s="65"/>
      <c r="HY15" s="65"/>
      <c r="HZ15" s="65"/>
      <c r="IA15" s="65"/>
      <c r="IB15" s="65"/>
      <c r="IC15" s="65"/>
      <c r="ID15" s="65"/>
      <c r="IE15" s="65"/>
      <c r="IF15" s="65"/>
      <c r="IG15" s="65"/>
      <c r="IH15" s="65"/>
      <c r="II15" s="65"/>
      <c r="IJ15" s="65"/>
      <c r="IK15" s="65"/>
      <c r="IL15" s="65"/>
      <c r="IM15" s="65"/>
      <c r="IN15" s="65"/>
      <c r="IO15" s="65"/>
      <c r="IP15" s="65"/>
      <c r="IQ15" s="65"/>
      <c r="IR15" s="65"/>
      <c r="IS15" s="65"/>
      <c r="IT15" s="65"/>
      <c r="IU15" s="65"/>
      <c r="IV15" s="65"/>
      <c r="IW15" s="65"/>
    </row>
    <row r="16" spans="1:257" s="110" customFormat="1" ht="18" customHeight="1">
      <c r="A16" s="65"/>
      <c r="B16" s="1265" t="s">
        <v>1638</v>
      </c>
      <c r="C16" s="1266"/>
      <c r="D16" s="1271" t="s">
        <v>1639</v>
      </c>
      <c r="E16" s="1161"/>
      <c r="F16" s="1161"/>
      <c r="G16" s="1161"/>
      <c r="H16" s="1161"/>
      <c r="I16" s="1161"/>
      <c r="J16" s="1161"/>
      <c r="K16" s="1161"/>
      <c r="L16" s="1161"/>
      <c r="M16" s="1161"/>
      <c r="N16" s="1273" t="s">
        <v>1640</v>
      </c>
      <c r="O16" s="1274"/>
      <c r="P16" s="994" t="s">
        <v>1641</v>
      </c>
      <c r="Q16" s="994" t="s">
        <v>1642</v>
      </c>
      <c r="R16" s="995" t="s">
        <v>1643</v>
      </c>
      <c r="S16" s="1062" t="s">
        <v>1644</v>
      </c>
      <c r="T16" s="65"/>
      <c r="U16" s="65"/>
      <c r="V16" s="65"/>
      <c r="W16" s="65"/>
      <c r="X16" s="65"/>
      <c r="Y16" s="65"/>
      <c r="Z16" s="65"/>
      <c r="AA16" s="65"/>
      <c r="AB16" s="65"/>
      <c r="AC16" s="65"/>
      <c r="AD16" s="65"/>
      <c r="AE16" s="65"/>
      <c r="AF16" s="65"/>
      <c r="AG16" s="65"/>
      <c r="AH16" s="65"/>
      <c r="AI16" s="65"/>
      <c r="AJ16" s="65"/>
      <c r="AK16" s="65"/>
      <c r="AL16" s="65"/>
      <c r="AM16" s="65"/>
      <c r="AN16" s="65"/>
      <c r="AO16" s="65"/>
      <c r="AP16" s="65"/>
      <c r="AQ16" s="65"/>
      <c r="AR16" s="65"/>
      <c r="AS16" s="65"/>
      <c r="AT16" s="65"/>
      <c r="AU16" s="65"/>
      <c r="AV16" s="65"/>
      <c r="AW16" s="65"/>
      <c r="AX16" s="65"/>
      <c r="AY16" s="65"/>
      <c r="AZ16" s="65"/>
      <c r="BA16" s="65"/>
      <c r="BB16" s="65"/>
      <c r="BC16" s="65"/>
      <c r="BD16" s="65"/>
      <c r="BE16" s="65"/>
      <c r="BF16" s="65"/>
      <c r="BG16" s="65"/>
      <c r="BH16" s="65"/>
      <c r="BI16" s="65"/>
      <c r="BJ16" s="65"/>
      <c r="BK16" s="65"/>
      <c r="BL16" s="65"/>
      <c r="BM16" s="65"/>
      <c r="BN16" s="65"/>
      <c r="BO16" s="65"/>
      <c r="BP16" s="65"/>
      <c r="BQ16" s="65"/>
      <c r="BR16" s="65"/>
      <c r="BS16" s="65"/>
      <c r="BT16" s="65"/>
      <c r="BU16" s="65"/>
      <c r="BV16" s="65"/>
      <c r="BW16" s="65"/>
      <c r="BX16" s="65"/>
      <c r="BY16" s="65"/>
      <c r="BZ16" s="65"/>
      <c r="CA16" s="65"/>
      <c r="CB16" s="65"/>
      <c r="CC16" s="65"/>
      <c r="CD16" s="65"/>
      <c r="CE16" s="65"/>
      <c r="CF16" s="65"/>
      <c r="CG16" s="65"/>
      <c r="CH16" s="65"/>
      <c r="CI16" s="65"/>
      <c r="CJ16" s="65"/>
      <c r="CK16" s="65"/>
      <c r="CL16" s="65"/>
      <c r="CM16" s="65"/>
      <c r="CN16" s="65"/>
      <c r="CO16" s="65"/>
      <c r="CP16" s="65"/>
      <c r="CQ16" s="65"/>
      <c r="CR16" s="65"/>
      <c r="CS16" s="65"/>
      <c r="CT16" s="65"/>
      <c r="CU16" s="65"/>
      <c r="CV16" s="65"/>
      <c r="CW16" s="65"/>
      <c r="CX16" s="65"/>
      <c r="CY16" s="65"/>
      <c r="CZ16" s="65"/>
      <c r="DA16" s="65"/>
      <c r="DB16" s="65"/>
      <c r="DC16" s="65"/>
      <c r="DD16" s="65"/>
      <c r="DE16" s="65"/>
      <c r="DF16" s="65"/>
      <c r="DG16" s="65"/>
      <c r="DH16" s="65"/>
      <c r="DI16" s="65"/>
      <c r="DJ16" s="65"/>
      <c r="DK16" s="65"/>
      <c r="DL16" s="65"/>
      <c r="DM16" s="65"/>
      <c r="DN16" s="65"/>
      <c r="DO16" s="65"/>
      <c r="DP16" s="65"/>
      <c r="DQ16" s="65"/>
      <c r="DR16" s="65"/>
      <c r="DS16" s="65"/>
      <c r="DT16" s="65"/>
      <c r="DU16" s="65"/>
      <c r="DV16" s="65"/>
      <c r="DW16" s="65"/>
      <c r="DX16" s="65"/>
      <c r="DY16" s="65"/>
      <c r="DZ16" s="65"/>
      <c r="EA16" s="65"/>
      <c r="EB16" s="65"/>
      <c r="EC16" s="65"/>
      <c r="ED16" s="65"/>
      <c r="EE16" s="65"/>
      <c r="EF16" s="65"/>
      <c r="EG16" s="65"/>
      <c r="EH16" s="65"/>
      <c r="EI16" s="65"/>
      <c r="EJ16" s="65"/>
      <c r="EK16" s="65"/>
      <c r="EL16" s="65"/>
      <c r="EM16" s="65"/>
      <c r="EN16" s="65"/>
      <c r="EO16" s="65"/>
      <c r="EP16" s="65"/>
      <c r="EQ16" s="65"/>
      <c r="ER16" s="65"/>
      <c r="ES16" s="65"/>
      <c r="ET16" s="65"/>
      <c r="EU16" s="65"/>
      <c r="EV16" s="65"/>
      <c r="EW16" s="65"/>
      <c r="EX16" s="65"/>
      <c r="EY16" s="65"/>
      <c r="EZ16" s="65"/>
      <c r="FA16" s="65"/>
      <c r="FB16" s="65"/>
      <c r="FC16" s="65"/>
      <c r="FD16" s="65"/>
      <c r="FE16" s="65"/>
      <c r="FF16" s="65"/>
      <c r="FG16" s="65"/>
      <c r="FH16" s="65"/>
      <c r="FI16" s="65"/>
      <c r="FJ16" s="65"/>
      <c r="FK16" s="65"/>
      <c r="FL16" s="65"/>
      <c r="FM16" s="65"/>
      <c r="FN16" s="65"/>
      <c r="FO16" s="65"/>
      <c r="FP16" s="65"/>
      <c r="FQ16" s="65"/>
      <c r="FR16" s="65"/>
      <c r="FS16" s="65"/>
      <c r="FT16" s="65"/>
      <c r="FU16" s="65"/>
      <c r="FV16" s="65"/>
      <c r="FW16" s="65"/>
      <c r="FX16" s="65"/>
      <c r="FY16" s="65"/>
      <c r="FZ16" s="65"/>
      <c r="GA16" s="65"/>
      <c r="GB16" s="65"/>
      <c r="GC16" s="65"/>
      <c r="GD16" s="65"/>
      <c r="GE16" s="65"/>
      <c r="GF16" s="65"/>
      <c r="GG16" s="65"/>
      <c r="GH16" s="65"/>
      <c r="GI16" s="65"/>
      <c r="GJ16" s="65"/>
      <c r="GK16" s="65"/>
      <c r="GL16" s="65"/>
      <c r="GM16" s="65"/>
      <c r="GN16" s="65"/>
      <c r="GO16" s="65"/>
      <c r="GP16" s="65"/>
      <c r="GQ16" s="65"/>
      <c r="GR16" s="65"/>
      <c r="GS16" s="65"/>
      <c r="GT16" s="65"/>
      <c r="GU16" s="65"/>
      <c r="GV16" s="65"/>
      <c r="GW16" s="65"/>
      <c r="GX16" s="65"/>
      <c r="GY16" s="65"/>
      <c r="GZ16" s="65"/>
      <c r="HA16" s="65"/>
      <c r="HB16" s="65"/>
      <c r="HC16" s="65"/>
      <c r="HD16" s="65"/>
      <c r="HE16" s="65"/>
      <c r="HF16" s="65"/>
      <c r="HG16" s="65"/>
      <c r="HH16" s="65"/>
      <c r="HI16" s="65"/>
      <c r="HJ16" s="65"/>
      <c r="HK16" s="65"/>
      <c r="HL16" s="65"/>
      <c r="HM16" s="65"/>
      <c r="HN16" s="65"/>
      <c r="HO16" s="65"/>
      <c r="HP16" s="65"/>
      <c r="HQ16" s="65"/>
      <c r="HR16" s="65"/>
      <c r="HS16" s="65"/>
      <c r="HT16" s="65"/>
      <c r="HU16" s="65"/>
      <c r="HV16" s="65"/>
      <c r="HW16" s="65"/>
      <c r="HX16" s="65"/>
      <c r="HY16" s="65"/>
      <c r="HZ16" s="65"/>
      <c r="IA16" s="65"/>
      <c r="IB16" s="65"/>
      <c r="IC16" s="65"/>
      <c r="ID16" s="65"/>
      <c r="IE16" s="65"/>
      <c r="IF16" s="65"/>
      <c r="IG16" s="65"/>
      <c r="IH16" s="65"/>
      <c r="II16" s="65"/>
      <c r="IJ16" s="65"/>
      <c r="IK16" s="65"/>
      <c r="IL16" s="65"/>
      <c r="IM16" s="65"/>
      <c r="IN16" s="65"/>
      <c r="IO16" s="65"/>
      <c r="IP16" s="65"/>
      <c r="IQ16" s="65"/>
      <c r="IR16" s="65"/>
      <c r="IS16" s="65"/>
      <c r="IT16" s="65"/>
      <c r="IU16" s="65"/>
      <c r="IV16" s="65"/>
      <c r="IW16" s="65"/>
    </row>
    <row r="17" spans="1:257" s="110" customFormat="1" ht="21.75" customHeight="1">
      <c r="A17" s="65"/>
      <c r="B17" s="1267"/>
      <c r="C17" s="1268"/>
      <c r="D17" s="1271"/>
      <c r="E17" s="1161"/>
      <c r="F17" s="1161"/>
      <c r="G17" s="1161"/>
      <c r="H17" s="1161"/>
      <c r="I17" s="1161"/>
      <c r="J17" s="1161"/>
      <c r="K17" s="1161"/>
      <c r="L17" s="1161"/>
      <c r="M17" s="1161"/>
      <c r="N17" s="1275" t="s">
        <v>1645</v>
      </c>
      <c r="O17" s="1276"/>
      <c r="P17" s="1277">
        <v>0.7</v>
      </c>
      <c r="Q17" s="1034">
        <v>1</v>
      </c>
      <c r="R17" s="1063">
        <v>1.1000000000000001</v>
      </c>
      <c r="S17" s="1064">
        <v>1.25</v>
      </c>
      <c r="T17" s="65"/>
      <c r="U17" s="65"/>
      <c r="V17" s="65"/>
      <c r="W17" s="65"/>
      <c r="X17" s="65"/>
      <c r="Y17" s="65"/>
      <c r="Z17" s="65"/>
      <c r="AA17" s="65"/>
      <c r="AB17" s="65"/>
      <c r="AC17" s="65"/>
      <c r="AD17" s="65"/>
      <c r="AE17" s="65"/>
      <c r="AF17" s="65"/>
      <c r="AG17" s="65"/>
      <c r="AH17" s="65"/>
      <c r="AI17" s="65"/>
      <c r="AJ17" s="65"/>
      <c r="AK17" s="65"/>
      <c r="AL17" s="65"/>
      <c r="AM17" s="65"/>
      <c r="AN17" s="65"/>
      <c r="AO17" s="65"/>
      <c r="AP17" s="65"/>
      <c r="AQ17" s="65"/>
      <c r="AR17" s="65"/>
      <c r="AS17" s="65"/>
      <c r="AT17" s="65"/>
      <c r="AU17" s="65"/>
      <c r="AV17" s="65"/>
      <c r="AW17" s="65"/>
      <c r="AX17" s="65"/>
      <c r="AY17" s="65"/>
      <c r="AZ17" s="65"/>
      <c r="BA17" s="65"/>
      <c r="BB17" s="65"/>
      <c r="BC17" s="65"/>
      <c r="BD17" s="65"/>
      <c r="BE17" s="65"/>
      <c r="BF17" s="65"/>
      <c r="BG17" s="65"/>
      <c r="BH17" s="65"/>
      <c r="BI17" s="65"/>
      <c r="BJ17" s="65"/>
      <c r="BK17" s="65"/>
      <c r="BL17" s="65"/>
      <c r="BM17" s="65"/>
      <c r="BN17" s="65"/>
      <c r="BO17" s="65"/>
      <c r="BP17" s="65"/>
      <c r="BQ17" s="65"/>
      <c r="BR17" s="65"/>
      <c r="BS17" s="65"/>
      <c r="BT17" s="65"/>
      <c r="BU17" s="65"/>
      <c r="BV17" s="65"/>
      <c r="BW17" s="65"/>
      <c r="BX17" s="65"/>
      <c r="BY17" s="65"/>
      <c r="BZ17" s="65"/>
      <c r="CA17" s="65"/>
      <c r="CB17" s="65"/>
      <c r="CC17" s="65"/>
      <c r="CD17" s="65"/>
      <c r="CE17" s="65"/>
      <c r="CF17" s="65"/>
      <c r="CG17" s="65"/>
      <c r="CH17" s="65"/>
      <c r="CI17" s="65"/>
      <c r="CJ17" s="65"/>
      <c r="CK17" s="65"/>
      <c r="CL17" s="65"/>
      <c r="CM17" s="65"/>
      <c r="CN17" s="65"/>
      <c r="CO17" s="65"/>
      <c r="CP17" s="65"/>
      <c r="CQ17" s="65"/>
      <c r="CR17" s="65"/>
      <c r="CS17" s="65"/>
      <c r="CT17" s="65"/>
      <c r="CU17" s="65"/>
      <c r="CV17" s="65"/>
      <c r="CW17" s="65"/>
      <c r="CX17" s="65"/>
      <c r="CY17" s="65"/>
      <c r="CZ17" s="65"/>
      <c r="DA17" s="65"/>
      <c r="DB17" s="65"/>
      <c r="DC17" s="65"/>
      <c r="DD17" s="65"/>
      <c r="DE17" s="65"/>
      <c r="DF17" s="65"/>
      <c r="DG17" s="65"/>
      <c r="DH17" s="65"/>
      <c r="DI17" s="65"/>
      <c r="DJ17" s="65"/>
      <c r="DK17" s="65"/>
      <c r="DL17" s="65"/>
      <c r="DM17" s="65"/>
      <c r="DN17" s="65"/>
      <c r="DO17" s="65"/>
      <c r="DP17" s="65"/>
      <c r="DQ17" s="65"/>
      <c r="DR17" s="65"/>
      <c r="DS17" s="65"/>
      <c r="DT17" s="65"/>
      <c r="DU17" s="65"/>
      <c r="DV17" s="65"/>
      <c r="DW17" s="65"/>
      <c r="DX17" s="65"/>
      <c r="DY17" s="65"/>
      <c r="DZ17" s="65"/>
      <c r="EA17" s="65"/>
      <c r="EB17" s="65"/>
      <c r="EC17" s="65"/>
      <c r="ED17" s="65"/>
      <c r="EE17" s="65"/>
      <c r="EF17" s="65"/>
      <c r="EG17" s="65"/>
      <c r="EH17" s="65"/>
      <c r="EI17" s="65"/>
      <c r="EJ17" s="65"/>
      <c r="EK17" s="65"/>
      <c r="EL17" s="65"/>
      <c r="EM17" s="65"/>
      <c r="EN17" s="65"/>
      <c r="EO17" s="65"/>
      <c r="EP17" s="65"/>
      <c r="EQ17" s="65"/>
      <c r="ER17" s="65"/>
      <c r="ES17" s="65"/>
      <c r="ET17" s="65"/>
      <c r="EU17" s="65"/>
      <c r="EV17" s="65"/>
      <c r="EW17" s="65"/>
      <c r="EX17" s="65"/>
      <c r="EY17" s="65"/>
      <c r="EZ17" s="65"/>
      <c r="FA17" s="65"/>
      <c r="FB17" s="65"/>
      <c r="FC17" s="65"/>
      <c r="FD17" s="65"/>
      <c r="FE17" s="65"/>
      <c r="FF17" s="65"/>
      <c r="FG17" s="65"/>
      <c r="FH17" s="65"/>
      <c r="FI17" s="65"/>
      <c r="FJ17" s="65"/>
      <c r="FK17" s="65"/>
      <c r="FL17" s="65"/>
      <c r="FM17" s="65"/>
      <c r="FN17" s="65"/>
      <c r="FO17" s="65"/>
      <c r="FP17" s="65"/>
      <c r="FQ17" s="65"/>
      <c r="FR17" s="65"/>
      <c r="FS17" s="65"/>
      <c r="FT17" s="65"/>
      <c r="FU17" s="65"/>
      <c r="FV17" s="65"/>
      <c r="FW17" s="65"/>
      <c r="FX17" s="65"/>
      <c r="FY17" s="65"/>
      <c r="FZ17" s="65"/>
      <c r="GA17" s="65"/>
      <c r="GB17" s="65"/>
      <c r="GC17" s="65"/>
      <c r="GD17" s="65"/>
      <c r="GE17" s="65"/>
      <c r="GF17" s="65"/>
      <c r="GG17" s="65"/>
      <c r="GH17" s="65"/>
      <c r="GI17" s="65"/>
      <c r="GJ17" s="65"/>
      <c r="GK17" s="65"/>
      <c r="GL17" s="65"/>
      <c r="GM17" s="65"/>
      <c r="GN17" s="65"/>
      <c r="GO17" s="65"/>
      <c r="GP17" s="65"/>
      <c r="GQ17" s="65"/>
      <c r="GR17" s="65"/>
      <c r="GS17" s="65"/>
      <c r="GT17" s="65"/>
      <c r="GU17" s="65"/>
      <c r="GV17" s="65"/>
      <c r="GW17" s="65"/>
      <c r="GX17" s="65"/>
      <c r="GY17" s="65"/>
      <c r="GZ17" s="65"/>
      <c r="HA17" s="65"/>
      <c r="HB17" s="65"/>
      <c r="HC17" s="65"/>
      <c r="HD17" s="65"/>
      <c r="HE17" s="65"/>
      <c r="HF17" s="65"/>
      <c r="HG17" s="65"/>
      <c r="HH17" s="65"/>
      <c r="HI17" s="65"/>
      <c r="HJ17" s="65"/>
      <c r="HK17" s="65"/>
      <c r="HL17" s="65"/>
      <c r="HM17" s="65"/>
      <c r="HN17" s="65"/>
      <c r="HO17" s="65"/>
      <c r="HP17" s="65"/>
      <c r="HQ17" s="65"/>
      <c r="HR17" s="65"/>
      <c r="HS17" s="65"/>
      <c r="HT17" s="65"/>
      <c r="HU17" s="65"/>
      <c r="HV17" s="65"/>
      <c r="HW17" s="65"/>
      <c r="HX17" s="65"/>
      <c r="HY17" s="65"/>
      <c r="HZ17" s="65"/>
      <c r="IA17" s="65"/>
      <c r="IB17" s="65"/>
      <c r="IC17" s="65"/>
      <c r="ID17" s="65"/>
      <c r="IE17" s="65"/>
      <c r="IF17" s="65"/>
      <c r="IG17" s="65"/>
      <c r="IH17" s="65"/>
      <c r="II17" s="65"/>
      <c r="IJ17" s="65"/>
      <c r="IK17" s="65"/>
      <c r="IL17" s="65"/>
      <c r="IM17" s="65"/>
      <c r="IN17" s="65"/>
      <c r="IO17" s="65"/>
      <c r="IP17" s="65"/>
      <c r="IQ17" s="65"/>
      <c r="IR17" s="65"/>
      <c r="IS17" s="65"/>
      <c r="IT17" s="65"/>
      <c r="IU17" s="65"/>
      <c r="IV17" s="65"/>
      <c r="IW17" s="65"/>
    </row>
    <row r="18" spans="1:257" s="110" customFormat="1" ht="18" customHeight="1" thickBot="1">
      <c r="A18" s="65"/>
      <c r="B18" s="1267"/>
      <c r="C18" s="1268"/>
      <c r="D18" s="1271"/>
      <c r="E18" s="1161"/>
      <c r="F18" s="1161"/>
      <c r="G18" s="1161"/>
      <c r="H18" s="1161"/>
      <c r="I18" s="1161"/>
      <c r="J18" s="1161"/>
      <c r="K18" s="1161"/>
      <c r="L18" s="1161"/>
      <c r="M18" s="1161"/>
      <c r="N18" s="1279" t="s">
        <v>1646</v>
      </c>
      <c r="O18" s="1280"/>
      <c r="P18" s="1278"/>
      <c r="Q18" s="1065">
        <v>1.1000000000000001</v>
      </c>
      <c r="R18" s="1066">
        <v>1.2</v>
      </c>
      <c r="S18" s="1067">
        <v>1.35</v>
      </c>
      <c r="T18" s="65"/>
      <c r="U18" s="65"/>
      <c r="V18" s="65"/>
      <c r="W18" s="65"/>
      <c r="X18" s="65"/>
      <c r="Y18" s="65"/>
      <c r="Z18" s="65"/>
      <c r="AA18" s="65"/>
      <c r="AB18" s="65"/>
      <c r="AC18" s="65"/>
      <c r="AD18" s="65"/>
      <c r="AE18" s="65"/>
      <c r="AF18" s="65"/>
      <c r="AG18" s="65"/>
      <c r="AH18" s="65"/>
      <c r="AI18" s="65"/>
      <c r="AJ18" s="65"/>
      <c r="AK18" s="65"/>
      <c r="AL18" s="65"/>
      <c r="AM18" s="65"/>
      <c r="AN18" s="65"/>
      <c r="AO18" s="65"/>
      <c r="AP18" s="65"/>
      <c r="AQ18" s="65"/>
      <c r="AR18" s="65"/>
      <c r="AS18" s="65"/>
      <c r="AT18" s="65"/>
      <c r="AU18" s="65"/>
      <c r="AV18" s="65"/>
      <c r="AW18" s="65"/>
      <c r="AX18" s="65"/>
      <c r="AY18" s="65"/>
      <c r="AZ18" s="65"/>
      <c r="BA18" s="65"/>
      <c r="BB18" s="65"/>
      <c r="BC18" s="65"/>
      <c r="BD18" s="65"/>
      <c r="BE18" s="65"/>
      <c r="BF18" s="65"/>
      <c r="BG18" s="65"/>
      <c r="BH18" s="65"/>
      <c r="BI18" s="65"/>
      <c r="BJ18" s="65"/>
      <c r="BK18" s="65"/>
      <c r="BL18" s="65"/>
      <c r="BM18" s="65"/>
      <c r="BN18" s="65"/>
      <c r="BO18" s="65"/>
      <c r="BP18" s="65"/>
      <c r="BQ18" s="65"/>
      <c r="BR18" s="65"/>
      <c r="BS18" s="65"/>
      <c r="BT18" s="65"/>
      <c r="BU18" s="65"/>
      <c r="BV18" s="65"/>
      <c r="BW18" s="65"/>
      <c r="BX18" s="65"/>
      <c r="BY18" s="65"/>
      <c r="BZ18" s="65"/>
      <c r="CA18" s="65"/>
      <c r="CB18" s="65"/>
      <c r="CC18" s="65"/>
      <c r="CD18" s="65"/>
      <c r="CE18" s="65"/>
      <c r="CF18" s="65"/>
      <c r="CG18" s="65"/>
      <c r="CH18" s="65"/>
      <c r="CI18" s="65"/>
      <c r="CJ18" s="65"/>
      <c r="CK18" s="65"/>
      <c r="CL18" s="65"/>
      <c r="CM18" s="65"/>
      <c r="CN18" s="65"/>
      <c r="CO18" s="65"/>
      <c r="CP18" s="65"/>
      <c r="CQ18" s="65"/>
      <c r="CR18" s="65"/>
      <c r="CS18" s="65"/>
      <c r="CT18" s="65"/>
      <c r="CU18" s="65"/>
      <c r="CV18" s="65"/>
      <c r="CW18" s="65"/>
      <c r="CX18" s="65"/>
      <c r="CY18" s="65"/>
      <c r="CZ18" s="65"/>
      <c r="DA18" s="65"/>
      <c r="DB18" s="65"/>
      <c r="DC18" s="65"/>
      <c r="DD18" s="65"/>
      <c r="DE18" s="65"/>
      <c r="DF18" s="65"/>
      <c r="DG18" s="65"/>
      <c r="DH18" s="65"/>
      <c r="DI18" s="65"/>
      <c r="DJ18" s="65"/>
      <c r="DK18" s="65"/>
      <c r="DL18" s="65"/>
      <c r="DM18" s="65"/>
      <c r="DN18" s="65"/>
      <c r="DO18" s="65"/>
      <c r="DP18" s="65"/>
      <c r="DQ18" s="65"/>
      <c r="DR18" s="65"/>
      <c r="DS18" s="65"/>
      <c r="DT18" s="65"/>
      <c r="DU18" s="65"/>
      <c r="DV18" s="65"/>
      <c r="DW18" s="65"/>
      <c r="DX18" s="65"/>
      <c r="DY18" s="65"/>
      <c r="DZ18" s="65"/>
      <c r="EA18" s="65"/>
      <c r="EB18" s="65"/>
      <c r="EC18" s="65"/>
      <c r="ED18" s="65"/>
      <c r="EE18" s="65"/>
      <c r="EF18" s="65"/>
      <c r="EG18" s="65"/>
      <c r="EH18" s="65"/>
      <c r="EI18" s="65"/>
      <c r="EJ18" s="65"/>
      <c r="EK18" s="65"/>
      <c r="EL18" s="65"/>
      <c r="EM18" s="65"/>
      <c r="EN18" s="65"/>
      <c r="EO18" s="65"/>
      <c r="EP18" s="65"/>
      <c r="EQ18" s="65"/>
      <c r="ER18" s="65"/>
      <c r="ES18" s="65"/>
      <c r="ET18" s="65"/>
      <c r="EU18" s="65"/>
      <c r="EV18" s="65"/>
      <c r="EW18" s="65"/>
      <c r="EX18" s="65"/>
      <c r="EY18" s="65"/>
      <c r="EZ18" s="65"/>
      <c r="FA18" s="65"/>
      <c r="FB18" s="65"/>
      <c r="FC18" s="65"/>
      <c r="FD18" s="65"/>
      <c r="FE18" s="65"/>
      <c r="FF18" s="65"/>
      <c r="FG18" s="65"/>
      <c r="FH18" s="65"/>
      <c r="FI18" s="65"/>
      <c r="FJ18" s="65"/>
      <c r="FK18" s="65"/>
      <c r="FL18" s="65"/>
      <c r="FM18" s="65"/>
      <c r="FN18" s="65"/>
      <c r="FO18" s="65"/>
      <c r="FP18" s="65"/>
      <c r="FQ18" s="65"/>
      <c r="FR18" s="65"/>
      <c r="FS18" s="65"/>
      <c r="FT18" s="65"/>
      <c r="FU18" s="65"/>
      <c r="FV18" s="65"/>
      <c r="FW18" s="65"/>
      <c r="FX18" s="65"/>
      <c r="FY18" s="65"/>
      <c r="FZ18" s="65"/>
      <c r="GA18" s="65"/>
      <c r="GB18" s="65"/>
      <c r="GC18" s="65"/>
      <c r="GD18" s="65"/>
      <c r="GE18" s="65"/>
      <c r="GF18" s="65"/>
      <c r="GG18" s="65"/>
      <c r="GH18" s="65"/>
      <c r="GI18" s="65"/>
      <c r="GJ18" s="65"/>
      <c r="GK18" s="65"/>
      <c r="GL18" s="65"/>
      <c r="GM18" s="65"/>
      <c r="GN18" s="65"/>
      <c r="GO18" s="65"/>
      <c r="GP18" s="65"/>
      <c r="GQ18" s="65"/>
      <c r="GR18" s="65"/>
      <c r="GS18" s="65"/>
      <c r="GT18" s="65"/>
      <c r="GU18" s="65"/>
      <c r="GV18" s="65"/>
      <c r="GW18" s="65"/>
      <c r="GX18" s="65"/>
      <c r="GY18" s="65"/>
      <c r="GZ18" s="65"/>
      <c r="HA18" s="65"/>
      <c r="HB18" s="65"/>
      <c r="HC18" s="65"/>
      <c r="HD18" s="65"/>
      <c r="HE18" s="65"/>
      <c r="HF18" s="65"/>
      <c r="HG18" s="65"/>
      <c r="HH18" s="65"/>
      <c r="HI18" s="65"/>
      <c r="HJ18" s="65"/>
      <c r="HK18" s="65"/>
      <c r="HL18" s="65"/>
      <c r="HM18" s="65"/>
      <c r="HN18" s="65"/>
      <c r="HO18" s="65"/>
      <c r="HP18" s="65"/>
      <c r="HQ18" s="65"/>
      <c r="HR18" s="65"/>
      <c r="HS18" s="65"/>
      <c r="HT18" s="65"/>
      <c r="HU18" s="65"/>
      <c r="HV18" s="65"/>
      <c r="HW18" s="65"/>
      <c r="HX18" s="65"/>
      <c r="HY18" s="65"/>
      <c r="HZ18" s="65"/>
      <c r="IA18" s="65"/>
      <c r="IB18" s="65"/>
      <c r="IC18" s="65"/>
      <c r="ID18" s="65"/>
      <c r="IE18" s="65"/>
      <c r="IF18" s="65"/>
      <c r="IG18" s="65"/>
      <c r="IH18" s="65"/>
      <c r="II18" s="65"/>
      <c r="IJ18" s="65"/>
      <c r="IK18" s="65"/>
      <c r="IL18" s="65"/>
      <c r="IM18" s="65"/>
      <c r="IN18" s="65"/>
      <c r="IO18" s="65"/>
      <c r="IP18" s="65"/>
      <c r="IQ18" s="65"/>
      <c r="IR18" s="65"/>
      <c r="IS18" s="65"/>
      <c r="IT18" s="65"/>
      <c r="IU18" s="65"/>
      <c r="IV18" s="65"/>
      <c r="IW18" s="65"/>
    </row>
    <row r="19" spans="1:257" s="110" customFormat="1" ht="18" customHeight="1">
      <c r="A19" s="65"/>
      <c r="B19" s="1267"/>
      <c r="C19" s="1268"/>
      <c r="D19" s="1271"/>
      <c r="E19" s="1161"/>
      <c r="F19" s="1161"/>
      <c r="G19" s="1161"/>
      <c r="H19" s="1161"/>
      <c r="I19" s="1161"/>
      <c r="J19" s="1161"/>
      <c r="K19" s="1161"/>
      <c r="L19" s="1161"/>
      <c r="M19" s="1161"/>
      <c r="N19" s="993" t="s">
        <v>1567</v>
      </c>
      <c r="O19" s="994" t="s">
        <v>1647</v>
      </c>
      <c r="P19" s="994" t="s">
        <v>1648</v>
      </c>
      <c r="Q19" s="994" t="s">
        <v>1649</v>
      </c>
      <c r="R19" s="994" t="s">
        <v>1650</v>
      </c>
      <c r="S19" s="510" t="s">
        <v>1651</v>
      </c>
      <c r="T19" s="65"/>
      <c r="U19" s="65"/>
      <c r="V19" s="65"/>
      <c r="W19" s="65"/>
      <c r="X19" s="65"/>
      <c r="Y19" s="65"/>
      <c r="Z19" s="65"/>
      <c r="AA19" s="65"/>
      <c r="AB19" s="65"/>
      <c r="AC19" s="65"/>
      <c r="AD19" s="65"/>
      <c r="AE19" s="65"/>
      <c r="AF19" s="65"/>
      <c r="AG19" s="65"/>
      <c r="AH19" s="65"/>
      <c r="AI19" s="65"/>
      <c r="AJ19" s="65"/>
      <c r="AK19" s="65"/>
      <c r="AL19" s="65"/>
      <c r="AM19" s="65"/>
      <c r="AN19" s="65"/>
      <c r="AO19" s="65"/>
      <c r="AP19" s="65"/>
      <c r="AQ19" s="65"/>
      <c r="AR19" s="65"/>
      <c r="AS19" s="65"/>
      <c r="AT19" s="65"/>
      <c r="AU19" s="65"/>
      <c r="AV19" s="65"/>
      <c r="AW19" s="65"/>
      <c r="AX19" s="65"/>
      <c r="AY19" s="65"/>
      <c r="AZ19" s="65"/>
      <c r="BA19" s="65"/>
      <c r="BB19" s="65"/>
      <c r="BC19" s="65"/>
      <c r="BD19" s="65"/>
      <c r="BE19" s="65"/>
      <c r="BF19" s="65"/>
      <c r="BG19" s="65"/>
      <c r="BH19" s="65"/>
      <c r="BI19" s="65"/>
      <c r="BJ19" s="65"/>
      <c r="BK19" s="65"/>
      <c r="BL19" s="65"/>
      <c r="BM19" s="65"/>
      <c r="BN19" s="65"/>
      <c r="BO19" s="65"/>
      <c r="BP19" s="65"/>
      <c r="BQ19" s="65"/>
      <c r="BR19" s="65"/>
      <c r="BS19" s="65"/>
      <c r="BT19" s="65"/>
      <c r="BU19" s="65"/>
      <c r="BV19" s="65"/>
      <c r="BW19" s="65"/>
      <c r="BX19" s="65"/>
      <c r="BY19" s="65"/>
      <c r="BZ19" s="65"/>
      <c r="CA19" s="65"/>
      <c r="CB19" s="65"/>
      <c r="CC19" s="65"/>
      <c r="CD19" s="65"/>
      <c r="CE19" s="65"/>
      <c r="CF19" s="65"/>
      <c r="CG19" s="65"/>
      <c r="CH19" s="65"/>
      <c r="CI19" s="65"/>
      <c r="CJ19" s="65"/>
      <c r="CK19" s="65"/>
      <c r="CL19" s="65"/>
      <c r="CM19" s="65"/>
      <c r="CN19" s="65"/>
      <c r="CO19" s="65"/>
      <c r="CP19" s="65"/>
      <c r="CQ19" s="65"/>
      <c r="CR19" s="65"/>
      <c r="CS19" s="65"/>
      <c r="CT19" s="65"/>
      <c r="CU19" s="65"/>
      <c r="CV19" s="65"/>
      <c r="CW19" s="65"/>
      <c r="CX19" s="65"/>
      <c r="CY19" s="65"/>
      <c r="CZ19" s="65"/>
      <c r="DA19" s="65"/>
      <c r="DB19" s="65"/>
      <c r="DC19" s="65"/>
      <c r="DD19" s="65"/>
      <c r="DE19" s="65"/>
      <c r="DF19" s="65"/>
      <c r="DG19" s="65"/>
      <c r="DH19" s="65"/>
      <c r="DI19" s="65"/>
      <c r="DJ19" s="65"/>
      <c r="DK19" s="65"/>
      <c r="DL19" s="65"/>
      <c r="DM19" s="65"/>
      <c r="DN19" s="65"/>
      <c r="DO19" s="65"/>
      <c r="DP19" s="65"/>
      <c r="DQ19" s="65"/>
      <c r="DR19" s="65"/>
      <c r="DS19" s="65"/>
      <c r="DT19" s="65"/>
      <c r="DU19" s="65"/>
      <c r="DV19" s="65"/>
      <c r="DW19" s="65"/>
      <c r="DX19" s="65"/>
      <c r="DY19" s="65"/>
      <c r="DZ19" s="65"/>
      <c r="EA19" s="65"/>
      <c r="EB19" s="65"/>
      <c r="EC19" s="65"/>
      <c r="ED19" s="65"/>
      <c r="EE19" s="65"/>
      <c r="EF19" s="65"/>
      <c r="EG19" s="65"/>
      <c r="EH19" s="65"/>
      <c r="EI19" s="65"/>
      <c r="EJ19" s="65"/>
      <c r="EK19" s="65"/>
      <c r="EL19" s="65"/>
      <c r="EM19" s="65"/>
      <c r="EN19" s="65"/>
      <c r="EO19" s="65"/>
      <c r="EP19" s="65"/>
      <c r="EQ19" s="65"/>
      <c r="ER19" s="65"/>
      <c r="ES19" s="65"/>
      <c r="ET19" s="65"/>
      <c r="EU19" s="65"/>
      <c r="EV19" s="65"/>
      <c r="EW19" s="65"/>
      <c r="EX19" s="65"/>
      <c r="EY19" s="65"/>
      <c r="EZ19" s="65"/>
      <c r="FA19" s="65"/>
      <c r="FB19" s="65"/>
      <c r="FC19" s="65"/>
      <c r="FD19" s="65"/>
      <c r="FE19" s="65"/>
      <c r="FF19" s="65"/>
      <c r="FG19" s="65"/>
      <c r="FH19" s="65"/>
      <c r="FI19" s="65"/>
      <c r="FJ19" s="65"/>
      <c r="FK19" s="65"/>
      <c r="FL19" s="65"/>
      <c r="FM19" s="65"/>
      <c r="FN19" s="65"/>
      <c r="FO19" s="65"/>
      <c r="FP19" s="65"/>
      <c r="FQ19" s="65"/>
      <c r="FR19" s="65"/>
      <c r="FS19" s="65"/>
      <c r="FT19" s="65"/>
      <c r="FU19" s="65"/>
      <c r="FV19" s="65"/>
      <c r="FW19" s="65"/>
      <c r="FX19" s="65"/>
      <c r="FY19" s="65"/>
      <c r="FZ19" s="65"/>
      <c r="GA19" s="65"/>
      <c r="GB19" s="65"/>
      <c r="GC19" s="65"/>
      <c r="GD19" s="65"/>
      <c r="GE19" s="65"/>
      <c r="GF19" s="65"/>
      <c r="GG19" s="65"/>
      <c r="GH19" s="65"/>
      <c r="GI19" s="65"/>
      <c r="GJ19" s="65"/>
      <c r="GK19" s="65"/>
      <c r="GL19" s="65"/>
      <c r="GM19" s="65"/>
      <c r="GN19" s="65"/>
      <c r="GO19" s="65"/>
      <c r="GP19" s="65"/>
      <c r="GQ19" s="65"/>
      <c r="GR19" s="65"/>
      <c r="GS19" s="65"/>
      <c r="GT19" s="65"/>
      <c r="GU19" s="65"/>
      <c r="GV19" s="65"/>
      <c r="GW19" s="65"/>
      <c r="GX19" s="65"/>
      <c r="GY19" s="65"/>
      <c r="GZ19" s="65"/>
      <c r="HA19" s="65"/>
      <c r="HB19" s="65"/>
      <c r="HC19" s="65"/>
      <c r="HD19" s="65"/>
      <c r="HE19" s="65"/>
      <c r="HF19" s="65"/>
      <c r="HG19" s="65"/>
      <c r="HH19" s="65"/>
      <c r="HI19" s="65"/>
      <c r="HJ19" s="65"/>
      <c r="HK19" s="65"/>
      <c r="HL19" s="65"/>
      <c r="HM19" s="65"/>
      <c r="HN19" s="65"/>
      <c r="HO19" s="65"/>
      <c r="HP19" s="65"/>
      <c r="HQ19" s="65"/>
      <c r="HR19" s="65"/>
      <c r="HS19" s="65"/>
      <c r="HT19" s="65"/>
      <c r="HU19" s="65"/>
      <c r="HV19" s="65"/>
      <c r="HW19" s="65"/>
      <c r="HX19" s="65"/>
      <c r="HY19" s="65"/>
      <c r="HZ19" s="65"/>
      <c r="IA19" s="65"/>
      <c r="IB19" s="65"/>
      <c r="IC19" s="65"/>
      <c r="ID19" s="65"/>
      <c r="IE19" s="65"/>
      <c r="IF19" s="65"/>
      <c r="IG19" s="65"/>
      <c r="IH19" s="65"/>
      <c r="II19" s="65"/>
      <c r="IJ19" s="65"/>
      <c r="IK19" s="65"/>
      <c r="IL19" s="65"/>
      <c r="IM19" s="65"/>
      <c r="IN19" s="65"/>
      <c r="IO19" s="65"/>
      <c r="IP19" s="65"/>
      <c r="IQ19" s="65"/>
      <c r="IR19" s="65"/>
      <c r="IS19" s="65"/>
      <c r="IT19" s="65"/>
      <c r="IU19" s="65"/>
      <c r="IV19" s="65"/>
      <c r="IW19" s="65"/>
    </row>
    <row r="20" spans="1:257" s="110" customFormat="1" ht="20.25" customHeight="1">
      <c r="A20" s="65"/>
      <c r="B20" s="1267"/>
      <c r="C20" s="1268"/>
      <c r="D20" s="1271"/>
      <c r="E20" s="1161"/>
      <c r="F20" s="1161"/>
      <c r="G20" s="1161"/>
      <c r="H20" s="1161"/>
      <c r="I20" s="1161"/>
      <c r="J20" s="1161"/>
      <c r="K20" s="1161"/>
      <c r="L20" s="1161"/>
      <c r="M20" s="1161"/>
      <c r="N20" s="1068" t="s">
        <v>1652</v>
      </c>
      <c r="O20" s="1033" t="s">
        <v>1653</v>
      </c>
      <c r="P20" s="1033" t="s">
        <v>1654</v>
      </c>
      <c r="Q20" s="1033" t="s">
        <v>1655</v>
      </c>
      <c r="R20" s="1033" t="s">
        <v>1656</v>
      </c>
      <c r="S20" s="1069">
        <v>0.05</v>
      </c>
      <c r="T20" s="65"/>
      <c r="U20" s="65"/>
      <c r="V20" s="65"/>
      <c r="W20" s="65"/>
      <c r="X20" s="65"/>
      <c r="Y20" s="65"/>
      <c r="Z20" s="65"/>
      <c r="AA20" s="65"/>
      <c r="AB20" s="65"/>
      <c r="AC20" s="65"/>
      <c r="AD20" s="65"/>
      <c r="AE20" s="65"/>
      <c r="AF20" s="65"/>
      <c r="AG20" s="65"/>
      <c r="AH20" s="65"/>
      <c r="AI20" s="65"/>
      <c r="AJ20" s="65"/>
      <c r="AK20" s="65"/>
      <c r="AL20" s="65"/>
      <c r="AM20" s="65"/>
      <c r="AN20" s="65"/>
      <c r="AO20" s="65"/>
      <c r="AP20" s="65"/>
      <c r="AQ20" s="65"/>
      <c r="AR20" s="65"/>
      <c r="AS20" s="65"/>
      <c r="AT20" s="65"/>
      <c r="AU20" s="65"/>
      <c r="AV20" s="65"/>
      <c r="AW20" s="65"/>
      <c r="AX20" s="65"/>
      <c r="AY20" s="65"/>
      <c r="AZ20" s="65"/>
      <c r="BA20" s="65"/>
      <c r="BB20" s="65"/>
      <c r="BC20" s="65"/>
      <c r="BD20" s="65"/>
      <c r="BE20" s="65"/>
      <c r="BF20" s="65"/>
      <c r="BG20" s="65"/>
      <c r="BH20" s="65"/>
      <c r="BI20" s="65"/>
      <c r="BJ20" s="65"/>
      <c r="BK20" s="65"/>
      <c r="BL20" s="65"/>
      <c r="BM20" s="65"/>
      <c r="BN20" s="65"/>
      <c r="BO20" s="65"/>
      <c r="BP20" s="65"/>
      <c r="BQ20" s="65"/>
      <c r="BR20" s="65"/>
      <c r="BS20" s="65"/>
      <c r="BT20" s="65"/>
      <c r="BU20" s="65"/>
      <c r="BV20" s="65"/>
      <c r="BW20" s="65"/>
      <c r="BX20" s="65"/>
      <c r="BY20" s="65"/>
      <c r="BZ20" s="65"/>
      <c r="CA20" s="65"/>
      <c r="CB20" s="65"/>
      <c r="CC20" s="65"/>
      <c r="CD20" s="65"/>
      <c r="CE20" s="65"/>
      <c r="CF20" s="65"/>
      <c r="CG20" s="65"/>
      <c r="CH20" s="65"/>
      <c r="CI20" s="65"/>
      <c r="CJ20" s="65"/>
      <c r="CK20" s="65"/>
      <c r="CL20" s="65"/>
      <c r="CM20" s="65"/>
      <c r="CN20" s="65"/>
      <c r="CO20" s="65"/>
      <c r="CP20" s="65"/>
      <c r="CQ20" s="65"/>
      <c r="CR20" s="65"/>
      <c r="CS20" s="65"/>
      <c r="CT20" s="65"/>
      <c r="CU20" s="65"/>
      <c r="CV20" s="65"/>
      <c r="CW20" s="65"/>
      <c r="CX20" s="65"/>
      <c r="CY20" s="65"/>
      <c r="CZ20" s="65"/>
      <c r="DA20" s="65"/>
      <c r="DB20" s="65"/>
      <c r="DC20" s="65"/>
      <c r="DD20" s="65"/>
      <c r="DE20" s="65"/>
      <c r="DF20" s="65"/>
      <c r="DG20" s="65"/>
      <c r="DH20" s="65"/>
      <c r="DI20" s="65"/>
      <c r="DJ20" s="65"/>
      <c r="DK20" s="65"/>
      <c r="DL20" s="65"/>
      <c r="DM20" s="65"/>
      <c r="DN20" s="65"/>
      <c r="DO20" s="65"/>
      <c r="DP20" s="65"/>
      <c r="DQ20" s="65"/>
      <c r="DR20" s="65"/>
      <c r="DS20" s="65"/>
      <c r="DT20" s="65"/>
      <c r="DU20" s="65"/>
      <c r="DV20" s="65"/>
      <c r="DW20" s="65"/>
      <c r="DX20" s="65"/>
      <c r="DY20" s="65"/>
      <c r="DZ20" s="65"/>
      <c r="EA20" s="65"/>
      <c r="EB20" s="65"/>
      <c r="EC20" s="65"/>
      <c r="ED20" s="65"/>
      <c r="EE20" s="65"/>
      <c r="EF20" s="65"/>
      <c r="EG20" s="65"/>
      <c r="EH20" s="65"/>
      <c r="EI20" s="65"/>
      <c r="EJ20" s="65"/>
      <c r="EK20" s="65"/>
      <c r="EL20" s="65"/>
      <c r="EM20" s="65"/>
      <c r="EN20" s="65"/>
      <c r="EO20" s="65"/>
      <c r="EP20" s="65"/>
      <c r="EQ20" s="65"/>
      <c r="ER20" s="65"/>
      <c r="ES20" s="65"/>
      <c r="ET20" s="65"/>
      <c r="EU20" s="65"/>
      <c r="EV20" s="65"/>
      <c r="EW20" s="65"/>
      <c r="EX20" s="65"/>
      <c r="EY20" s="65"/>
      <c r="EZ20" s="65"/>
      <c r="FA20" s="65"/>
      <c r="FB20" s="65"/>
      <c r="FC20" s="65"/>
      <c r="FD20" s="65"/>
      <c r="FE20" s="65"/>
      <c r="FF20" s="65"/>
      <c r="FG20" s="65"/>
      <c r="FH20" s="65"/>
      <c r="FI20" s="65"/>
      <c r="FJ20" s="65"/>
      <c r="FK20" s="65"/>
      <c r="FL20" s="65"/>
      <c r="FM20" s="65"/>
      <c r="FN20" s="65"/>
      <c r="FO20" s="65"/>
      <c r="FP20" s="65"/>
      <c r="FQ20" s="65"/>
      <c r="FR20" s="65"/>
      <c r="FS20" s="65"/>
      <c r="FT20" s="65"/>
      <c r="FU20" s="65"/>
      <c r="FV20" s="65"/>
      <c r="FW20" s="65"/>
      <c r="FX20" s="65"/>
      <c r="FY20" s="65"/>
      <c r="FZ20" s="65"/>
      <c r="GA20" s="65"/>
      <c r="GB20" s="65"/>
      <c r="GC20" s="65"/>
      <c r="GD20" s="65"/>
      <c r="GE20" s="65"/>
      <c r="GF20" s="65"/>
      <c r="GG20" s="65"/>
      <c r="GH20" s="65"/>
      <c r="GI20" s="65"/>
      <c r="GJ20" s="65"/>
      <c r="GK20" s="65"/>
      <c r="GL20" s="65"/>
      <c r="GM20" s="65"/>
      <c r="GN20" s="65"/>
      <c r="GO20" s="65"/>
      <c r="GP20" s="65"/>
      <c r="GQ20" s="65"/>
      <c r="GR20" s="65"/>
      <c r="GS20" s="65"/>
      <c r="GT20" s="65"/>
      <c r="GU20" s="65"/>
      <c r="GV20" s="65"/>
      <c r="GW20" s="65"/>
      <c r="GX20" s="65"/>
      <c r="GY20" s="65"/>
      <c r="GZ20" s="65"/>
      <c r="HA20" s="65"/>
      <c r="HB20" s="65"/>
      <c r="HC20" s="65"/>
      <c r="HD20" s="65"/>
      <c r="HE20" s="65"/>
      <c r="HF20" s="65"/>
      <c r="HG20" s="65"/>
      <c r="HH20" s="65"/>
      <c r="HI20" s="65"/>
      <c r="HJ20" s="65"/>
      <c r="HK20" s="65"/>
      <c r="HL20" s="65"/>
      <c r="HM20" s="65"/>
      <c r="HN20" s="65"/>
      <c r="HO20" s="65"/>
      <c r="HP20" s="65"/>
      <c r="HQ20" s="65"/>
      <c r="HR20" s="65"/>
      <c r="HS20" s="65"/>
      <c r="HT20" s="65"/>
      <c r="HU20" s="65"/>
      <c r="HV20" s="65"/>
      <c r="HW20" s="65"/>
      <c r="HX20" s="65"/>
      <c r="HY20" s="65"/>
      <c r="HZ20" s="65"/>
      <c r="IA20" s="65"/>
      <c r="IB20" s="65"/>
      <c r="IC20" s="65"/>
      <c r="ID20" s="65"/>
      <c r="IE20" s="65"/>
      <c r="IF20" s="65"/>
      <c r="IG20" s="65"/>
      <c r="IH20" s="65"/>
      <c r="II20" s="65"/>
      <c r="IJ20" s="65"/>
      <c r="IK20" s="65"/>
      <c r="IL20" s="65"/>
      <c r="IM20" s="65"/>
      <c r="IN20" s="65"/>
      <c r="IO20" s="65"/>
      <c r="IP20" s="65"/>
      <c r="IQ20" s="65"/>
      <c r="IR20" s="65"/>
      <c r="IS20" s="65"/>
      <c r="IT20" s="65"/>
      <c r="IU20" s="65"/>
      <c r="IV20" s="65"/>
      <c r="IW20" s="65"/>
    </row>
    <row r="21" spans="1:257" s="110" customFormat="1" ht="20.25" customHeight="1" thickBot="1">
      <c r="A21" s="65"/>
      <c r="B21" s="1269"/>
      <c r="C21" s="1270"/>
      <c r="D21" s="1272"/>
      <c r="E21" s="1163"/>
      <c r="F21" s="1163"/>
      <c r="G21" s="1163"/>
      <c r="H21" s="1163"/>
      <c r="I21" s="1163"/>
      <c r="J21" s="1163"/>
      <c r="K21" s="1163"/>
      <c r="L21" s="1163"/>
      <c r="M21" s="1163"/>
      <c r="N21" s="1070" t="s">
        <v>1652</v>
      </c>
      <c r="O21" s="1065" t="s">
        <v>1657</v>
      </c>
      <c r="P21" s="1065" t="s">
        <v>1653</v>
      </c>
      <c r="Q21" s="1065" t="s">
        <v>1654</v>
      </c>
      <c r="R21" s="1065" t="s">
        <v>1655</v>
      </c>
      <c r="S21" s="1071">
        <v>0.1</v>
      </c>
      <c r="T21" s="65"/>
      <c r="U21" s="65"/>
      <c r="V21" s="65"/>
      <c r="W21" s="65"/>
      <c r="X21" s="65"/>
      <c r="Y21" s="65"/>
      <c r="Z21" s="65"/>
      <c r="AA21" s="65"/>
      <c r="AB21" s="65"/>
      <c r="AC21" s="65"/>
      <c r="AD21" s="65"/>
      <c r="AE21" s="65"/>
      <c r="AF21" s="65"/>
      <c r="AG21" s="65"/>
      <c r="AH21" s="65"/>
      <c r="AI21" s="65"/>
      <c r="AJ21" s="65"/>
      <c r="AK21" s="65"/>
      <c r="AL21" s="65"/>
      <c r="AM21" s="65"/>
      <c r="AN21" s="65"/>
      <c r="AO21" s="65"/>
      <c r="AP21" s="65"/>
      <c r="AQ21" s="65"/>
      <c r="AR21" s="65"/>
      <c r="AS21" s="65"/>
      <c r="AT21" s="65"/>
      <c r="AU21" s="65"/>
      <c r="AV21" s="65"/>
      <c r="AW21" s="65"/>
      <c r="AX21" s="65"/>
      <c r="AY21" s="65"/>
      <c r="AZ21" s="65"/>
      <c r="BA21" s="65"/>
      <c r="BB21" s="65"/>
      <c r="BC21" s="65"/>
      <c r="BD21" s="65"/>
      <c r="BE21" s="65"/>
      <c r="BF21" s="65"/>
      <c r="BG21" s="65"/>
      <c r="BH21" s="65"/>
      <c r="BI21" s="65"/>
      <c r="BJ21" s="65"/>
      <c r="BK21" s="65"/>
      <c r="BL21" s="65"/>
      <c r="BM21" s="65"/>
      <c r="BN21" s="65"/>
      <c r="BO21" s="65"/>
      <c r="BP21" s="65"/>
      <c r="BQ21" s="65"/>
      <c r="BR21" s="65"/>
      <c r="BS21" s="65"/>
      <c r="BT21" s="65"/>
      <c r="BU21" s="65"/>
      <c r="BV21" s="65"/>
      <c r="BW21" s="65"/>
      <c r="BX21" s="65"/>
      <c r="BY21" s="65"/>
      <c r="BZ21" s="65"/>
      <c r="CA21" s="65"/>
      <c r="CB21" s="65"/>
      <c r="CC21" s="65"/>
      <c r="CD21" s="65"/>
      <c r="CE21" s="65"/>
      <c r="CF21" s="65"/>
      <c r="CG21" s="65"/>
      <c r="CH21" s="65"/>
      <c r="CI21" s="65"/>
      <c r="CJ21" s="65"/>
      <c r="CK21" s="65"/>
      <c r="CL21" s="65"/>
      <c r="CM21" s="65"/>
      <c r="CN21" s="65"/>
      <c r="CO21" s="65"/>
      <c r="CP21" s="65"/>
      <c r="CQ21" s="65"/>
      <c r="CR21" s="65"/>
      <c r="CS21" s="65"/>
      <c r="CT21" s="65"/>
      <c r="CU21" s="65"/>
      <c r="CV21" s="65"/>
      <c r="CW21" s="65"/>
      <c r="CX21" s="65"/>
      <c r="CY21" s="65"/>
      <c r="CZ21" s="65"/>
      <c r="DA21" s="65"/>
      <c r="DB21" s="65"/>
      <c r="DC21" s="65"/>
      <c r="DD21" s="65"/>
      <c r="DE21" s="65"/>
      <c r="DF21" s="65"/>
      <c r="DG21" s="65"/>
      <c r="DH21" s="65"/>
      <c r="DI21" s="65"/>
      <c r="DJ21" s="65"/>
      <c r="DK21" s="65"/>
      <c r="DL21" s="65"/>
      <c r="DM21" s="65"/>
      <c r="DN21" s="65"/>
      <c r="DO21" s="65"/>
      <c r="DP21" s="65"/>
      <c r="DQ21" s="65"/>
      <c r="DR21" s="65"/>
      <c r="DS21" s="65"/>
      <c r="DT21" s="65"/>
      <c r="DU21" s="65"/>
      <c r="DV21" s="65"/>
      <c r="DW21" s="65"/>
      <c r="DX21" s="65"/>
      <c r="DY21" s="65"/>
      <c r="DZ21" s="65"/>
      <c r="EA21" s="65"/>
      <c r="EB21" s="65"/>
      <c r="EC21" s="65"/>
      <c r="ED21" s="65"/>
      <c r="EE21" s="65"/>
      <c r="EF21" s="65"/>
      <c r="EG21" s="65"/>
      <c r="EH21" s="65"/>
      <c r="EI21" s="65"/>
      <c r="EJ21" s="65"/>
      <c r="EK21" s="65"/>
      <c r="EL21" s="65"/>
      <c r="EM21" s="65"/>
      <c r="EN21" s="65"/>
      <c r="EO21" s="65"/>
      <c r="EP21" s="65"/>
      <c r="EQ21" s="65"/>
      <c r="ER21" s="65"/>
      <c r="ES21" s="65"/>
      <c r="ET21" s="65"/>
      <c r="EU21" s="65"/>
      <c r="EV21" s="65"/>
      <c r="EW21" s="65"/>
      <c r="EX21" s="65"/>
      <c r="EY21" s="65"/>
      <c r="EZ21" s="65"/>
      <c r="FA21" s="65"/>
      <c r="FB21" s="65"/>
      <c r="FC21" s="65"/>
      <c r="FD21" s="65"/>
      <c r="FE21" s="65"/>
      <c r="FF21" s="65"/>
      <c r="FG21" s="65"/>
      <c r="FH21" s="65"/>
      <c r="FI21" s="65"/>
      <c r="FJ21" s="65"/>
      <c r="FK21" s="65"/>
      <c r="FL21" s="65"/>
      <c r="FM21" s="65"/>
      <c r="FN21" s="65"/>
      <c r="FO21" s="65"/>
      <c r="FP21" s="65"/>
      <c r="FQ21" s="65"/>
      <c r="FR21" s="65"/>
      <c r="FS21" s="65"/>
      <c r="FT21" s="65"/>
      <c r="FU21" s="65"/>
      <c r="FV21" s="65"/>
      <c r="FW21" s="65"/>
      <c r="FX21" s="65"/>
      <c r="FY21" s="65"/>
      <c r="FZ21" s="65"/>
      <c r="GA21" s="65"/>
      <c r="GB21" s="65"/>
      <c r="GC21" s="65"/>
      <c r="GD21" s="65"/>
      <c r="GE21" s="65"/>
      <c r="GF21" s="65"/>
      <c r="GG21" s="65"/>
      <c r="GH21" s="65"/>
      <c r="GI21" s="65"/>
      <c r="GJ21" s="65"/>
      <c r="GK21" s="65"/>
      <c r="GL21" s="65"/>
      <c r="GM21" s="65"/>
      <c r="GN21" s="65"/>
      <c r="GO21" s="65"/>
      <c r="GP21" s="65"/>
      <c r="GQ21" s="65"/>
      <c r="GR21" s="65"/>
      <c r="GS21" s="65"/>
      <c r="GT21" s="65"/>
      <c r="GU21" s="65"/>
      <c r="GV21" s="65"/>
      <c r="GW21" s="65"/>
      <c r="GX21" s="65"/>
      <c r="GY21" s="65"/>
      <c r="GZ21" s="65"/>
      <c r="HA21" s="65"/>
      <c r="HB21" s="65"/>
      <c r="HC21" s="65"/>
      <c r="HD21" s="65"/>
      <c r="HE21" s="65"/>
      <c r="HF21" s="65"/>
      <c r="HG21" s="65"/>
      <c r="HH21" s="65"/>
      <c r="HI21" s="65"/>
      <c r="HJ21" s="65"/>
      <c r="HK21" s="65"/>
      <c r="HL21" s="65"/>
      <c r="HM21" s="65"/>
      <c r="HN21" s="65"/>
      <c r="HO21" s="65"/>
      <c r="HP21" s="65"/>
      <c r="HQ21" s="65"/>
      <c r="HR21" s="65"/>
      <c r="HS21" s="65"/>
      <c r="HT21" s="65"/>
      <c r="HU21" s="65"/>
      <c r="HV21" s="65"/>
      <c r="HW21" s="65"/>
      <c r="HX21" s="65"/>
      <c r="HY21" s="65"/>
      <c r="HZ21" s="65"/>
      <c r="IA21" s="65"/>
      <c r="IB21" s="65"/>
      <c r="IC21" s="65"/>
      <c r="ID21" s="65"/>
      <c r="IE21" s="65"/>
      <c r="IF21" s="65"/>
      <c r="IG21" s="65"/>
      <c r="IH21" s="65"/>
      <c r="II21" s="65"/>
      <c r="IJ21" s="65"/>
      <c r="IK21" s="65"/>
      <c r="IL21" s="65"/>
      <c r="IM21" s="65"/>
      <c r="IN21" s="65"/>
      <c r="IO21" s="65"/>
      <c r="IP21" s="65"/>
      <c r="IQ21" s="65"/>
      <c r="IR21" s="65"/>
      <c r="IS21" s="65"/>
      <c r="IT21" s="65"/>
      <c r="IU21" s="65"/>
      <c r="IV21" s="65"/>
      <c r="IW21" s="65"/>
    </row>
    <row r="22" spans="1:257" ht="18" customHeight="1"/>
    <row r="23" spans="1:257" ht="18" customHeight="1"/>
    <row r="24" spans="1:257" ht="18" customHeight="1"/>
    <row r="25" spans="1:257" ht="18" customHeight="1"/>
    <row r="26" spans="1:257" ht="18" customHeight="1"/>
    <row r="27" spans="1:257" ht="18" customHeight="1"/>
    <row r="28" spans="1:257" ht="18" customHeight="1"/>
    <row r="29" spans="1:257" ht="20.25" customHeight="1"/>
  </sheetData>
  <mergeCells count="26">
    <mergeCell ref="B1:S1"/>
    <mergeCell ref="B6:C6"/>
    <mergeCell ref="D6:O6"/>
    <mergeCell ref="B4:C4"/>
    <mergeCell ref="D4:O4"/>
    <mergeCell ref="B5:C5"/>
    <mergeCell ref="D5:O5"/>
    <mergeCell ref="B15:C15"/>
    <mergeCell ref="D15:M15"/>
    <mergeCell ref="N15:S15"/>
    <mergeCell ref="B9:C9"/>
    <mergeCell ref="D9:S9"/>
    <mergeCell ref="B10:C10"/>
    <mergeCell ref="D10:S10"/>
    <mergeCell ref="D13:M13"/>
    <mergeCell ref="N13:S13"/>
    <mergeCell ref="B14:C14"/>
    <mergeCell ref="D14:M14"/>
    <mergeCell ref="N14:S14"/>
    <mergeCell ref="B13:C13"/>
    <mergeCell ref="B16:C21"/>
    <mergeCell ref="D16:M21"/>
    <mergeCell ref="N16:O16"/>
    <mergeCell ref="N17:O17"/>
    <mergeCell ref="P17:P18"/>
    <mergeCell ref="N18:O18"/>
  </mergeCells>
  <phoneticPr fontId="100" type="noConversion"/>
  <printOptions horizontalCentered="1"/>
  <pageMargins left="0.31496062992125984" right="0.31496062992125984" top="0.31496062992125984" bottom="0.31496062992125984" header="0.31496062992125984" footer="0.31496062992125984"/>
  <pageSetup paperSize="9" scale="75" orientation="landscape" r:id="rId1"/>
  <rowBreaks count="2" manualBreakCount="2">
    <brk id="14" max="17" man="1"/>
    <brk id="28" max="17"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N32"/>
  <sheetViews>
    <sheetView zoomScaleNormal="100" workbookViewId="0">
      <selection activeCell="B1" sqref="B1:AG1"/>
    </sheetView>
  </sheetViews>
  <sheetFormatPr defaultColWidth="9.625" defaultRowHeight="16.5"/>
  <cols>
    <col min="1" max="1" width="1" style="145" customWidth="1"/>
    <col min="2" max="2" width="14.375" style="202" customWidth="1"/>
    <col min="3" max="4" width="7.875" style="785" customWidth="1"/>
    <col min="5" max="5" width="7.875" style="146" customWidth="1"/>
    <col min="6" max="6" width="8" style="146" customWidth="1"/>
    <col min="7" max="9" width="5.5" style="146" customWidth="1"/>
    <col min="10" max="10" width="8.5" style="146" customWidth="1"/>
    <col min="11" max="11" width="7.125" style="146" customWidth="1"/>
    <col min="12" max="14" width="5.5" style="146" customWidth="1"/>
    <col min="15" max="15" width="8.875" style="145" customWidth="1"/>
    <col min="16" max="16" width="8.25" style="145" customWidth="1"/>
    <col min="17" max="30" width="7.625" style="145" customWidth="1"/>
    <col min="31" max="32" width="7.625" style="147" customWidth="1"/>
    <col min="33" max="33" width="7.625" style="145" customWidth="1"/>
    <col min="34" max="34" width="9.625" style="145" customWidth="1"/>
    <col min="35" max="35" width="11" style="145" bestFit="1" customWidth="1"/>
    <col min="36" max="37" width="10.875" style="145" bestFit="1" customWidth="1"/>
    <col min="38" max="38" width="10.625" style="145" customWidth="1"/>
    <col min="39" max="39" width="10.25" style="145" customWidth="1"/>
    <col min="40" max="40" width="11" style="145" customWidth="1"/>
    <col min="41" max="16384" width="9.625" style="145"/>
  </cols>
  <sheetData>
    <row r="1" spans="1:40" ht="30" customHeight="1" thickBot="1">
      <c r="A1" s="144"/>
      <c r="B1" s="1201" t="s">
        <v>1714</v>
      </c>
      <c r="C1" s="1201"/>
      <c r="D1" s="1201"/>
      <c r="E1" s="1201"/>
      <c r="F1" s="1201"/>
      <c r="G1" s="1201"/>
      <c r="H1" s="1201"/>
      <c r="I1" s="1201"/>
      <c r="J1" s="1201"/>
      <c r="K1" s="1201"/>
      <c r="L1" s="1201"/>
      <c r="M1" s="1201"/>
      <c r="N1" s="1201"/>
      <c r="O1" s="1201"/>
      <c r="P1" s="1201"/>
      <c r="Q1" s="1201"/>
      <c r="R1" s="1201"/>
      <c r="S1" s="1201"/>
      <c r="T1" s="1201"/>
      <c r="U1" s="1201"/>
      <c r="V1" s="1201"/>
      <c r="W1" s="1201"/>
      <c r="X1" s="1201"/>
      <c r="Y1" s="1201"/>
      <c r="Z1" s="1201"/>
      <c r="AA1" s="1201"/>
      <c r="AB1" s="1201"/>
      <c r="AC1" s="1201"/>
      <c r="AD1" s="1201"/>
      <c r="AE1" s="1201"/>
      <c r="AF1" s="1201"/>
      <c r="AG1" s="1201"/>
    </row>
    <row r="2" spans="1:40" s="235" customFormat="1" ht="6" customHeight="1" thickTop="1">
      <c r="A2" s="65"/>
      <c r="B2" s="64"/>
      <c r="C2" s="64"/>
      <c r="D2" s="64"/>
      <c r="E2" s="64"/>
      <c r="F2" s="64"/>
      <c r="G2" s="64"/>
      <c r="H2" s="65"/>
      <c r="I2" s="65"/>
      <c r="J2" s="65"/>
      <c r="K2" s="65"/>
      <c r="L2" s="65"/>
      <c r="M2" s="65"/>
      <c r="N2" s="65"/>
      <c r="O2" s="66"/>
      <c r="P2" s="65"/>
      <c r="Q2" s="65"/>
      <c r="R2" s="65"/>
      <c r="S2" s="65"/>
      <c r="T2" s="65"/>
      <c r="U2" s="65"/>
      <c r="V2" s="65"/>
      <c r="W2" s="65"/>
      <c r="X2" s="65"/>
      <c r="Y2" s="65"/>
      <c r="Z2" s="65"/>
      <c r="AA2" s="65"/>
      <c r="AB2" s="65"/>
      <c r="AC2" s="65"/>
      <c r="AD2" s="65"/>
      <c r="AE2" s="65"/>
      <c r="AF2" s="65"/>
    </row>
    <row r="3" spans="1:40" s="262" customFormat="1" ht="18" customHeight="1">
      <c r="B3" s="350" t="s">
        <v>1658</v>
      </c>
      <c r="C3" s="261"/>
      <c r="D3" s="261"/>
      <c r="E3" s="261"/>
      <c r="F3" s="261"/>
      <c r="G3" s="261"/>
    </row>
    <row r="4" spans="1:40" s="235" customFormat="1" ht="6" customHeight="1" thickBot="1">
      <c r="A4" s="65"/>
      <c r="B4" s="64"/>
      <c r="C4" s="64"/>
      <c r="D4" s="64"/>
      <c r="E4" s="64"/>
      <c r="F4" s="64"/>
      <c r="G4" s="64"/>
      <c r="H4" s="65"/>
      <c r="I4" s="65"/>
      <c r="J4" s="65"/>
      <c r="K4" s="65"/>
      <c r="L4" s="65"/>
      <c r="M4" s="65"/>
      <c r="N4" s="65"/>
      <c r="O4" s="66"/>
      <c r="P4" s="65"/>
      <c r="Q4" s="65"/>
      <c r="R4" s="65"/>
      <c r="S4" s="65"/>
      <c r="T4" s="65"/>
      <c r="U4" s="65"/>
      <c r="V4" s="65"/>
      <c r="W4" s="65"/>
      <c r="X4" s="65"/>
      <c r="Y4" s="65"/>
      <c r="Z4" s="65"/>
      <c r="AA4" s="65"/>
      <c r="AB4" s="65"/>
      <c r="AC4" s="65"/>
      <c r="AD4" s="65"/>
      <c r="AE4" s="65"/>
      <c r="AF4" s="65"/>
    </row>
    <row r="5" spans="1:40" ht="20.25" customHeight="1">
      <c r="A5" s="15"/>
      <c r="B5" s="1202" t="s">
        <v>302</v>
      </c>
      <c r="C5" s="1203"/>
      <c r="D5" s="1203"/>
      <c r="E5" s="1204"/>
      <c r="F5" s="1322" t="s">
        <v>67</v>
      </c>
      <c r="G5" s="1324" t="s">
        <v>1659</v>
      </c>
      <c r="H5" s="1325"/>
      <c r="I5" s="1218"/>
      <c r="J5" s="1207" t="s">
        <v>1660</v>
      </c>
      <c r="K5" s="1311" t="s">
        <v>1661</v>
      </c>
      <c r="L5" s="1312"/>
      <c r="M5" s="1312"/>
      <c r="N5" s="1313"/>
      <c r="O5" s="1314" t="s">
        <v>1662</v>
      </c>
      <c r="P5" s="1316" t="s">
        <v>886</v>
      </c>
      <c r="Q5" s="1317"/>
      <c r="R5" s="1318"/>
      <c r="S5" s="1319" t="s">
        <v>1663</v>
      </c>
      <c r="T5" s="1320"/>
      <c r="U5" s="767">
        <v>0.93</v>
      </c>
      <c r="V5" s="1319" t="s">
        <v>888</v>
      </c>
      <c r="W5" s="1320"/>
      <c r="X5" s="767">
        <v>0.86</v>
      </c>
      <c r="Y5" s="1319" t="s">
        <v>1664</v>
      </c>
      <c r="Z5" s="1320"/>
      <c r="AA5" s="767">
        <v>0.83</v>
      </c>
      <c r="AB5" s="1319" t="s">
        <v>1665</v>
      </c>
      <c r="AC5" s="1320"/>
      <c r="AD5" s="767">
        <v>0.75</v>
      </c>
      <c r="AE5" s="1316" t="s">
        <v>891</v>
      </c>
      <c r="AF5" s="1321"/>
      <c r="AG5" s="767">
        <v>0.7</v>
      </c>
      <c r="AI5" s="461"/>
      <c r="AJ5" s="461"/>
      <c r="AK5" s="461"/>
    </row>
    <row r="6" spans="1:40" ht="39" customHeight="1" thickBot="1">
      <c r="A6" s="15"/>
      <c r="B6" s="216" t="s">
        <v>466</v>
      </c>
      <c r="C6" s="768" t="s">
        <v>1666</v>
      </c>
      <c r="D6" s="768" t="s">
        <v>1667</v>
      </c>
      <c r="E6" s="428" t="s">
        <v>1668</v>
      </c>
      <c r="F6" s="1323"/>
      <c r="G6" s="769" t="s">
        <v>445</v>
      </c>
      <c r="H6" s="177" t="s">
        <v>1669</v>
      </c>
      <c r="I6" s="177" t="s">
        <v>446</v>
      </c>
      <c r="J6" s="1208"/>
      <c r="K6" s="991" t="s">
        <v>1670</v>
      </c>
      <c r="L6" s="1005" t="s">
        <v>1671</v>
      </c>
      <c r="M6" s="1005" t="s">
        <v>1672</v>
      </c>
      <c r="N6" s="1005" t="s">
        <v>1673</v>
      </c>
      <c r="O6" s="1315"/>
      <c r="P6" s="770" t="s">
        <v>1674</v>
      </c>
      <c r="Q6" s="771" t="s">
        <v>453</v>
      </c>
      <c r="R6" s="772" t="s">
        <v>469</v>
      </c>
      <c r="S6" s="770" t="s">
        <v>1674</v>
      </c>
      <c r="T6" s="771" t="s">
        <v>453</v>
      </c>
      <c r="U6" s="772" t="s">
        <v>469</v>
      </c>
      <c r="V6" s="773" t="s">
        <v>1674</v>
      </c>
      <c r="W6" s="771" t="s">
        <v>453</v>
      </c>
      <c r="X6" s="772" t="s">
        <v>469</v>
      </c>
      <c r="Y6" s="770" t="s">
        <v>1674</v>
      </c>
      <c r="Z6" s="771" t="s">
        <v>453</v>
      </c>
      <c r="AA6" s="772" t="s">
        <v>469</v>
      </c>
      <c r="AB6" s="770" t="s">
        <v>1674</v>
      </c>
      <c r="AC6" s="771" t="s">
        <v>453</v>
      </c>
      <c r="AD6" s="772" t="s">
        <v>469</v>
      </c>
      <c r="AE6" s="770" t="s">
        <v>1674</v>
      </c>
      <c r="AF6" s="771" t="s">
        <v>453</v>
      </c>
      <c r="AG6" s="772" t="s">
        <v>469</v>
      </c>
      <c r="AI6" s="461"/>
      <c r="AJ6" s="461"/>
      <c r="AK6" s="461"/>
    </row>
    <row r="7" spans="1:40" ht="18" customHeight="1">
      <c r="A7" s="15"/>
      <c r="B7" s="1344" t="s">
        <v>1675</v>
      </c>
      <c r="C7" s="1345"/>
      <c r="D7" s="1345"/>
      <c r="E7" s="1346"/>
      <c r="F7" s="1336">
        <v>1000</v>
      </c>
      <c r="G7" s="1238">
        <f>F7*C8</f>
        <v>2520</v>
      </c>
      <c r="H7" s="1228">
        <f>F7*D8</f>
        <v>720</v>
      </c>
      <c r="I7" s="1228">
        <f>F7*E8</f>
        <v>720</v>
      </c>
      <c r="J7" s="1228">
        <f>G7/12</f>
        <v>210</v>
      </c>
      <c r="K7" s="1228">
        <f>G7/12*5</f>
        <v>1050</v>
      </c>
      <c r="L7" s="1228">
        <f>G7/12*6</f>
        <v>1260</v>
      </c>
      <c r="M7" s="1228">
        <f>H7</f>
        <v>720</v>
      </c>
      <c r="N7" s="1228">
        <f>I7</f>
        <v>720</v>
      </c>
      <c r="O7" s="1240">
        <f>G7*125%</f>
        <v>3150</v>
      </c>
      <c r="P7" s="148">
        <f>J7+K7+O7</f>
        <v>4410</v>
      </c>
      <c r="Q7" s="151">
        <f>J7+K7+L7+O7</f>
        <v>5670</v>
      </c>
      <c r="R7" s="150">
        <f>J7+K7+L7+M7+N7+O7</f>
        <v>7110</v>
      </c>
      <c r="S7" s="148">
        <f>P7*$U$5</f>
        <v>4101.3</v>
      </c>
      <c r="T7" s="151">
        <f>Q7*$U$5</f>
        <v>5273.1</v>
      </c>
      <c r="U7" s="150">
        <f>R7*$U$5</f>
        <v>6612.3</v>
      </c>
      <c r="V7" s="149">
        <f>P7*$X$5</f>
        <v>3792.6</v>
      </c>
      <c r="W7" s="151">
        <f>Q7*$X$5</f>
        <v>4876.2</v>
      </c>
      <c r="X7" s="152">
        <f>R7*$X$5</f>
        <v>6114.5999999999995</v>
      </c>
      <c r="Y7" s="148">
        <f>P7*$AA$5</f>
        <v>3660.2999999999997</v>
      </c>
      <c r="Z7" s="151">
        <f>Q7*$AA$5</f>
        <v>4706.0999999999995</v>
      </c>
      <c r="AA7" s="150">
        <f>R7*$AA$5</f>
        <v>5901.2999999999993</v>
      </c>
      <c r="AB7" s="149">
        <f>P7*$AD$5</f>
        <v>3307.5</v>
      </c>
      <c r="AC7" s="152">
        <f>Q7*$AD$5</f>
        <v>4252.5</v>
      </c>
      <c r="AD7" s="152">
        <f>R7*$AD$5</f>
        <v>5332.5</v>
      </c>
      <c r="AE7" s="148">
        <f>P7*$AG$5</f>
        <v>3087</v>
      </c>
      <c r="AF7" s="152">
        <f>Q7*$AG$5</f>
        <v>3968.9999999999995</v>
      </c>
      <c r="AG7" s="150">
        <f>R7*$AG$5</f>
        <v>4977</v>
      </c>
      <c r="AI7" s="461"/>
      <c r="AJ7" s="461"/>
      <c r="AK7" s="461"/>
      <c r="AL7" s="774"/>
      <c r="AM7" s="774"/>
      <c r="AN7" s="774"/>
    </row>
    <row r="8" spans="1:40" ht="18" customHeight="1">
      <c r="A8" s="15"/>
      <c r="B8" s="205" t="s">
        <v>1676</v>
      </c>
      <c r="C8" s="775">
        <v>2.52</v>
      </c>
      <c r="D8" s="775">
        <v>0.72</v>
      </c>
      <c r="E8" s="1010">
        <v>0.72</v>
      </c>
      <c r="F8" s="1340"/>
      <c r="G8" s="1239"/>
      <c r="H8" s="1229"/>
      <c r="I8" s="1229"/>
      <c r="J8" s="1229"/>
      <c r="K8" s="1229"/>
      <c r="L8" s="1229"/>
      <c r="M8" s="1229"/>
      <c r="N8" s="1229"/>
      <c r="O8" s="1241"/>
      <c r="P8" s="180">
        <f>P7/F7</f>
        <v>4.41</v>
      </c>
      <c r="Q8" s="183">
        <f>Q7/F7</f>
        <v>5.67</v>
      </c>
      <c r="R8" s="182">
        <f>R7/F7</f>
        <v>7.11</v>
      </c>
      <c r="S8" s="180">
        <f>S7/F7</f>
        <v>4.1013000000000002</v>
      </c>
      <c r="T8" s="183">
        <f>T7/F7</f>
        <v>5.2731000000000003</v>
      </c>
      <c r="U8" s="182">
        <f>U7/F7</f>
        <v>6.6123000000000003</v>
      </c>
      <c r="V8" s="181">
        <f>V7/F7</f>
        <v>3.7925999999999997</v>
      </c>
      <c r="W8" s="183">
        <f>W7/F7</f>
        <v>4.8761999999999999</v>
      </c>
      <c r="X8" s="184">
        <f>X7/F7</f>
        <v>6.1145999999999994</v>
      </c>
      <c r="Y8" s="180">
        <f>Y7/F7</f>
        <v>3.6602999999999999</v>
      </c>
      <c r="Z8" s="183">
        <f>Z7/F7</f>
        <v>4.7060999999999993</v>
      </c>
      <c r="AA8" s="182">
        <f>AA7/F7</f>
        <v>5.9012999999999991</v>
      </c>
      <c r="AB8" s="181">
        <f>AB7/F7</f>
        <v>3.3075000000000001</v>
      </c>
      <c r="AC8" s="184">
        <f>AC7/F7</f>
        <v>4.2525000000000004</v>
      </c>
      <c r="AD8" s="184">
        <f>AD7/F7</f>
        <v>5.3324999999999996</v>
      </c>
      <c r="AE8" s="180">
        <f>AE7/F7</f>
        <v>3.0870000000000002</v>
      </c>
      <c r="AF8" s="184">
        <f>AF7/F7</f>
        <v>3.9689999999999994</v>
      </c>
      <c r="AG8" s="182">
        <f>AG7/F7</f>
        <v>4.9770000000000003</v>
      </c>
      <c r="AI8" s="461"/>
      <c r="AJ8" s="461"/>
      <c r="AK8" s="461"/>
      <c r="AL8" s="774"/>
      <c r="AM8" s="774"/>
      <c r="AN8" s="774"/>
    </row>
    <row r="9" spans="1:40" ht="18" customHeight="1">
      <c r="A9" s="15"/>
      <c r="B9" s="1341" t="s">
        <v>1677</v>
      </c>
      <c r="C9" s="1342"/>
      <c r="D9" s="1342"/>
      <c r="E9" s="1343"/>
      <c r="F9" s="1330">
        <v>1000</v>
      </c>
      <c r="G9" s="1332">
        <f>F9*C10</f>
        <v>2280</v>
      </c>
      <c r="H9" s="1234">
        <f>F9*D10</f>
        <v>960</v>
      </c>
      <c r="I9" s="1234">
        <f>F9*E10</f>
        <v>960</v>
      </c>
      <c r="J9" s="1234">
        <f>G9/12</f>
        <v>190</v>
      </c>
      <c r="K9" s="1234">
        <f t="shared" ref="K9" si="0">G9/12*5</f>
        <v>950</v>
      </c>
      <c r="L9" s="1234">
        <f t="shared" ref="L9" si="1">G9/12*6</f>
        <v>1140</v>
      </c>
      <c r="M9" s="1234">
        <f t="shared" ref="M9:N9" si="2">H9</f>
        <v>960</v>
      </c>
      <c r="N9" s="1234">
        <f t="shared" si="2"/>
        <v>960</v>
      </c>
      <c r="O9" s="1326">
        <f>G9*125%</f>
        <v>2850</v>
      </c>
      <c r="P9" s="23">
        <f>J9+K9+O9</f>
        <v>3990</v>
      </c>
      <c r="Q9" s="24">
        <f>J9+K9+L9+O9</f>
        <v>5130</v>
      </c>
      <c r="R9" s="25">
        <f>J9+K9+L9+M9+N9+O9</f>
        <v>7050</v>
      </c>
      <c r="S9" s="23">
        <f>P9*$U$5</f>
        <v>3710.7000000000003</v>
      </c>
      <c r="T9" s="24">
        <f>Q9*$U$5</f>
        <v>4770.9000000000005</v>
      </c>
      <c r="U9" s="25">
        <f>R9*$U$5</f>
        <v>6556.5</v>
      </c>
      <c r="V9" s="34">
        <f t="shared" ref="V9:X9" si="3">P9*$X$5</f>
        <v>3431.4</v>
      </c>
      <c r="W9" s="24">
        <f t="shared" si="3"/>
        <v>4411.8</v>
      </c>
      <c r="X9" s="106">
        <f t="shared" si="3"/>
        <v>6063</v>
      </c>
      <c r="Y9" s="23">
        <f>P9*$AA$5</f>
        <v>3311.7</v>
      </c>
      <c r="Z9" s="24">
        <f>Q9*$AA$5</f>
        <v>4257.8999999999996</v>
      </c>
      <c r="AA9" s="25">
        <f>R9*$AA$5</f>
        <v>5851.5</v>
      </c>
      <c r="AB9" s="34">
        <f>P9*$AD$5</f>
        <v>2992.5</v>
      </c>
      <c r="AC9" s="106">
        <f>Q9*$AD$5</f>
        <v>3847.5</v>
      </c>
      <c r="AD9" s="106">
        <f>R9*$AD$5</f>
        <v>5287.5</v>
      </c>
      <c r="AE9" s="23">
        <f>P9*$AG$5</f>
        <v>2793</v>
      </c>
      <c r="AF9" s="106">
        <f>Q9*$AG$5</f>
        <v>3590.9999999999995</v>
      </c>
      <c r="AG9" s="25">
        <f>R9*$AG$5</f>
        <v>4935</v>
      </c>
      <c r="AI9" s="461"/>
      <c r="AJ9" s="461"/>
      <c r="AK9" s="461"/>
      <c r="AL9" s="774"/>
      <c r="AM9" s="774"/>
      <c r="AN9" s="774"/>
    </row>
    <row r="10" spans="1:40" ht="18" customHeight="1">
      <c r="A10" s="15"/>
      <c r="B10" s="205" t="s">
        <v>454</v>
      </c>
      <c r="C10" s="775">
        <v>2.2799999999999998</v>
      </c>
      <c r="D10" s="775">
        <v>0.96</v>
      </c>
      <c r="E10" s="1010">
        <v>0.96</v>
      </c>
      <c r="F10" s="1340"/>
      <c r="G10" s="1239"/>
      <c r="H10" s="1229"/>
      <c r="I10" s="1229"/>
      <c r="J10" s="1229"/>
      <c r="K10" s="1229"/>
      <c r="L10" s="1229"/>
      <c r="M10" s="1229"/>
      <c r="N10" s="1229"/>
      <c r="O10" s="1241"/>
      <c r="P10" s="180">
        <f>P9/F9</f>
        <v>3.99</v>
      </c>
      <c r="Q10" s="183">
        <f>Q9/F9</f>
        <v>5.13</v>
      </c>
      <c r="R10" s="182">
        <f>R9/F9</f>
        <v>7.05</v>
      </c>
      <c r="S10" s="180">
        <f>S9/F9</f>
        <v>3.7107000000000001</v>
      </c>
      <c r="T10" s="183">
        <f>T9/F9</f>
        <v>4.7709000000000001</v>
      </c>
      <c r="U10" s="182">
        <f>U9/F9</f>
        <v>6.5564999999999998</v>
      </c>
      <c r="V10" s="181">
        <f>V9/F9</f>
        <v>3.4314</v>
      </c>
      <c r="W10" s="183">
        <f>W9/F9</f>
        <v>4.4118000000000004</v>
      </c>
      <c r="X10" s="184">
        <f>X9/F9</f>
        <v>6.0629999999999997</v>
      </c>
      <c r="Y10" s="180">
        <f>Y9/F9</f>
        <v>3.3116999999999996</v>
      </c>
      <c r="Z10" s="183">
        <f>Z9/F9</f>
        <v>4.2578999999999994</v>
      </c>
      <c r="AA10" s="182">
        <f>AA9/F9</f>
        <v>5.8514999999999997</v>
      </c>
      <c r="AB10" s="181">
        <f>AB9/F9</f>
        <v>2.9925000000000002</v>
      </c>
      <c r="AC10" s="184">
        <f>AC9/F9</f>
        <v>3.8475000000000001</v>
      </c>
      <c r="AD10" s="184">
        <f>AD9/F9</f>
        <v>5.2874999999999996</v>
      </c>
      <c r="AE10" s="180">
        <f>AE9/F9</f>
        <v>2.7930000000000001</v>
      </c>
      <c r="AF10" s="184">
        <f>AF9/F9</f>
        <v>3.5909999999999997</v>
      </c>
      <c r="AG10" s="182">
        <f>AG9/F9</f>
        <v>4.9349999999999996</v>
      </c>
      <c r="AI10" s="461"/>
      <c r="AJ10" s="461"/>
      <c r="AK10" s="461"/>
      <c r="AL10" s="774"/>
      <c r="AM10" s="774"/>
      <c r="AN10" s="774"/>
    </row>
    <row r="11" spans="1:40" ht="18" customHeight="1">
      <c r="A11" s="15"/>
      <c r="B11" s="1341" t="s">
        <v>1678</v>
      </c>
      <c r="C11" s="1342"/>
      <c r="D11" s="1342"/>
      <c r="E11" s="1343"/>
      <c r="F11" s="1330">
        <v>1000</v>
      </c>
      <c r="G11" s="1332">
        <f>F11*C12</f>
        <v>2520</v>
      </c>
      <c r="H11" s="1234">
        <f>F11*D12</f>
        <v>660</v>
      </c>
      <c r="I11" s="1234">
        <f>F11*E12</f>
        <v>600</v>
      </c>
      <c r="J11" s="1234">
        <f>G11/12</f>
        <v>210</v>
      </c>
      <c r="K11" s="1234">
        <f t="shared" ref="K11" si="4">G11/12*5</f>
        <v>1050</v>
      </c>
      <c r="L11" s="1234">
        <f t="shared" ref="L11" si="5">G11/12*6</f>
        <v>1260</v>
      </c>
      <c r="M11" s="1234">
        <f t="shared" ref="M11:N11" si="6">H11</f>
        <v>660</v>
      </c>
      <c r="N11" s="1234">
        <f t="shared" si="6"/>
        <v>600</v>
      </c>
      <c r="O11" s="1326">
        <f>G11*125%</f>
        <v>3150</v>
      </c>
      <c r="P11" s="23">
        <f>J11+K11+O11</f>
        <v>4410</v>
      </c>
      <c r="Q11" s="24">
        <f>J11+K11+L11+O11</f>
        <v>5670</v>
      </c>
      <c r="R11" s="25">
        <f>J11+K11+L11+M11+N11+O11</f>
        <v>6930</v>
      </c>
      <c r="S11" s="23">
        <f>P11*$U$5</f>
        <v>4101.3</v>
      </c>
      <c r="T11" s="24">
        <f>Q11*$U$5</f>
        <v>5273.1</v>
      </c>
      <c r="U11" s="25">
        <f>R11*$U$5</f>
        <v>6444.9000000000005</v>
      </c>
      <c r="V11" s="34">
        <f t="shared" ref="V11:X11" si="7">P11*$X$5</f>
        <v>3792.6</v>
      </c>
      <c r="W11" s="24">
        <f t="shared" si="7"/>
        <v>4876.2</v>
      </c>
      <c r="X11" s="106">
        <f t="shared" si="7"/>
        <v>5959.8</v>
      </c>
      <c r="Y11" s="23">
        <f>P11*$AA$5</f>
        <v>3660.2999999999997</v>
      </c>
      <c r="Z11" s="24">
        <f>Q11*$AA$5</f>
        <v>4706.0999999999995</v>
      </c>
      <c r="AA11" s="25">
        <f>R11*$AA$5</f>
        <v>5751.9</v>
      </c>
      <c r="AB11" s="34">
        <f>P11*$AD$5</f>
        <v>3307.5</v>
      </c>
      <c r="AC11" s="106">
        <f>Q11*$AD$5</f>
        <v>4252.5</v>
      </c>
      <c r="AD11" s="106">
        <f>R11*$AD$5</f>
        <v>5197.5</v>
      </c>
      <c r="AE11" s="23">
        <f>P11*$AG$5</f>
        <v>3087</v>
      </c>
      <c r="AF11" s="106">
        <f>Q11*$AG$5</f>
        <v>3968.9999999999995</v>
      </c>
      <c r="AG11" s="25">
        <f>R11*$AG$5</f>
        <v>4851</v>
      </c>
      <c r="AI11" s="461"/>
      <c r="AJ11" s="461"/>
      <c r="AK11" s="461"/>
      <c r="AL11" s="774"/>
      <c r="AM11" s="774"/>
      <c r="AN11" s="774"/>
    </row>
    <row r="12" spans="1:40" ht="18" customHeight="1">
      <c r="A12" s="15"/>
      <c r="B12" s="417" t="s">
        <v>1679</v>
      </c>
      <c r="C12" s="775">
        <v>2.52</v>
      </c>
      <c r="D12" s="775">
        <v>0.66</v>
      </c>
      <c r="E12" s="1010">
        <v>0.6</v>
      </c>
      <c r="F12" s="1340"/>
      <c r="G12" s="1239"/>
      <c r="H12" s="1229"/>
      <c r="I12" s="1229"/>
      <c r="J12" s="1229"/>
      <c r="K12" s="1229"/>
      <c r="L12" s="1229"/>
      <c r="M12" s="1229"/>
      <c r="N12" s="1229"/>
      <c r="O12" s="1241"/>
      <c r="P12" s="180">
        <f>P11/F11</f>
        <v>4.41</v>
      </c>
      <c r="Q12" s="183">
        <f>Q11/F11</f>
        <v>5.67</v>
      </c>
      <c r="R12" s="182">
        <f>R11/F11</f>
        <v>6.93</v>
      </c>
      <c r="S12" s="180">
        <f>S11/F11</f>
        <v>4.1013000000000002</v>
      </c>
      <c r="T12" s="183">
        <f>T11/F11</f>
        <v>5.2731000000000003</v>
      </c>
      <c r="U12" s="182">
        <f>U11/F11</f>
        <v>6.4449000000000005</v>
      </c>
      <c r="V12" s="181">
        <f>V11/F11</f>
        <v>3.7925999999999997</v>
      </c>
      <c r="W12" s="183">
        <f>W11/F11</f>
        <v>4.8761999999999999</v>
      </c>
      <c r="X12" s="184">
        <f>X11/F11</f>
        <v>5.9598000000000004</v>
      </c>
      <c r="Y12" s="180">
        <f>Y11/F11</f>
        <v>3.6602999999999999</v>
      </c>
      <c r="Z12" s="183">
        <f>Z11/F11</f>
        <v>4.7060999999999993</v>
      </c>
      <c r="AA12" s="182">
        <f>AA11/F11</f>
        <v>5.7519</v>
      </c>
      <c r="AB12" s="181">
        <f>AB11/F11</f>
        <v>3.3075000000000001</v>
      </c>
      <c r="AC12" s="184">
        <f>AC11/F11</f>
        <v>4.2525000000000004</v>
      </c>
      <c r="AD12" s="184">
        <f>AD11/F11</f>
        <v>5.1974999999999998</v>
      </c>
      <c r="AE12" s="180">
        <f>AE11/F11</f>
        <v>3.0870000000000002</v>
      </c>
      <c r="AF12" s="184">
        <f>AF11/F11</f>
        <v>3.9689999999999994</v>
      </c>
      <c r="AG12" s="182">
        <f>AG11/F11</f>
        <v>4.851</v>
      </c>
      <c r="AI12" s="461"/>
      <c r="AJ12" s="461"/>
      <c r="AK12" s="461"/>
      <c r="AL12" s="774"/>
      <c r="AM12" s="774"/>
      <c r="AN12" s="774"/>
    </row>
    <row r="13" spans="1:40" ht="18" customHeight="1">
      <c r="A13" s="15"/>
      <c r="B13" s="1341" t="s">
        <v>1680</v>
      </c>
      <c r="C13" s="1342"/>
      <c r="D13" s="1342"/>
      <c r="E13" s="1343"/>
      <c r="F13" s="1330">
        <v>1000</v>
      </c>
      <c r="G13" s="1332">
        <f>F13*C14</f>
        <v>2280</v>
      </c>
      <c r="H13" s="1234">
        <f>F13*D14</f>
        <v>900</v>
      </c>
      <c r="I13" s="1234">
        <f>F13*E14</f>
        <v>840</v>
      </c>
      <c r="J13" s="1234">
        <f>G13/12</f>
        <v>190</v>
      </c>
      <c r="K13" s="1234">
        <f t="shared" ref="K13" si="8">G13/12*5</f>
        <v>950</v>
      </c>
      <c r="L13" s="1234">
        <f t="shared" ref="L13" si="9">G13/12*6</f>
        <v>1140</v>
      </c>
      <c r="M13" s="1234">
        <f t="shared" ref="M13:N13" si="10">H13</f>
        <v>900</v>
      </c>
      <c r="N13" s="1234">
        <f t="shared" si="10"/>
        <v>840</v>
      </c>
      <c r="O13" s="1326">
        <f>G13*125%</f>
        <v>2850</v>
      </c>
      <c r="P13" s="23">
        <f>J13+K13+O13</f>
        <v>3990</v>
      </c>
      <c r="Q13" s="24">
        <f>J13+K13+L13+O13</f>
        <v>5130</v>
      </c>
      <c r="R13" s="25">
        <f>J13+K13+L13+M13+N13+O13</f>
        <v>6870</v>
      </c>
      <c r="S13" s="23">
        <f>P13*$U$5</f>
        <v>3710.7000000000003</v>
      </c>
      <c r="T13" s="24">
        <f>Q13*$U$5</f>
        <v>4770.9000000000005</v>
      </c>
      <c r="U13" s="25">
        <f>R13*$U$5</f>
        <v>6389.1</v>
      </c>
      <c r="V13" s="34">
        <f t="shared" ref="V13:X13" si="11">P13*$X$5</f>
        <v>3431.4</v>
      </c>
      <c r="W13" s="24">
        <f t="shared" si="11"/>
        <v>4411.8</v>
      </c>
      <c r="X13" s="106">
        <f t="shared" si="11"/>
        <v>5908.2</v>
      </c>
      <c r="Y13" s="23">
        <f>P13*$AA$5</f>
        <v>3311.7</v>
      </c>
      <c r="Z13" s="24">
        <f>Q13*$AA$5</f>
        <v>4257.8999999999996</v>
      </c>
      <c r="AA13" s="25">
        <f>R13*$AA$5</f>
        <v>5702.0999999999995</v>
      </c>
      <c r="AB13" s="34">
        <f>P13*$AD$5</f>
        <v>2992.5</v>
      </c>
      <c r="AC13" s="24">
        <f>Q13*$AD$5</f>
        <v>3847.5</v>
      </c>
      <c r="AD13" s="106">
        <f>R13*$AD$5</f>
        <v>5152.5</v>
      </c>
      <c r="AE13" s="23">
        <f>P13*$AG$5</f>
        <v>2793</v>
      </c>
      <c r="AF13" s="24">
        <f>Q13*$AG$5</f>
        <v>3590.9999999999995</v>
      </c>
      <c r="AG13" s="25">
        <f>R13*$AG$5</f>
        <v>4809</v>
      </c>
      <c r="AI13" s="461"/>
      <c r="AJ13" s="461"/>
      <c r="AK13" s="461"/>
      <c r="AL13" s="774"/>
      <c r="AM13" s="774"/>
      <c r="AN13" s="774"/>
    </row>
    <row r="14" spans="1:40" ht="18" customHeight="1">
      <c r="A14" s="15"/>
      <c r="B14" s="205" t="s">
        <v>1676</v>
      </c>
      <c r="C14" s="775">
        <v>2.2799999999999998</v>
      </c>
      <c r="D14" s="775">
        <v>0.9</v>
      </c>
      <c r="E14" s="1010">
        <v>0.84</v>
      </c>
      <c r="F14" s="1340"/>
      <c r="G14" s="1239"/>
      <c r="H14" s="1229"/>
      <c r="I14" s="1229"/>
      <c r="J14" s="1229"/>
      <c r="K14" s="1229"/>
      <c r="L14" s="1229"/>
      <c r="M14" s="1229"/>
      <c r="N14" s="1229"/>
      <c r="O14" s="1241"/>
      <c r="P14" s="180">
        <f>P13/F13</f>
        <v>3.99</v>
      </c>
      <c r="Q14" s="183">
        <f>Q13/F13</f>
        <v>5.13</v>
      </c>
      <c r="R14" s="182">
        <f>R13/F13</f>
        <v>6.87</v>
      </c>
      <c r="S14" s="180">
        <f>S13/F13</f>
        <v>3.7107000000000001</v>
      </c>
      <c r="T14" s="183">
        <f>T13/F13</f>
        <v>4.7709000000000001</v>
      </c>
      <c r="U14" s="182">
        <f>U13/F13</f>
        <v>6.3891</v>
      </c>
      <c r="V14" s="181">
        <f>V13/F13</f>
        <v>3.4314</v>
      </c>
      <c r="W14" s="183">
        <f>W13/F13</f>
        <v>4.4118000000000004</v>
      </c>
      <c r="X14" s="184">
        <f>X13/F13</f>
        <v>5.9081999999999999</v>
      </c>
      <c r="Y14" s="180">
        <f>Y13/F13</f>
        <v>3.3116999999999996</v>
      </c>
      <c r="Z14" s="183">
        <f>Z13/F13</f>
        <v>4.2578999999999994</v>
      </c>
      <c r="AA14" s="182">
        <f>AA13/F13</f>
        <v>5.7020999999999997</v>
      </c>
      <c r="AB14" s="181">
        <f>AB13/F13</f>
        <v>2.9925000000000002</v>
      </c>
      <c r="AC14" s="183">
        <f>AC13/F13</f>
        <v>3.8475000000000001</v>
      </c>
      <c r="AD14" s="184">
        <f>AD13/F13</f>
        <v>5.1524999999999999</v>
      </c>
      <c r="AE14" s="180">
        <f>AE13/F13</f>
        <v>2.7930000000000001</v>
      </c>
      <c r="AF14" s="183">
        <f>AF13/F13</f>
        <v>3.5909999999999997</v>
      </c>
      <c r="AG14" s="182">
        <f>AG13/F13</f>
        <v>4.8090000000000002</v>
      </c>
      <c r="AI14" s="461"/>
      <c r="AJ14" s="461"/>
      <c r="AK14" s="461"/>
      <c r="AL14" s="774"/>
      <c r="AM14" s="774"/>
      <c r="AN14" s="774"/>
    </row>
    <row r="15" spans="1:40" ht="18" customHeight="1">
      <c r="A15" s="15"/>
      <c r="B15" s="1337" t="s">
        <v>1681</v>
      </c>
      <c r="C15" s="1338"/>
      <c r="D15" s="1338"/>
      <c r="E15" s="1339"/>
      <c r="F15" s="1330">
        <v>1000</v>
      </c>
      <c r="G15" s="1332">
        <f>F15*C16</f>
        <v>5880</v>
      </c>
      <c r="H15" s="1234">
        <f>F15*D16</f>
        <v>2460</v>
      </c>
      <c r="I15" s="1234">
        <f>F15*E16</f>
        <v>2460</v>
      </c>
      <c r="J15" s="1234">
        <f>G15/12</f>
        <v>490</v>
      </c>
      <c r="K15" s="1234">
        <f t="shared" ref="K15" si="12">G15/12*5</f>
        <v>2450</v>
      </c>
      <c r="L15" s="1234">
        <f t="shared" ref="L15" si="13">G15/12*6</f>
        <v>2940</v>
      </c>
      <c r="M15" s="1234">
        <f t="shared" ref="M15:N15" si="14">H15</f>
        <v>2460</v>
      </c>
      <c r="N15" s="1234">
        <f t="shared" si="14"/>
        <v>2460</v>
      </c>
      <c r="O15" s="1326">
        <f>G15*135%</f>
        <v>7938.0000000000009</v>
      </c>
      <c r="P15" s="23">
        <f>J15+K15+O15</f>
        <v>10878</v>
      </c>
      <c r="Q15" s="24">
        <f>J15+K15+L15+O15</f>
        <v>13818</v>
      </c>
      <c r="R15" s="25">
        <f>J15+K15+L15+M15+N15+O15</f>
        <v>18738</v>
      </c>
      <c r="S15" s="23">
        <f>P15*$U$5</f>
        <v>10116.540000000001</v>
      </c>
      <c r="T15" s="24">
        <f>Q15*$U$5</f>
        <v>12850.74</v>
      </c>
      <c r="U15" s="25">
        <f>R15*$U$5</f>
        <v>17426.34</v>
      </c>
      <c r="V15" s="34">
        <f t="shared" ref="V15:X15" si="15">P15*$X$5</f>
        <v>9355.08</v>
      </c>
      <c r="W15" s="24">
        <f t="shared" si="15"/>
        <v>11883.48</v>
      </c>
      <c r="X15" s="106">
        <f t="shared" si="15"/>
        <v>16114.68</v>
      </c>
      <c r="Y15" s="23">
        <f>P15*$AA$5</f>
        <v>9028.74</v>
      </c>
      <c r="Z15" s="24">
        <f>Q15*$AA$5</f>
        <v>11468.939999999999</v>
      </c>
      <c r="AA15" s="25">
        <f>R15*$AA$5</f>
        <v>15552.539999999999</v>
      </c>
      <c r="AB15" s="34">
        <f>P15*$AD$5</f>
        <v>8158.5</v>
      </c>
      <c r="AC15" s="106">
        <f>Q15*$AD$5</f>
        <v>10363.5</v>
      </c>
      <c r="AD15" s="106">
        <f>R15*$AD$5</f>
        <v>14053.5</v>
      </c>
      <c r="AE15" s="23">
        <f>P15*$AG$5</f>
        <v>7614.5999999999995</v>
      </c>
      <c r="AF15" s="106">
        <f>Q15*$AG$5</f>
        <v>9672.5999999999985</v>
      </c>
      <c r="AG15" s="25">
        <f>R15*$AG$5</f>
        <v>13116.599999999999</v>
      </c>
      <c r="AI15" s="461"/>
      <c r="AJ15" s="461"/>
      <c r="AK15" s="461"/>
      <c r="AL15" s="774"/>
      <c r="AM15" s="774"/>
      <c r="AN15" s="774"/>
    </row>
    <row r="16" spans="1:40" ht="18" customHeight="1">
      <c r="A16" s="15"/>
      <c r="B16" s="776" t="s">
        <v>1682</v>
      </c>
      <c r="C16" s="777">
        <v>5.88</v>
      </c>
      <c r="D16" s="777">
        <v>2.46</v>
      </c>
      <c r="E16" s="778">
        <v>2.46</v>
      </c>
      <c r="F16" s="1340"/>
      <c r="G16" s="1239"/>
      <c r="H16" s="1229"/>
      <c r="I16" s="1229"/>
      <c r="J16" s="1229"/>
      <c r="K16" s="1229"/>
      <c r="L16" s="1229"/>
      <c r="M16" s="1229"/>
      <c r="N16" s="1229"/>
      <c r="O16" s="1241"/>
      <c r="P16" s="180">
        <f>P15/F15</f>
        <v>10.878</v>
      </c>
      <c r="Q16" s="183">
        <f>Q15/F15</f>
        <v>13.818</v>
      </c>
      <c r="R16" s="182">
        <f>R15/F15</f>
        <v>18.738</v>
      </c>
      <c r="S16" s="180">
        <f>S15/F15</f>
        <v>10.116540000000001</v>
      </c>
      <c r="T16" s="183">
        <f>T15/F15</f>
        <v>12.85074</v>
      </c>
      <c r="U16" s="182">
        <f>U15/F15</f>
        <v>17.42634</v>
      </c>
      <c r="V16" s="181">
        <f>V15/F15</f>
        <v>9.3550799999999992</v>
      </c>
      <c r="W16" s="183">
        <f>W15/F15</f>
        <v>11.883479999999999</v>
      </c>
      <c r="X16" s="184">
        <f>X15/F15</f>
        <v>16.11468</v>
      </c>
      <c r="Y16" s="180">
        <f>Y15/F15</f>
        <v>9.0287399999999991</v>
      </c>
      <c r="Z16" s="183">
        <f>Z15/F15</f>
        <v>11.468939999999998</v>
      </c>
      <c r="AA16" s="182">
        <f>AA15/F15</f>
        <v>15.552539999999999</v>
      </c>
      <c r="AB16" s="181">
        <f>AB15/F15</f>
        <v>8.1585000000000001</v>
      </c>
      <c r="AC16" s="184">
        <f>AC15/F15</f>
        <v>10.3635</v>
      </c>
      <c r="AD16" s="184">
        <f>AD15/F15</f>
        <v>14.0535</v>
      </c>
      <c r="AE16" s="180">
        <f>AE15/F15</f>
        <v>7.6145999999999994</v>
      </c>
      <c r="AF16" s="184">
        <f>AF15/F15</f>
        <v>9.6725999999999992</v>
      </c>
      <c r="AG16" s="182">
        <f>AG15/F15</f>
        <v>13.116599999999998</v>
      </c>
      <c r="AI16" s="461"/>
      <c r="AJ16" s="461"/>
      <c r="AK16" s="461"/>
      <c r="AL16" s="774"/>
      <c r="AM16" s="774"/>
      <c r="AN16" s="774"/>
    </row>
    <row r="17" spans="1:40" ht="18" customHeight="1">
      <c r="A17" s="15"/>
      <c r="B17" s="1327" t="s">
        <v>1683</v>
      </c>
      <c r="C17" s="1328"/>
      <c r="D17" s="1328"/>
      <c r="E17" s="1329"/>
      <c r="F17" s="1330">
        <v>1000</v>
      </c>
      <c r="G17" s="1332">
        <f>F17*C18</f>
        <v>5160</v>
      </c>
      <c r="H17" s="1234">
        <f>F17*D18</f>
        <v>780</v>
      </c>
      <c r="I17" s="1234">
        <f>F17*E18</f>
        <v>780</v>
      </c>
      <c r="J17" s="1234">
        <f>G17/12</f>
        <v>430</v>
      </c>
      <c r="K17" s="1234">
        <f t="shared" ref="K17" si="16">G17/12*5</f>
        <v>2150</v>
      </c>
      <c r="L17" s="1234">
        <f t="shared" ref="L17" si="17">G17/12*6</f>
        <v>2580</v>
      </c>
      <c r="M17" s="1234">
        <f t="shared" ref="M17:N17" si="18">H17</f>
        <v>780</v>
      </c>
      <c r="N17" s="1234">
        <f t="shared" si="18"/>
        <v>780</v>
      </c>
      <c r="O17" s="1326">
        <f>G17*135%</f>
        <v>6966.0000000000009</v>
      </c>
      <c r="P17" s="23">
        <f>J17+K17+O17</f>
        <v>9546</v>
      </c>
      <c r="Q17" s="24">
        <f>J17+K17+L17+O17</f>
        <v>12126</v>
      </c>
      <c r="R17" s="25">
        <f>J17+K17+L17+M17+N17+O17</f>
        <v>13686</v>
      </c>
      <c r="S17" s="23">
        <f>P17*$U$5</f>
        <v>8877.7800000000007</v>
      </c>
      <c r="T17" s="24">
        <f>Q17*$U$5</f>
        <v>11277.18</v>
      </c>
      <c r="U17" s="25">
        <f>R17*$U$5</f>
        <v>12727.980000000001</v>
      </c>
      <c r="V17" s="34">
        <f t="shared" ref="V17:X17" si="19">P17*$X$5</f>
        <v>8209.56</v>
      </c>
      <c r="W17" s="24">
        <f t="shared" si="19"/>
        <v>10428.36</v>
      </c>
      <c r="X17" s="106">
        <f t="shared" si="19"/>
        <v>11769.96</v>
      </c>
      <c r="Y17" s="23">
        <f>P17*$AA$5</f>
        <v>7923.1799999999994</v>
      </c>
      <c r="Z17" s="24">
        <f>Q17*$AA$5</f>
        <v>10064.58</v>
      </c>
      <c r="AA17" s="25">
        <f>R17*$AA$5</f>
        <v>11359.38</v>
      </c>
      <c r="AB17" s="34">
        <f>P17*$AD$5</f>
        <v>7159.5</v>
      </c>
      <c r="AC17" s="106">
        <f>Q17*$AD$5</f>
        <v>9094.5</v>
      </c>
      <c r="AD17" s="106">
        <f>R17*$AD$5</f>
        <v>10264.5</v>
      </c>
      <c r="AE17" s="23">
        <f>P17*$AG$5</f>
        <v>6682.2</v>
      </c>
      <c r="AF17" s="106">
        <f>Q17*$AG$5</f>
        <v>8488.1999999999989</v>
      </c>
      <c r="AG17" s="25">
        <f>R17*$AG$5</f>
        <v>9580.1999999999989</v>
      </c>
      <c r="AI17" s="461"/>
      <c r="AJ17" s="461"/>
      <c r="AK17" s="461"/>
      <c r="AL17" s="774"/>
      <c r="AM17" s="774"/>
      <c r="AN17" s="774"/>
    </row>
    <row r="18" spans="1:40" ht="18" customHeight="1" thickBot="1">
      <c r="A18" s="15"/>
      <c r="B18" s="546" t="s">
        <v>1682</v>
      </c>
      <c r="C18" s="779">
        <v>5.16</v>
      </c>
      <c r="D18" s="779">
        <v>0.78</v>
      </c>
      <c r="E18" s="1013">
        <v>0.78</v>
      </c>
      <c r="F18" s="1331"/>
      <c r="G18" s="1245"/>
      <c r="H18" s="1247"/>
      <c r="I18" s="1247"/>
      <c r="J18" s="1247"/>
      <c r="K18" s="1247"/>
      <c r="L18" s="1247"/>
      <c r="M18" s="1247"/>
      <c r="N18" s="1247"/>
      <c r="O18" s="1249"/>
      <c r="P18" s="170">
        <f>P17/F17</f>
        <v>9.5459999999999994</v>
      </c>
      <c r="Q18" s="171">
        <f>Q17/F17</f>
        <v>12.125999999999999</v>
      </c>
      <c r="R18" s="172">
        <f>R17/F17</f>
        <v>13.686</v>
      </c>
      <c r="S18" s="170">
        <f>S17/F17</f>
        <v>8.8777800000000013</v>
      </c>
      <c r="T18" s="171">
        <f>T17/F17</f>
        <v>11.27718</v>
      </c>
      <c r="U18" s="172">
        <f>U17/F17</f>
        <v>12.727980000000001</v>
      </c>
      <c r="V18" s="186">
        <f>V17/F17</f>
        <v>8.2095599999999997</v>
      </c>
      <c r="W18" s="171">
        <f>W17/F17</f>
        <v>10.428360000000001</v>
      </c>
      <c r="X18" s="187">
        <f>X17/F17</f>
        <v>11.769959999999999</v>
      </c>
      <c r="Y18" s="170">
        <f>Y17/F17</f>
        <v>7.9231799999999994</v>
      </c>
      <c r="Z18" s="171">
        <f>Z17/F17</f>
        <v>10.064579999999999</v>
      </c>
      <c r="AA18" s="172">
        <f>AA17/F17</f>
        <v>11.35938</v>
      </c>
      <c r="AB18" s="186">
        <f>AB17/F17</f>
        <v>7.1595000000000004</v>
      </c>
      <c r="AC18" s="187">
        <f>AC17/F17</f>
        <v>9.0945</v>
      </c>
      <c r="AD18" s="187">
        <f>AD17/F17</f>
        <v>10.2645</v>
      </c>
      <c r="AE18" s="170">
        <f>AE17/F17</f>
        <v>6.6821999999999999</v>
      </c>
      <c r="AF18" s="187">
        <f>AF17/F17</f>
        <v>8.4881999999999991</v>
      </c>
      <c r="AG18" s="172">
        <f>AG17/F17</f>
        <v>9.5801999999999996</v>
      </c>
      <c r="AI18" s="461"/>
      <c r="AJ18" s="461"/>
      <c r="AK18" s="461"/>
      <c r="AL18" s="774"/>
      <c r="AM18" s="774"/>
      <c r="AN18" s="774"/>
    </row>
    <row r="19" spans="1:40" ht="18" customHeight="1">
      <c r="A19" s="15"/>
      <c r="B19" s="1333" t="s">
        <v>1684</v>
      </c>
      <c r="C19" s="1334"/>
      <c r="D19" s="1334"/>
      <c r="E19" s="1335"/>
      <c r="F19" s="1336">
        <v>100000</v>
      </c>
      <c r="G19" s="1238">
        <f>F19*C20</f>
        <v>3000</v>
      </c>
      <c r="H19" s="1228">
        <f>F19*D20</f>
        <v>0</v>
      </c>
      <c r="I19" s="1228">
        <f>F19*E20</f>
        <v>0</v>
      </c>
      <c r="J19" s="1228">
        <f>G19</f>
        <v>3000</v>
      </c>
      <c r="K19" s="1228"/>
      <c r="L19" s="1228"/>
      <c r="M19" s="1228"/>
      <c r="N19" s="1228"/>
      <c r="O19" s="1240">
        <f>(G19*0.1)*125%</f>
        <v>375</v>
      </c>
      <c r="P19" s="23">
        <f>J19+K19+O19</f>
        <v>3375</v>
      </c>
      <c r="Q19" s="24">
        <f>J19+K19+L19+O19</f>
        <v>3375</v>
      </c>
      <c r="R19" s="25">
        <f>J19+K19+L19+M19+N19+O19</f>
        <v>3375</v>
      </c>
      <c r="S19" s="23">
        <f>P19*$U$5</f>
        <v>3138.75</v>
      </c>
      <c r="T19" s="24">
        <f>Q19*$U$5</f>
        <v>3138.75</v>
      </c>
      <c r="U19" s="25">
        <f>R19*$U$5</f>
        <v>3138.75</v>
      </c>
      <c r="V19" s="34">
        <f t="shared" ref="V19:X19" si="20">P19*$X$5</f>
        <v>2902.5</v>
      </c>
      <c r="W19" s="24">
        <f t="shared" si="20"/>
        <v>2902.5</v>
      </c>
      <c r="X19" s="106">
        <f t="shared" si="20"/>
        <v>2902.5</v>
      </c>
      <c r="Y19" s="23">
        <f>P19*$AA$5</f>
        <v>2801.25</v>
      </c>
      <c r="Z19" s="24">
        <f>Q19*$AA$5</f>
        <v>2801.25</v>
      </c>
      <c r="AA19" s="25">
        <f>R19*$AA$5</f>
        <v>2801.25</v>
      </c>
      <c r="AB19" s="34">
        <f>P19*$AD$5</f>
        <v>2531.25</v>
      </c>
      <c r="AC19" s="106">
        <f>Q19*$AD$5</f>
        <v>2531.25</v>
      </c>
      <c r="AD19" s="106">
        <f>R19*$AD$5</f>
        <v>2531.25</v>
      </c>
      <c r="AE19" s="23">
        <f>P19*$AG$5</f>
        <v>2362.5</v>
      </c>
      <c r="AF19" s="106">
        <f>Q19*$AG$5</f>
        <v>2362.5</v>
      </c>
      <c r="AG19" s="25">
        <f>R19*$AG$5</f>
        <v>2362.5</v>
      </c>
      <c r="AI19" s="461"/>
      <c r="AJ19" s="461"/>
      <c r="AK19" s="461"/>
      <c r="AL19" s="774"/>
      <c r="AM19" s="774"/>
      <c r="AN19" s="774"/>
    </row>
    <row r="20" spans="1:40" ht="18" customHeight="1" thickBot="1">
      <c r="A20" s="15"/>
      <c r="B20" s="421" t="s">
        <v>1685</v>
      </c>
      <c r="C20" s="779">
        <v>0.03</v>
      </c>
      <c r="D20" s="779"/>
      <c r="E20" s="1013"/>
      <c r="F20" s="1331"/>
      <c r="G20" s="1245"/>
      <c r="H20" s="1247"/>
      <c r="I20" s="1247"/>
      <c r="J20" s="1247"/>
      <c r="K20" s="1247"/>
      <c r="L20" s="1247"/>
      <c r="M20" s="1247"/>
      <c r="N20" s="1247"/>
      <c r="O20" s="1249"/>
      <c r="P20" s="170">
        <f>P19/F19</f>
        <v>3.3750000000000002E-2</v>
      </c>
      <c r="Q20" s="171">
        <f>Q19/F19</f>
        <v>3.3750000000000002E-2</v>
      </c>
      <c r="R20" s="172">
        <f>R19/F19</f>
        <v>3.3750000000000002E-2</v>
      </c>
      <c r="S20" s="170">
        <f>S19/F19</f>
        <v>3.1387499999999999E-2</v>
      </c>
      <c r="T20" s="171">
        <f>T19/F19</f>
        <v>3.1387499999999999E-2</v>
      </c>
      <c r="U20" s="172">
        <f>U19/F19</f>
        <v>3.1387499999999999E-2</v>
      </c>
      <c r="V20" s="186">
        <f>V19/F19</f>
        <v>2.9024999999999999E-2</v>
      </c>
      <c r="W20" s="171">
        <f>W19/F19</f>
        <v>2.9024999999999999E-2</v>
      </c>
      <c r="X20" s="187">
        <f>X19/F19</f>
        <v>2.9024999999999999E-2</v>
      </c>
      <c r="Y20" s="170">
        <f>Y19/F19</f>
        <v>2.8012499999999999E-2</v>
      </c>
      <c r="Z20" s="171">
        <f>Z19/F19</f>
        <v>2.8012499999999999E-2</v>
      </c>
      <c r="AA20" s="172">
        <f>AA19/F19</f>
        <v>2.8012499999999999E-2</v>
      </c>
      <c r="AB20" s="186">
        <f>AB19/F19</f>
        <v>2.5312500000000002E-2</v>
      </c>
      <c r="AC20" s="187">
        <f>AC19/F19</f>
        <v>2.5312500000000002E-2</v>
      </c>
      <c r="AD20" s="187">
        <f>AD19/F19</f>
        <v>2.5312500000000002E-2</v>
      </c>
      <c r="AE20" s="170">
        <f>AE19/F19</f>
        <v>2.3625E-2</v>
      </c>
      <c r="AF20" s="187">
        <f>AF19/F19</f>
        <v>2.3625E-2</v>
      </c>
      <c r="AG20" s="172">
        <f>AG19/F19</f>
        <v>2.3625E-2</v>
      </c>
      <c r="AI20" s="461"/>
      <c r="AJ20" s="461"/>
      <c r="AK20" s="461"/>
      <c r="AL20" s="774"/>
      <c r="AM20" s="774"/>
      <c r="AN20" s="774"/>
    </row>
    <row r="21" spans="1:40" ht="18" customHeight="1">
      <c r="A21" s="15"/>
      <c r="B21" s="206"/>
      <c r="C21" s="780"/>
      <c r="D21" s="780"/>
      <c r="E21" s="26"/>
      <c r="F21" s="26" t="s">
        <v>1686</v>
      </c>
      <c r="G21" s="26"/>
      <c r="H21" s="26"/>
      <c r="I21" s="27"/>
      <c r="J21" s="27"/>
      <c r="K21" s="27"/>
      <c r="L21" s="27"/>
      <c r="M21" s="27"/>
      <c r="N21" s="27"/>
      <c r="O21" s="27"/>
      <c r="P21" s="27"/>
      <c r="Q21" s="27"/>
      <c r="R21" s="27"/>
      <c r="S21" s="27"/>
      <c r="T21" s="27"/>
      <c r="U21" s="27"/>
      <c r="V21" s="27"/>
      <c r="W21" s="27"/>
      <c r="X21" s="27"/>
      <c r="Y21" s="27"/>
      <c r="Z21" s="27"/>
      <c r="AA21" s="27"/>
      <c r="AB21" s="27"/>
      <c r="AC21" s="27"/>
      <c r="AD21" s="27"/>
      <c r="AE21" s="27"/>
      <c r="AF21" s="27"/>
      <c r="AI21" s="461"/>
      <c r="AJ21" s="461"/>
      <c r="AK21" s="461"/>
    </row>
    <row r="22" spans="1:40" ht="18" customHeight="1">
      <c r="A22" s="15"/>
      <c r="B22" s="206"/>
      <c r="C22" s="780"/>
      <c r="D22" s="780"/>
      <c r="E22" s="26"/>
      <c r="F22" s="26"/>
      <c r="G22" s="26"/>
      <c r="H22" s="26"/>
      <c r="I22" s="27"/>
      <c r="J22" s="27"/>
      <c r="K22" s="27"/>
      <c r="L22" s="27"/>
      <c r="M22" s="27"/>
      <c r="N22" s="27"/>
      <c r="O22" s="27"/>
      <c r="P22" s="27"/>
      <c r="Q22" s="27"/>
      <c r="R22" s="27"/>
      <c r="S22" s="27"/>
      <c r="T22" s="27"/>
      <c r="U22" s="27"/>
      <c r="V22" s="27"/>
      <c r="W22" s="27"/>
      <c r="X22" s="27"/>
      <c r="Y22" s="27"/>
      <c r="Z22" s="27"/>
      <c r="AA22" s="27"/>
      <c r="AB22" s="27"/>
      <c r="AC22" s="27"/>
      <c r="AD22" s="27"/>
      <c r="AE22" s="27"/>
      <c r="AF22" s="27"/>
      <c r="AI22" s="461"/>
      <c r="AJ22" s="461"/>
      <c r="AK22" s="461"/>
    </row>
    <row r="23" spans="1:40" ht="18" customHeight="1">
      <c r="A23" s="15"/>
      <c r="B23" s="781" t="s">
        <v>1687</v>
      </c>
      <c r="C23" s="782"/>
      <c r="D23" s="782"/>
      <c r="E23" s="71"/>
      <c r="F23" s="71"/>
      <c r="G23" s="71"/>
      <c r="H23" s="71"/>
      <c r="I23" s="71"/>
      <c r="J23" s="71"/>
      <c r="K23" s="71"/>
      <c r="L23" s="71"/>
      <c r="M23" s="71"/>
      <c r="N23" s="71"/>
      <c r="O23" s="15"/>
      <c r="P23" s="15"/>
      <c r="Q23" s="15"/>
      <c r="R23" s="15"/>
      <c r="S23" s="15"/>
      <c r="T23" s="15"/>
      <c r="U23" s="15"/>
      <c r="V23" s="15"/>
      <c r="W23" s="15"/>
      <c r="X23" s="15"/>
      <c r="Y23" s="15"/>
      <c r="Z23" s="15"/>
      <c r="AA23" s="15"/>
      <c r="AB23" s="15"/>
      <c r="AC23" s="15"/>
      <c r="AD23" s="15"/>
      <c r="AE23" s="56"/>
      <c r="AF23" s="56"/>
      <c r="AG23" s="15"/>
    </row>
    <row r="24" spans="1:40">
      <c r="A24" s="15"/>
      <c r="B24" s="783" t="s">
        <v>1688</v>
      </c>
      <c r="C24" s="782"/>
      <c r="D24" s="782"/>
      <c r="E24" s="71"/>
      <c r="F24" s="71"/>
      <c r="G24" s="71"/>
      <c r="H24" s="71"/>
      <c r="I24" s="71"/>
      <c r="J24" s="71"/>
      <c r="K24" s="71"/>
      <c r="L24" s="71"/>
      <c r="M24" s="71"/>
      <c r="N24" s="71"/>
      <c r="O24" s="15"/>
      <c r="P24" s="15"/>
      <c r="Q24" s="15"/>
      <c r="R24" s="15"/>
      <c r="S24" s="15"/>
      <c r="T24" s="15"/>
      <c r="U24" s="15"/>
      <c r="V24" s="15"/>
      <c r="W24" s="15"/>
      <c r="X24" s="15"/>
      <c r="Y24" s="15"/>
      <c r="Z24" s="15"/>
      <c r="AA24" s="15"/>
      <c r="AB24" s="15"/>
      <c r="AC24" s="15"/>
      <c r="AD24" s="15"/>
      <c r="AE24" s="56"/>
      <c r="AF24" s="56"/>
      <c r="AG24" s="15"/>
    </row>
    <row r="25" spans="1:40">
      <c r="B25" s="784" t="s">
        <v>1689</v>
      </c>
    </row>
    <row r="26" spans="1:40">
      <c r="A26" s="15"/>
      <c r="B26" s="786" t="s">
        <v>1690</v>
      </c>
      <c r="C26" s="787"/>
      <c r="D26" s="787"/>
      <c r="E26" s="156"/>
      <c r="F26" s="156"/>
      <c r="G26" s="156"/>
      <c r="H26" s="156"/>
      <c r="I26" s="156"/>
      <c r="J26" s="156"/>
      <c r="K26" s="156"/>
      <c r="L26" s="156"/>
      <c r="M26" s="156"/>
      <c r="N26" s="156"/>
      <c r="O26" s="156"/>
      <c r="P26" s="156"/>
      <c r="Q26" s="156"/>
      <c r="R26" s="156"/>
      <c r="S26" s="156"/>
      <c r="T26" s="156"/>
      <c r="U26" s="156"/>
      <c r="V26" s="156"/>
      <c r="W26" s="156"/>
      <c r="X26" s="156"/>
      <c r="Y26" s="156"/>
      <c r="Z26" s="156"/>
      <c r="AA26" s="156"/>
      <c r="AB26" s="156"/>
      <c r="AC26" s="156"/>
      <c r="AD26" s="156"/>
      <c r="AE26" s="156"/>
      <c r="AF26" s="156"/>
      <c r="AG26" s="156"/>
    </row>
    <row r="27" spans="1:40" s="157" customFormat="1">
      <c r="A27" s="16"/>
      <c r="B27" s="788" t="s">
        <v>1691</v>
      </c>
      <c r="C27" s="789"/>
      <c r="D27" s="789"/>
      <c r="E27" s="16"/>
      <c r="F27" s="16"/>
      <c r="G27" s="16"/>
      <c r="H27" s="16"/>
      <c r="I27" s="16"/>
      <c r="J27" s="16"/>
      <c r="K27" s="16"/>
      <c r="L27" s="16"/>
      <c r="M27" s="16"/>
      <c r="N27" s="16"/>
      <c r="O27" s="16"/>
      <c r="P27" s="16"/>
      <c r="Q27" s="16"/>
      <c r="R27" s="16"/>
      <c r="S27" s="16"/>
      <c r="T27" s="16"/>
      <c r="U27" s="16"/>
      <c r="V27" s="16"/>
      <c r="W27" s="16"/>
      <c r="X27" s="16"/>
      <c r="Y27" s="16"/>
      <c r="Z27" s="16"/>
      <c r="AA27" s="16"/>
      <c r="AB27" s="16"/>
      <c r="AC27" s="16"/>
      <c r="AD27" s="16"/>
      <c r="AE27" s="16"/>
      <c r="AF27" s="16"/>
      <c r="AG27" s="16"/>
    </row>
    <row r="28" spans="1:40" s="157" customFormat="1">
      <c r="A28" s="16"/>
      <c r="B28" s="788" t="s">
        <v>1692</v>
      </c>
      <c r="C28" s="789"/>
      <c r="D28" s="789"/>
      <c r="E28" s="16"/>
      <c r="F28" s="16"/>
      <c r="G28" s="16"/>
      <c r="H28" s="16"/>
      <c r="I28" s="16"/>
      <c r="J28" s="16"/>
      <c r="K28" s="16"/>
      <c r="L28" s="16"/>
      <c r="M28" s="16"/>
      <c r="N28" s="16"/>
      <c r="O28" s="16"/>
      <c r="P28" s="16"/>
      <c r="Q28" s="16"/>
      <c r="R28" s="16"/>
      <c r="S28" s="16"/>
      <c r="T28" s="16"/>
      <c r="U28" s="16"/>
      <c r="V28" s="16"/>
      <c r="W28" s="16"/>
      <c r="X28" s="16"/>
      <c r="Y28" s="16"/>
      <c r="Z28" s="16"/>
      <c r="AA28" s="16"/>
      <c r="AB28" s="16"/>
      <c r="AC28" s="16"/>
      <c r="AD28" s="16"/>
      <c r="AE28" s="16"/>
      <c r="AF28" s="16"/>
      <c r="AG28" s="16"/>
    </row>
    <row r="29" spans="1:40" s="157" customFormat="1">
      <c r="B29" s="788" t="s">
        <v>1693</v>
      </c>
      <c r="C29" s="790"/>
      <c r="D29" s="790"/>
    </row>
    <row r="30" spans="1:40" s="157" customFormat="1">
      <c r="B30" s="791" t="s">
        <v>1694</v>
      </c>
      <c r="C30" s="790"/>
      <c r="D30" s="790"/>
    </row>
    <row r="31" spans="1:40">
      <c r="B31" s="783" t="s">
        <v>1695</v>
      </c>
    </row>
    <row r="32" spans="1:40">
      <c r="B32" s="792" t="s">
        <v>1696</v>
      </c>
      <c r="C32" s="145"/>
      <c r="D32" s="145"/>
      <c r="E32" s="145"/>
      <c r="F32" s="145"/>
      <c r="G32" s="145"/>
      <c r="H32" s="145"/>
      <c r="I32" s="145"/>
      <c r="J32" s="145"/>
      <c r="K32" s="145"/>
      <c r="L32" s="145"/>
      <c r="M32" s="145"/>
      <c r="N32" s="145"/>
      <c r="AE32" s="145"/>
      <c r="AF32" s="145"/>
    </row>
  </sheetData>
  <mergeCells count="90">
    <mergeCell ref="M11:M12"/>
    <mergeCell ref="N11:N12"/>
    <mergeCell ref="M7:M8"/>
    <mergeCell ref="N7:N8"/>
    <mergeCell ref="O7:O8"/>
    <mergeCell ref="B7:E7"/>
    <mergeCell ref="F7:F8"/>
    <mergeCell ref="G7:G8"/>
    <mergeCell ref="H7:H8"/>
    <mergeCell ref="I7:I8"/>
    <mergeCell ref="J7:J8"/>
    <mergeCell ref="K7:K8"/>
    <mergeCell ref="L7:L8"/>
    <mergeCell ref="N15:N16"/>
    <mergeCell ref="O15:O16"/>
    <mergeCell ref="O11:O12"/>
    <mergeCell ref="N13:N14"/>
    <mergeCell ref="O13:O14"/>
    <mergeCell ref="K9:K10"/>
    <mergeCell ref="L9:L10"/>
    <mergeCell ref="M9:M10"/>
    <mergeCell ref="N9:N10"/>
    <mergeCell ref="O9:O10"/>
    <mergeCell ref="J15:J16"/>
    <mergeCell ref="K15:K16"/>
    <mergeCell ref="L15:L16"/>
    <mergeCell ref="L11:L12"/>
    <mergeCell ref="K11:K12"/>
    <mergeCell ref="B9:E9"/>
    <mergeCell ref="F9:F10"/>
    <mergeCell ref="G9:G10"/>
    <mergeCell ref="B11:E11"/>
    <mergeCell ref="F11:F12"/>
    <mergeCell ref="G11:G12"/>
    <mergeCell ref="H9:H10"/>
    <mergeCell ref="I9:I10"/>
    <mergeCell ref="J9:J10"/>
    <mergeCell ref="H11:H12"/>
    <mergeCell ref="I11:I12"/>
    <mergeCell ref="J11:J12"/>
    <mergeCell ref="M15:M16"/>
    <mergeCell ref="M13:M14"/>
    <mergeCell ref="B15:E15"/>
    <mergeCell ref="F15:F16"/>
    <mergeCell ref="G15:G16"/>
    <mergeCell ref="H15:H16"/>
    <mergeCell ref="I15:I16"/>
    <mergeCell ref="I13:I14"/>
    <mergeCell ref="J13:J14"/>
    <mergeCell ref="K13:K14"/>
    <mergeCell ref="L13:L14"/>
    <mergeCell ref="G13:G14"/>
    <mergeCell ref="H13:H14"/>
    <mergeCell ref="B13:E13"/>
    <mergeCell ref="F13:F14"/>
    <mergeCell ref="J19:J20"/>
    <mergeCell ref="K19:K20"/>
    <mergeCell ref="K17:K18"/>
    <mergeCell ref="L17:L18"/>
    <mergeCell ref="B17:E17"/>
    <mergeCell ref="F17:F18"/>
    <mergeCell ref="G17:G18"/>
    <mergeCell ref="H17:H18"/>
    <mergeCell ref="I17:I18"/>
    <mergeCell ref="J17:J18"/>
    <mergeCell ref="B19:E19"/>
    <mergeCell ref="F19:F20"/>
    <mergeCell ref="G19:G20"/>
    <mergeCell ref="H19:H20"/>
    <mergeCell ref="I19:I20"/>
    <mergeCell ref="L19:L20"/>
    <mergeCell ref="M19:M20"/>
    <mergeCell ref="N19:N20"/>
    <mergeCell ref="O19:O20"/>
    <mergeCell ref="M17:M18"/>
    <mergeCell ref="N17:N18"/>
    <mergeCell ref="O17:O18"/>
    <mergeCell ref="B1:AG1"/>
    <mergeCell ref="J5:J6"/>
    <mergeCell ref="K5:N5"/>
    <mergeCell ref="O5:O6"/>
    <mergeCell ref="P5:R5"/>
    <mergeCell ref="S5:T5"/>
    <mergeCell ref="V5:W5"/>
    <mergeCell ref="Y5:Z5"/>
    <mergeCell ref="AB5:AC5"/>
    <mergeCell ref="AE5:AF5"/>
    <mergeCell ref="B5:E5"/>
    <mergeCell ref="F5:F6"/>
    <mergeCell ref="G5:I5"/>
  </mergeCells>
  <phoneticPr fontId="100" type="noConversion"/>
  <pageMargins left="0.31496062992125984" right="0.31496062992125984" top="0.31496062992125984" bottom="0.31496062992125984" header="0.31496062992125984" footer="0.31496062992125984"/>
  <pageSetup paperSize="9" scale="53" fitToHeight="2"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66FF"/>
    <pageSetUpPr fitToPage="1"/>
  </sheetPr>
  <dimension ref="B1:U23"/>
  <sheetViews>
    <sheetView zoomScaleNormal="100" workbookViewId="0">
      <selection activeCell="B1" sqref="B1:Q1"/>
    </sheetView>
  </sheetViews>
  <sheetFormatPr defaultColWidth="11" defaultRowHeight="18" customHeight="1"/>
  <cols>
    <col min="1" max="1" width="0.75" style="70" customWidth="1"/>
    <col min="2" max="17" width="10.5" style="70" customWidth="1"/>
    <col min="18" max="16384" width="11" style="70"/>
  </cols>
  <sheetData>
    <row r="1" spans="2:21" s="63" customFormat="1" ht="30" customHeight="1" thickBot="1">
      <c r="B1" s="1083" t="s">
        <v>1713</v>
      </c>
      <c r="C1" s="1083"/>
      <c r="D1" s="1083"/>
      <c r="E1" s="1083"/>
      <c r="F1" s="1083"/>
      <c r="G1" s="1083"/>
      <c r="H1" s="1083"/>
      <c r="I1" s="1083"/>
      <c r="J1" s="1083"/>
      <c r="K1" s="1083"/>
      <c r="L1" s="1083"/>
      <c r="M1" s="1083"/>
      <c r="N1" s="1083"/>
      <c r="O1" s="1083"/>
      <c r="P1" s="1083"/>
      <c r="Q1" s="1083"/>
    </row>
    <row r="2" spans="2:21" s="65" customFormat="1" ht="20.100000000000001" customHeight="1" thickTop="1">
      <c r="B2" s="64"/>
      <c r="C2" s="64"/>
      <c r="D2" s="64"/>
      <c r="G2" s="66"/>
      <c r="H2" s="66"/>
      <c r="I2" s="66"/>
      <c r="J2" s="66"/>
    </row>
    <row r="3" spans="2:21" s="66" customFormat="1" ht="20.100000000000001" customHeight="1" thickBot="1">
      <c r="B3" s="49" t="s">
        <v>644</v>
      </c>
      <c r="C3" s="67"/>
      <c r="D3" s="65"/>
      <c r="F3" s="65"/>
      <c r="K3" s="65"/>
    </row>
    <row r="4" spans="2:21" s="66" customFormat="1" ht="20.100000000000001" customHeight="1">
      <c r="B4" s="1142" t="s">
        <v>645</v>
      </c>
      <c r="C4" s="1407"/>
      <c r="D4" s="1408" t="s">
        <v>646</v>
      </c>
      <c r="E4" s="1409"/>
      <c r="F4" s="1409"/>
      <c r="G4" s="1409"/>
      <c r="H4" s="1409"/>
      <c r="I4" s="1409"/>
      <c r="J4" s="1409"/>
      <c r="K4" s="1409"/>
      <c r="L4" s="1410"/>
      <c r="M4" s="1411" t="s">
        <v>647</v>
      </c>
      <c r="N4" s="1409"/>
      <c r="O4" s="1409"/>
      <c r="P4" s="1409"/>
      <c r="Q4" s="1412"/>
    </row>
    <row r="5" spans="2:21" s="66" customFormat="1" ht="20.100000000000001" customHeight="1" thickBot="1">
      <c r="B5" s="1424" t="s">
        <v>648</v>
      </c>
      <c r="C5" s="1425"/>
      <c r="D5" s="1426" t="s">
        <v>649</v>
      </c>
      <c r="E5" s="1427"/>
      <c r="F5" s="1427"/>
      <c r="G5" s="1427"/>
      <c r="H5" s="1427"/>
      <c r="I5" s="1427"/>
      <c r="J5" s="1427"/>
      <c r="K5" s="1427"/>
      <c r="L5" s="1428"/>
      <c r="M5" s="1429" t="s">
        <v>650</v>
      </c>
      <c r="N5" s="1430"/>
      <c r="O5" s="1430"/>
      <c r="P5" s="1430"/>
      <c r="Q5" s="1431"/>
    </row>
    <row r="6" spans="2:21" s="66" customFormat="1" ht="20.100000000000001" customHeight="1">
      <c r="D6" s="65"/>
      <c r="F6" s="65"/>
      <c r="K6" s="65"/>
    </row>
    <row r="7" spans="2:21" s="66" customFormat="1" ht="20.100000000000001" customHeight="1" thickBot="1">
      <c r="B7" s="49" t="s">
        <v>651</v>
      </c>
      <c r="C7" s="67"/>
      <c r="D7" s="65"/>
      <c r="F7" s="65"/>
      <c r="K7" s="65"/>
    </row>
    <row r="8" spans="2:21" s="66" customFormat="1" ht="20.100000000000001" customHeight="1">
      <c r="B8" s="1142" t="s">
        <v>645</v>
      </c>
      <c r="C8" s="1407"/>
      <c r="D8" s="1408" t="s">
        <v>646</v>
      </c>
      <c r="E8" s="1409"/>
      <c r="F8" s="1409"/>
      <c r="G8" s="1409"/>
      <c r="H8" s="1409"/>
      <c r="I8" s="1409"/>
      <c r="J8" s="1409"/>
      <c r="K8" s="1409"/>
      <c r="L8" s="1410"/>
      <c r="M8" s="1411" t="s">
        <v>647</v>
      </c>
      <c r="N8" s="1409"/>
      <c r="O8" s="1409"/>
      <c r="P8" s="1409"/>
      <c r="Q8" s="1412"/>
    </row>
    <row r="9" spans="2:21" s="66" customFormat="1" ht="20.100000000000001" customHeight="1">
      <c r="B9" s="1413" t="s">
        <v>652</v>
      </c>
      <c r="C9" s="1414"/>
      <c r="D9" s="1417" t="s">
        <v>653</v>
      </c>
      <c r="E9" s="1418"/>
      <c r="F9" s="1418"/>
      <c r="G9" s="1418"/>
      <c r="H9" s="1418"/>
      <c r="I9" s="1418"/>
      <c r="J9" s="1418"/>
      <c r="K9" s="1418"/>
      <c r="L9" s="1419"/>
      <c r="M9" s="1423" t="s">
        <v>654</v>
      </c>
      <c r="N9" s="1161"/>
      <c r="O9" s="1161"/>
      <c r="P9" s="1161"/>
      <c r="Q9" s="1162"/>
      <c r="T9" s="47"/>
    </row>
    <row r="10" spans="2:21" s="66" customFormat="1" ht="20.100000000000001" customHeight="1" thickBot="1">
      <c r="B10" s="1415"/>
      <c r="C10" s="1416"/>
      <c r="D10" s="1420"/>
      <c r="E10" s="1421"/>
      <c r="F10" s="1421"/>
      <c r="G10" s="1421"/>
      <c r="H10" s="1421"/>
      <c r="I10" s="1421"/>
      <c r="J10" s="1421"/>
      <c r="K10" s="1421"/>
      <c r="L10" s="1422"/>
      <c r="M10" s="1272"/>
      <c r="N10" s="1163"/>
      <c r="O10" s="1163"/>
      <c r="P10" s="1163"/>
      <c r="Q10" s="1164"/>
    </row>
    <row r="11" spans="2:21" s="66" customFormat="1" ht="20.100000000000001" customHeight="1">
      <c r="B11" s="323"/>
      <c r="C11" s="323"/>
      <c r="D11" s="323"/>
      <c r="E11" s="323"/>
      <c r="F11" s="919"/>
      <c r="G11" s="323"/>
      <c r="H11" s="323"/>
      <c r="I11" s="323"/>
      <c r="J11" s="323"/>
      <c r="K11" s="919"/>
      <c r="L11" s="323"/>
      <c r="M11" s="323"/>
      <c r="N11" s="323"/>
      <c r="O11" s="323"/>
      <c r="P11" s="323"/>
      <c r="Q11" s="323"/>
      <c r="S11" s="65"/>
      <c r="T11" s="65"/>
      <c r="U11" s="65"/>
    </row>
    <row r="12" spans="2:21" s="65" customFormat="1" ht="20.100000000000001" customHeight="1" thickBot="1">
      <c r="B12" s="67" t="s">
        <v>655</v>
      </c>
      <c r="C12" s="324"/>
      <c r="D12" s="323"/>
      <c r="G12" s="66"/>
      <c r="H12" s="66"/>
      <c r="I12" s="66"/>
      <c r="J12" s="66"/>
    </row>
    <row r="13" spans="2:21" s="65" customFormat="1" ht="20.100000000000001" customHeight="1" thickBot="1">
      <c r="B13" s="1388" t="s">
        <v>645</v>
      </c>
      <c r="C13" s="1389"/>
      <c r="D13" s="1390" t="s">
        <v>656</v>
      </c>
      <c r="E13" s="1391"/>
      <c r="F13" s="1391"/>
      <c r="G13" s="1391"/>
      <c r="H13" s="1391"/>
      <c r="I13" s="1391"/>
      <c r="J13" s="1391"/>
      <c r="K13" s="1391"/>
      <c r="L13" s="1391"/>
      <c r="M13" s="1392" t="s">
        <v>657</v>
      </c>
      <c r="N13" s="1392"/>
      <c r="O13" s="1392"/>
      <c r="P13" s="1393"/>
      <c r="Q13" s="912" t="s">
        <v>658</v>
      </c>
    </row>
    <row r="14" spans="2:21" s="65" customFormat="1" ht="20.100000000000001" customHeight="1">
      <c r="B14" s="1173" t="s">
        <v>659</v>
      </c>
      <c r="C14" s="1372"/>
      <c r="D14" s="1394" t="s">
        <v>660</v>
      </c>
      <c r="E14" s="1395"/>
      <c r="F14" s="1396"/>
      <c r="G14" s="500" t="s">
        <v>661</v>
      </c>
      <c r="H14" s="329" t="s">
        <v>662</v>
      </c>
      <c r="I14" s="330" t="s">
        <v>663</v>
      </c>
      <c r="J14" s="900" t="s">
        <v>664</v>
      </c>
      <c r="K14" s="900" t="s">
        <v>665</v>
      </c>
      <c r="L14" s="916" t="s">
        <v>666</v>
      </c>
      <c r="M14" s="1400" t="s">
        <v>667</v>
      </c>
      <c r="N14" s="1284"/>
      <c r="O14" s="1284"/>
      <c r="P14" s="1401"/>
      <c r="Q14" s="1369" t="s">
        <v>668</v>
      </c>
      <c r="R14" s="138"/>
    </row>
    <row r="15" spans="2:21" ht="18" customHeight="1" thickBot="1">
      <c r="B15" s="1173"/>
      <c r="C15" s="1372"/>
      <c r="D15" s="1397"/>
      <c r="E15" s="1398"/>
      <c r="F15" s="1399"/>
      <c r="G15" s="915" t="s">
        <v>37</v>
      </c>
      <c r="H15" s="331">
        <v>2.6</v>
      </c>
      <c r="I15" s="336">
        <v>2.4500000000000002</v>
      </c>
      <c r="J15" s="414">
        <v>2.2999999999999998</v>
      </c>
      <c r="K15" s="414">
        <v>2.2000000000000002</v>
      </c>
      <c r="L15" s="920">
        <v>2.1</v>
      </c>
      <c r="M15" s="1402"/>
      <c r="N15" s="1161"/>
      <c r="O15" s="1161"/>
      <c r="P15" s="1403"/>
      <c r="Q15" s="1370"/>
    </row>
    <row r="16" spans="2:21" ht="18" customHeight="1">
      <c r="B16" s="1173" t="s">
        <v>669</v>
      </c>
      <c r="C16" s="1372"/>
      <c r="D16" s="1373" t="s">
        <v>670</v>
      </c>
      <c r="E16" s="1374"/>
      <c r="F16" s="1375"/>
      <c r="G16" s="1379" t="s">
        <v>661</v>
      </c>
      <c r="H16" s="1380"/>
      <c r="I16" s="329" t="s">
        <v>664</v>
      </c>
      <c r="J16" s="330" t="s">
        <v>665</v>
      </c>
      <c r="K16" s="900" t="s">
        <v>666</v>
      </c>
      <c r="L16" s="916" t="s">
        <v>671</v>
      </c>
      <c r="M16" s="1402"/>
      <c r="N16" s="1161"/>
      <c r="O16" s="1161"/>
      <c r="P16" s="1403"/>
      <c r="Q16" s="1370"/>
    </row>
    <row r="17" spans="2:17" ht="18" customHeight="1" thickBot="1">
      <c r="B17" s="1173"/>
      <c r="C17" s="1372"/>
      <c r="D17" s="1376"/>
      <c r="E17" s="1377"/>
      <c r="F17" s="1378"/>
      <c r="G17" s="1381" t="s">
        <v>37</v>
      </c>
      <c r="H17" s="1382"/>
      <c r="I17" s="331">
        <v>0.65</v>
      </c>
      <c r="J17" s="259">
        <v>0.6</v>
      </c>
      <c r="K17" s="848">
        <v>0.55000000000000004</v>
      </c>
      <c r="L17" s="260">
        <v>0.5</v>
      </c>
      <c r="M17" s="1402"/>
      <c r="N17" s="1161"/>
      <c r="O17" s="1161"/>
      <c r="P17" s="1403"/>
      <c r="Q17" s="1370"/>
    </row>
    <row r="18" spans="2:17" ht="18" customHeight="1">
      <c r="B18" s="1173" t="s">
        <v>672</v>
      </c>
      <c r="C18" s="1372"/>
      <c r="D18" s="1383" t="s">
        <v>673</v>
      </c>
      <c r="E18" s="1384"/>
      <c r="F18" s="1384"/>
      <c r="G18" s="1385"/>
      <c r="H18" s="1379" t="s">
        <v>674</v>
      </c>
      <c r="I18" s="1386"/>
      <c r="J18" s="509" t="s">
        <v>675</v>
      </c>
      <c r="K18" s="509" t="s">
        <v>676</v>
      </c>
      <c r="L18" s="510" t="s">
        <v>677</v>
      </c>
      <c r="M18" s="1402"/>
      <c r="N18" s="1161"/>
      <c r="O18" s="1161"/>
      <c r="P18" s="1403"/>
      <c r="Q18" s="1370"/>
    </row>
    <row r="19" spans="2:17" ht="18" customHeight="1" thickBot="1">
      <c r="B19" s="1173"/>
      <c r="C19" s="1372"/>
      <c r="D19" s="1376"/>
      <c r="E19" s="1377"/>
      <c r="F19" s="1377"/>
      <c r="G19" s="1378"/>
      <c r="H19" s="1381" t="s">
        <v>678</v>
      </c>
      <c r="I19" s="1387"/>
      <c r="J19" s="848">
        <v>1.1000000000000001</v>
      </c>
      <c r="K19" s="848">
        <v>1.25</v>
      </c>
      <c r="L19" s="260">
        <v>0.65</v>
      </c>
      <c r="M19" s="1404"/>
      <c r="N19" s="1405"/>
      <c r="O19" s="1405"/>
      <c r="P19" s="1406"/>
      <c r="Q19" s="1371"/>
    </row>
    <row r="20" spans="2:17" ht="18" customHeight="1">
      <c r="B20" s="1347" t="s">
        <v>679</v>
      </c>
      <c r="C20" s="1348"/>
      <c r="D20" s="1351" t="s">
        <v>680</v>
      </c>
      <c r="E20" s="1352"/>
      <c r="F20" s="1352"/>
      <c r="G20" s="1353"/>
      <c r="H20" s="899" t="s">
        <v>681</v>
      </c>
      <c r="I20" s="900" t="s">
        <v>675</v>
      </c>
      <c r="J20" s="900" t="s">
        <v>676</v>
      </c>
      <c r="K20" s="900" t="s">
        <v>677</v>
      </c>
      <c r="L20" s="501" t="s">
        <v>682</v>
      </c>
      <c r="M20" s="1357" t="s">
        <v>683</v>
      </c>
      <c r="N20" s="1358"/>
      <c r="O20" s="1358"/>
      <c r="P20" s="1359"/>
      <c r="Q20" s="1363" t="s">
        <v>684</v>
      </c>
    </row>
    <row r="21" spans="2:17" ht="18" customHeight="1">
      <c r="B21" s="1347"/>
      <c r="C21" s="1348"/>
      <c r="D21" s="1351"/>
      <c r="E21" s="1352"/>
      <c r="F21" s="1352"/>
      <c r="G21" s="1353"/>
      <c r="H21" s="901" t="s">
        <v>685</v>
      </c>
      <c r="I21" s="325">
        <v>0.08</v>
      </c>
      <c r="J21" s="325">
        <v>0.03</v>
      </c>
      <c r="K21" s="325">
        <v>0.04</v>
      </c>
      <c r="L21" s="1366" t="s">
        <v>686</v>
      </c>
      <c r="M21" s="1357"/>
      <c r="N21" s="1358"/>
      <c r="O21" s="1358"/>
      <c r="P21" s="1359"/>
      <c r="Q21" s="1364"/>
    </row>
    <row r="22" spans="2:17" ht="18" customHeight="1">
      <c r="B22" s="1347"/>
      <c r="C22" s="1348"/>
      <c r="D22" s="1351"/>
      <c r="E22" s="1352"/>
      <c r="F22" s="1352"/>
      <c r="G22" s="1353"/>
      <c r="H22" s="901" t="s">
        <v>687</v>
      </c>
      <c r="I22" s="325">
        <v>0.12</v>
      </c>
      <c r="J22" s="325">
        <v>0.04</v>
      </c>
      <c r="K22" s="325">
        <v>0.04</v>
      </c>
      <c r="L22" s="1367"/>
      <c r="M22" s="1357"/>
      <c r="N22" s="1358"/>
      <c r="O22" s="1358"/>
      <c r="P22" s="1359"/>
      <c r="Q22" s="1364"/>
    </row>
    <row r="23" spans="2:17" ht="18" customHeight="1" thickBot="1">
      <c r="B23" s="1349"/>
      <c r="C23" s="1350"/>
      <c r="D23" s="1354"/>
      <c r="E23" s="1355"/>
      <c r="F23" s="1355"/>
      <c r="G23" s="1356"/>
      <c r="H23" s="903" t="s">
        <v>688</v>
      </c>
      <c r="I23" s="848">
        <v>0.06</v>
      </c>
      <c r="J23" s="848">
        <v>0.04</v>
      </c>
      <c r="K23" s="848">
        <v>0.04</v>
      </c>
      <c r="L23" s="1368"/>
      <c r="M23" s="1360"/>
      <c r="N23" s="1361"/>
      <c r="O23" s="1361"/>
      <c r="P23" s="1362"/>
      <c r="Q23" s="1365"/>
    </row>
  </sheetData>
  <mergeCells count="33">
    <mergeCell ref="B1:Q1"/>
    <mergeCell ref="B4:C4"/>
    <mergeCell ref="D4:L4"/>
    <mergeCell ref="M4:Q4"/>
    <mergeCell ref="B5:C5"/>
    <mergeCell ref="D5:L5"/>
    <mergeCell ref="M5:Q5"/>
    <mergeCell ref="B8:C8"/>
    <mergeCell ref="D8:L8"/>
    <mergeCell ref="M8:Q8"/>
    <mergeCell ref="B9:C10"/>
    <mergeCell ref="D9:L10"/>
    <mergeCell ref="M9:Q10"/>
    <mergeCell ref="B13:C13"/>
    <mergeCell ref="D13:L13"/>
    <mergeCell ref="M13:P13"/>
    <mergeCell ref="B14:C15"/>
    <mergeCell ref="D14:F15"/>
    <mergeCell ref="M14:P19"/>
    <mergeCell ref="Q14:Q19"/>
    <mergeCell ref="B16:C17"/>
    <mergeCell ref="D16:F17"/>
    <mergeCell ref="G16:H16"/>
    <mergeCell ref="G17:H17"/>
    <mergeCell ref="B18:C19"/>
    <mergeCell ref="D18:G19"/>
    <mergeCell ref="H18:I18"/>
    <mergeCell ref="H19:I19"/>
    <mergeCell ref="B20:C23"/>
    <mergeCell ref="D20:G23"/>
    <mergeCell ref="M20:P23"/>
    <mergeCell ref="Q20:Q23"/>
    <mergeCell ref="L21:L23"/>
  </mergeCells>
  <phoneticPr fontId="100" type="noConversion"/>
  <printOptions horizontalCentered="1"/>
  <pageMargins left="0.31496062992125984" right="0.31496062992125984" top="0.31496062992125984" bottom="0.31496062992125984" header="0" footer="0"/>
  <pageSetup paperSize="9" scale="7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워크시트</vt:lpstr>
      </vt:variant>
      <vt:variant>
        <vt:i4>32</vt:i4>
      </vt:variant>
      <vt:variant>
        <vt:lpstr>이름이 지정된 범위</vt:lpstr>
      </vt:variant>
      <vt:variant>
        <vt:i4>5</vt:i4>
      </vt:variant>
    </vt:vector>
  </HeadingPairs>
  <TitlesOfParts>
    <vt:vector size="37" baseType="lpstr">
      <vt:lpstr>표지</vt:lpstr>
      <vt:lpstr>공통사항</vt:lpstr>
      <vt:lpstr>9월변동사항</vt:lpstr>
      <vt:lpstr>1월변동사항</vt:lpstr>
      <vt:lpstr>NH농협기초</vt:lpstr>
      <vt:lpstr>NH농협세부</vt:lpstr>
      <vt:lpstr>알리안츠기초</vt:lpstr>
      <vt:lpstr>알리안츠세부</vt:lpstr>
      <vt:lpstr>현대기초</vt:lpstr>
      <vt:lpstr>현대세부</vt:lpstr>
      <vt:lpstr>신한기초</vt:lpstr>
      <vt:lpstr>신한세부</vt:lpstr>
      <vt:lpstr>삼성기초</vt:lpstr>
      <vt:lpstr>삼성세부</vt:lpstr>
      <vt:lpstr>미래기초</vt:lpstr>
      <vt:lpstr>미래세부</vt:lpstr>
      <vt:lpstr>메트기초</vt:lpstr>
      <vt:lpstr>메트세부</vt:lpstr>
      <vt:lpstr>한화기초</vt:lpstr>
      <vt:lpstr>한화세부</vt:lpstr>
      <vt:lpstr>라이나기초</vt:lpstr>
      <vt:lpstr>라이나세부</vt:lpstr>
      <vt:lpstr>동부기초</vt:lpstr>
      <vt:lpstr>동부세부</vt:lpstr>
      <vt:lpstr>동양기초</vt:lpstr>
      <vt:lpstr>동양세부</vt:lpstr>
      <vt:lpstr>교보기초</vt:lpstr>
      <vt:lpstr>교보세부</vt:lpstr>
      <vt:lpstr>KDB기초</vt:lpstr>
      <vt:lpstr>KDB세부</vt:lpstr>
      <vt:lpstr>AIA기초</vt:lpstr>
      <vt:lpstr>AIA세부</vt:lpstr>
      <vt:lpstr>동부기초!Print_Area</vt:lpstr>
      <vt:lpstr>미래기초!Print_Area</vt:lpstr>
      <vt:lpstr>신한기초!Print_Area</vt:lpstr>
      <vt:lpstr>알리안츠기초!Print_Area</vt:lpstr>
      <vt:lpstr>한화세부!Print_Area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권수정</dc:creator>
  <cp:lastModifiedBy>이문영</cp:lastModifiedBy>
  <cp:lastPrinted>2015-01-07T07:22:21Z</cp:lastPrinted>
  <dcterms:created xsi:type="dcterms:W3CDTF">2012-05-08T05:47:28Z</dcterms:created>
  <dcterms:modified xsi:type="dcterms:W3CDTF">2015-01-08T06:58:42Z</dcterms:modified>
</cp:coreProperties>
</file>