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현재_통합_문서" defaultThemeVersion="124226"/>
  <bookViews>
    <workbookView xWindow="-210" yWindow="60" windowWidth="16410" windowHeight="12405" tabRatio="951"/>
  </bookViews>
  <sheets>
    <sheet name="표지" sheetId="9" r:id="rId1"/>
    <sheet name="공통사항" sheetId="10" r:id="rId2"/>
    <sheet name="9월변동사항" sheetId="31" state="hidden" r:id="rId3"/>
    <sheet name="12월변동사항" sheetId="72" r:id="rId4"/>
    <sheet name="NH농협기초" sheetId="79" r:id="rId5"/>
    <sheet name="NH농협세부" sheetId="54" r:id="rId6"/>
    <sheet name="알리안츠기초" sheetId="63" r:id="rId7"/>
    <sheet name="알리안츠세부" sheetId="64" r:id="rId8"/>
    <sheet name="현대기초" sheetId="84" r:id="rId9"/>
    <sheet name="현대세부" sheetId="85" r:id="rId10"/>
    <sheet name="신한기초" sheetId="61" r:id="rId11"/>
    <sheet name="신한세부" sheetId="62" r:id="rId12"/>
    <sheet name="삼성기초" sheetId="86" r:id="rId13"/>
    <sheet name="삼성세부" sheetId="87" r:id="rId14"/>
    <sheet name="미래기초" sheetId="49" r:id="rId15"/>
    <sheet name="미래세부" sheetId="50" r:id="rId16"/>
    <sheet name="메트기초" sheetId="21" r:id="rId17"/>
    <sheet name="메트세부" sheetId="22" r:id="rId18"/>
    <sheet name="한화기초" sheetId="80" r:id="rId19"/>
    <sheet name="한화세부" sheetId="81" r:id="rId20"/>
    <sheet name="라이나기초" sheetId="82" r:id="rId21"/>
    <sheet name="라이나세부" sheetId="83" r:id="rId22"/>
    <sheet name="동부기초" sheetId="34" r:id="rId23"/>
    <sheet name="동부세부" sheetId="67" r:id="rId24"/>
    <sheet name="동양기초" sheetId="51" r:id="rId25"/>
    <sheet name="동양세부" sheetId="52" r:id="rId26"/>
    <sheet name="교보기초" sheetId="19" r:id="rId27"/>
    <sheet name="교보세부" sheetId="20" r:id="rId28"/>
    <sheet name="KDB기초" sheetId="77" r:id="rId29"/>
    <sheet name="KDB세부" sheetId="78" r:id="rId30"/>
    <sheet name="흥국기초" sheetId="45" r:id="rId31"/>
    <sheet name="흥국세부" sheetId="46" r:id="rId32"/>
    <sheet name="AIA기초" sheetId="3" r:id="rId33"/>
    <sheet name="AIA세부" sheetId="60" r:id="rId34"/>
  </sheets>
  <definedNames>
    <definedName name="_xlnm.Print_Area" localSheetId="22">동부기초!$A$1:$P$36</definedName>
    <definedName name="_xlnm.Print_Area" localSheetId="14">미래기초!$A$1:$O$42</definedName>
    <definedName name="_xlnm.Print_Area" localSheetId="10">신한기초!$A$1:$R$54</definedName>
    <definedName name="_xlnm.Print_Area" localSheetId="6">알리안츠기초!$A$1:$T$28</definedName>
    <definedName name="_xlnm.Print_Area" localSheetId="19">한화세부!$A$1:$AH$38</definedName>
  </definedNames>
  <calcPr calcId="145621"/>
</workbook>
</file>

<file path=xl/calcChain.xml><?xml version="1.0" encoding="utf-8"?>
<calcChain xmlns="http://schemas.openxmlformats.org/spreadsheetml/2006/main">
  <c r="K21" i="54" l="1"/>
  <c r="H21" i="54"/>
  <c r="G21" i="54"/>
  <c r="F21" i="54"/>
  <c r="K19" i="54"/>
  <c r="H19" i="54"/>
  <c r="G19" i="54"/>
  <c r="F19" i="54"/>
  <c r="F17" i="54"/>
  <c r="K17" i="54" s="1"/>
  <c r="F15" i="54"/>
  <c r="J15" i="54" s="1"/>
  <c r="F13" i="54"/>
  <c r="K13" i="54" s="1"/>
  <c r="K11" i="54"/>
  <c r="H11" i="54"/>
  <c r="F11" i="54"/>
  <c r="I11" i="54" s="1"/>
  <c r="F9" i="54"/>
  <c r="K9" i="54" s="1"/>
  <c r="F7" i="54"/>
  <c r="I7" i="54" s="1"/>
  <c r="I9" i="54" l="1"/>
  <c r="G15" i="54"/>
  <c r="G7" i="54"/>
  <c r="H15" i="54"/>
  <c r="I17" i="54"/>
  <c r="K7" i="54"/>
  <c r="G11" i="54"/>
  <c r="M11" i="54" s="1"/>
  <c r="P11" i="54" s="1"/>
  <c r="P12" i="54" s="1"/>
  <c r="I13" i="54"/>
  <c r="I15" i="54"/>
  <c r="K15" i="54"/>
  <c r="N19" i="54"/>
  <c r="W19" i="54" s="1"/>
  <c r="W20" i="54" s="1"/>
  <c r="N21" i="54"/>
  <c r="Z21" i="54" s="1"/>
  <c r="Z22" i="54" s="1"/>
  <c r="AC19" i="54"/>
  <c r="AC20" i="54" s="1"/>
  <c r="Y11" i="54"/>
  <c r="Y12" i="54" s="1"/>
  <c r="AB11" i="54"/>
  <c r="AB12" i="54" s="1"/>
  <c r="M12" i="54"/>
  <c r="W21" i="54"/>
  <c r="W22" i="54" s="1"/>
  <c r="AC21" i="54"/>
  <c r="AC22" i="54" s="1"/>
  <c r="Q21" i="54"/>
  <c r="Q22" i="54" s="1"/>
  <c r="N22" i="54"/>
  <c r="M7" i="54"/>
  <c r="J7" i="54"/>
  <c r="H9" i="54"/>
  <c r="J11" i="54"/>
  <c r="N11" i="54"/>
  <c r="H13" i="54"/>
  <c r="N15" i="54"/>
  <c r="H17" i="54"/>
  <c r="L19" i="54"/>
  <c r="L21" i="54"/>
  <c r="M19" i="54"/>
  <c r="M21" i="54"/>
  <c r="J9" i="54"/>
  <c r="J13" i="54"/>
  <c r="L15" i="54"/>
  <c r="J17" i="54"/>
  <c r="H7" i="54"/>
  <c r="G9" i="54"/>
  <c r="G13" i="54"/>
  <c r="G17" i="54"/>
  <c r="V11" i="54" l="1"/>
  <c r="V12" i="54" s="1"/>
  <c r="S11" i="54"/>
  <c r="S12" i="54" s="1"/>
  <c r="Q19" i="54"/>
  <c r="Q20" i="54" s="1"/>
  <c r="L7" i="54"/>
  <c r="L11" i="54"/>
  <c r="X11" i="54" s="1"/>
  <c r="X12" i="54" s="1"/>
  <c r="T21" i="54"/>
  <c r="T22" i="54" s="1"/>
  <c r="T19" i="54"/>
  <c r="T20" i="54" s="1"/>
  <c r="Z19" i="54"/>
  <c r="Z20" i="54" s="1"/>
  <c r="M15" i="54"/>
  <c r="N20" i="54"/>
  <c r="U7" i="54"/>
  <c r="U8" i="54" s="1"/>
  <c r="X7" i="54"/>
  <c r="X8" i="54" s="1"/>
  <c r="L8" i="54"/>
  <c r="R7" i="54"/>
  <c r="R8" i="54" s="1"/>
  <c r="AA7" i="54"/>
  <c r="AA8" i="54" s="1"/>
  <c r="O7" i="54"/>
  <c r="O8" i="54" s="1"/>
  <c r="Y7" i="54"/>
  <c r="Y8" i="54" s="1"/>
  <c r="P7" i="54"/>
  <c r="P8" i="54" s="1"/>
  <c r="AB7" i="54"/>
  <c r="AB8" i="54" s="1"/>
  <c r="V7" i="54"/>
  <c r="V8" i="54" s="1"/>
  <c r="S7" i="54"/>
  <c r="S8" i="54" s="1"/>
  <c r="M8" i="54"/>
  <c r="U11" i="54"/>
  <c r="U12" i="54" s="1"/>
  <c r="AA11" i="54"/>
  <c r="AA12" i="54" s="1"/>
  <c r="O11" i="54"/>
  <c r="O12" i="54" s="1"/>
  <c r="L12" i="54"/>
  <c r="AA21" i="54"/>
  <c r="AA22" i="54" s="1"/>
  <c r="O21" i="54"/>
  <c r="O22" i="54" s="1"/>
  <c r="L22" i="54"/>
  <c r="R21" i="54"/>
  <c r="R22" i="54" s="1"/>
  <c r="U21" i="54"/>
  <c r="U22" i="54" s="1"/>
  <c r="X21" i="54"/>
  <c r="X22" i="54" s="1"/>
  <c r="N9" i="54"/>
  <c r="L9" i="54"/>
  <c r="M9" i="54"/>
  <c r="N17" i="54"/>
  <c r="M17" i="54"/>
  <c r="L17" i="54"/>
  <c r="AA19" i="54"/>
  <c r="AA20" i="54" s="1"/>
  <c r="O19" i="54"/>
  <c r="O20" i="54" s="1"/>
  <c r="L20" i="54"/>
  <c r="R19" i="54"/>
  <c r="R20" i="54" s="1"/>
  <c r="U19" i="54"/>
  <c r="U20" i="54" s="1"/>
  <c r="X19" i="54"/>
  <c r="X20" i="54" s="1"/>
  <c r="AC11" i="54"/>
  <c r="AC12" i="54" s="1"/>
  <c r="Q11" i="54"/>
  <c r="Q12" i="54" s="1"/>
  <c r="N12" i="54"/>
  <c r="T11" i="54"/>
  <c r="T12" i="54" s="1"/>
  <c r="W11" i="54"/>
  <c r="W12" i="54" s="1"/>
  <c r="Z11" i="54"/>
  <c r="Z12" i="54" s="1"/>
  <c r="N7" i="54"/>
  <c r="AC15" i="54"/>
  <c r="AC16" i="54" s="1"/>
  <c r="Q15" i="54"/>
  <c r="Q16" i="54" s="1"/>
  <c r="N16" i="54"/>
  <c r="T15" i="54"/>
  <c r="T16" i="54" s="1"/>
  <c r="W15" i="54"/>
  <c r="W16" i="54" s="1"/>
  <c r="Z15" i="54"/>
  <c r="Z16" i="54" s="1"/>
  <c r="N13" i="54"/>
  <c r="M13" i="54"/>
  <c r="L13" i="54"/>
  <c r="U15" i="54"/>
  <c r="U16" i="54" s="1"/>
  <c r="X15" i="54"/>
  <c r="X16" i="54" s="1"/>
  <c r="AA15" i="54"/>
  <c r="AA16" i="54" s="1"/>
  <c r="O15" i="54"/>
  <c r="O16" i="54" s="1"/>
  <c r="L16" i="54"/>
  <c r="R15" i="54"/>
  <c r="R16" i="54" s="1"/>
  <c r="M22" i="54"/>
  <c r="S21" i="54"/>
  <c r="S22" i="54" s="1"/>
  <c r="V21" i="54"/>
  <c r="V22" i="54" s="1"/>
  <c r="Y21" i="54"/>
  <c r="Y22" i="54" s="1"/>
  <c r="AB21" i="54"/>
  <c r="AB22" i="54" s="1"/>
  <c r="P21" i="54"/>
  <c r="P22" i="54" s="1"/>
  <c r="M20" i="54"/>
  <c r="S19" i="54"/>
  <c r="S20" i="54" s="1"/>
  <c r="V19" i="54"/>
  <c r="V20" i="54" s="1"/>
  <c r="Y19" i="54"/>
  <c r="Y20" i="54" s="1"/>
  <c r="AB19" i="54"/>
  <c r="AB20" i="54" s="1"/>
  <c r="P19" i="54"/>
  <c r="P20" i="54" s="1"/>
  <c r="P15" i="54" l="1"/>
  <c r="P16" i="54" s="1"/>
  <c r="M16" i="54"/>
  <c r="Y15" i="54"/>
  <c r="Y16" i="54" s="1"/>
  <c r="S15" i="54"/>
  <c r="S16" i="54" s="1"/>
  <c r="AB15" i="54"/>
  <c r="AB16" i="54" s="1"/>
  <c r="V15" i="54"/>
  <c r="V16" i="54" s="1"/>
  <c r="R11" i="54"/>
  <c r="R12" i="54" s="1"/>
  <c r="AA13" i="54"/>
  <c r="AA14" i="54" s="1"/>
  <c r="O13" i="54"/>
  <c r="O14" i="54" s="1"/>
  <c r="L14" i="54"/>
  <c r="R13" i="54"/>
  <c r="R14" i="54" s="1"/>
  <c r="U13" i="54"/>
  <c r="U14" i="54" s="1"/>
  <c r="X13" i="54"/>
  <c r="X14" i="54" s="1"/>
  <c r="W17" i="54"/>
  <c r="W18" i="54" s="1"/>
  <c r="Z17" i="54"/>
  <c r="Z18" i="54" s="1"/>
  <c r="AC17" i="54"/>
  <c r="AC18" i="54" s="1"/>
  <c r="Q17" i="54"/>
  <c r="Q18" i="54" s="1"/>
  <c r="N18" i="54"/>
  <c r="T17" i="54"/>
  <c r="T18" i="54" s="1"/>
  <c r="AC7" i="54"/>
  <c r="AC8" i="54" s="1"/>
  <c r="Q7" i="54"/>
  <c r="Q8" i="54" s="1"/>
  <c r="N8" i="54"/>
  <c r="T7" i="54"/>
  <c r="T8" i="54" s="1"/>
  <c r="Z7" i="54"/>
  <c r="Z8" i="54" s="1"/>
  <c r="W7" i="54"/>
  <c r="W8" i="54" s="1"/>
  <c r="W13" i="54"/>
  <c r="W14" i="54" s="1"/>
  <c r="Z13" i="54"/>
  <c r="Z14" i="54" s="1"/>
  <c r="AC13" i="54"/>
  <c r="AC14" i="54" s="1"/>
  <c r="Q13" i="54"/>
  <c r="Q14" i="54" s="1"/>
  <c r="N14" i="54"/>
  <c r="T13" i="54"/>
  <c r="T14" i="54" s="1"/>
  <c r="M14" i="54"/>
  <c r="S13" i="54"/>
  <c r="S14" i="54" s="1"/>
  <c r="V13" i="54"/>
  <c r="V14" i="54" s="1"/>
  <c r="Y13" i="54"/>
  <c r="Y14" i="54" s="1"/>
  <c r="AB13" i="54"/>
  <c r="AB14" i="54" s="1"/>
  <c r="P13" i="54"/>
  <c r="P14" i="54" s="1"/>
  <c r="M10" i="54"/>
  <c r="S9" i="54"/>
  <c r="S10" i="54" s="1"/>
  <c r="V9" i="54"/>
  <c r="V10" i="54" s="1"/>
  <c r="AB9" i="54"/>
  <c r="AB10" i="54" s="1"/>
  <c r="P9" i="54"/>
  <c r="P10" i="54" s="1"/>
  <c r="Y9" i="54"/>
  <c r="Y10" i="54" s="1"/>
  <c r="AA17" i="54"/>
  <c r="AA18" i="54" s="1"/>
  <c r="O17" i="54"/>
  <c r="O18" i="54" s="1"/>
  <c r="L18" i="54"/>
  <c r="R17" i="54"/>
  <c r="R18" i="54" s="1"/>
  <c r="U17" i="54"/>
  <c r="U18" i="54" s="1"/>
  <c r="X17" i="54"/>
  <c r="X18" i="54" s="1"/>
  <c r="AA9" i="54"/>
  <c r="AA10" i="54" s="1"/>
  <c r="O9" i="54"/>
  <c r="O10" i="54" s="1"/>
  <c r="L10" i="54"/>
  <c r="R9" i="54"/>
  <c r="R10" i="54" s="1"/>
  <c r="U9" i="54"/>
  <c r="U10" i="54" s="1"/>
  <c r="X9" i="54"/>
  <c r="X10" i="54" s="1"/>
  <c r="M18" i="54"/>
  <c r="S17" i="54"/>
  <c r="S18" i="54" s="1"/>
  <c r="V17" i="54"/>
  <c r="V18" i="54" s="1"/>
  <c r="Y17" i="54"/>
  <c r="Y18" i="54" s="1"/>
  <c r="AB17" i="54"/>
  <c r="AB18" i="54" s="1"/>
  <c r="P17" i="54"/>
  <c r="P18" i="54" s="1"/>
  <c r="W9" i="54"/>
  <c r="W10" i="54" s="1"/>
  <c r="Z9" i="54"/>
  <c r="Z10" i="54" s="1"/>
  <c r="AC9" i="54"/>
  <c r="AC10" i="54" s="1"/>
  <c r="N10" i="54"/>
  <c r="T9" i="54"/>
  <c r="T10" i="54" s="1"/>
  <c r="Q9" i="54"/>
  <c r="Q10" i="54" s="1"/>
  <c r="N51" i="60" l="1"/>
  <c r="M51" i="60"/>
  <c r="L51" i="60"/>
  <c r="K51" i="60"/>
  <c r="J51" i="60"/>
  <c r="Q51" i="60" s="1"/>
  <c r="I51" i="60"/>
  <c r="G51" i="60"/>
  <c r="P51" i="60" s="1"/>
  <c r="E50" i="60"/>
  <c r="L49" i="60" s="1"/>
  <c r="D50" i="60"/>
  <c r="C50" i="60"/>
  <c r="K49" i="60"/>
  <c r="I49" i="60"/>
  <c r="O49" i="60" s="1"/>
  <c r="G49" i="60"/>
  <c r="H49" i="60" s="1"/>
  <c r="E48" i="60"/>
  <c r="D48" i="60"/>
  <c r="C48" i="60"/>
  <c r="L47" i="60"/>
  <c r="K47" i="60"/>
  <c r="G47" i="60"/>
  <c r="E46" i="60"/>
  <c r="D46" i="60"/>
  <c r="K45" i="60" s="1"/>
  <c r="C46" i="60"/>
  <c r="L45" i="60"/>
  <c r="H45" i="60"/>
  <c r="G45" i="60"/>
  <c r="E44" i="60"/>
  <c r="D44" i="60"/>
  <c r="K43" i="60" s="1"/>
  <c r="C44" i="60"/>
  <c r="L43" i="60"/>
  <c r="I43" i="60"/>
  <c r="O43" i="60" s="1"/>
  <c r="H43" i="60"/>
  <c r="G43" i="60"/>
  <c r="P43" i="60" s="1"/>
  <c r="E42" i="60"/>
  <c r="L41" i="60" s="1"/>
  <c r="D42" i="60"/>
  <c r="C42" i="60"/>
  <c r="K41" i="60"/>
  <c r="I41" i="60"/>
  <c r="P41" i="60" s="1"/>
  <c r="H41" i="60"/>
  <c r="G41" i="60"/>
  <c r="E40" i="60"/>
  <c r="D40" i="60"/>
  <c r="C40" i="60"/>
  <c r="L39" i="60"/>
  <c r="K39" i="60"/>
  <c r="G39" i="60"/>
  <c r="E38" i="60"/>
  <c r="D38" i="60"/>
  <c r="C38" i="60"/>
  <c r="L37" i="60"/>
  <c r="K37" i="60"/>
  <c r="G37" i="60"/>
  <c r="E36" i="60"/>
  <c r="D36" i="60"/>
  <c r="K35" i="60" s="1"/>
  <c r="C36" i="60"/>
  <c r="L35" i="60"/>
  <c r="H35" i="60"/>
  <c r="G35" i="60"/>
  <c r="E34" i="60"/>
  <c r="L33" i="60" s="1"/>
  <c r="D34" i="60"/>
  <c r="C34" i="60"/>
  <c r="K33" i="60"/>
  <c r="I33" i="60"/>
  <c r="O33" i="60" s="1"/>
  <c r="G33" i="60"/>
  <c r="E32" i="60"/>
  <c r="D32" i="60"/>
  <c r="K31" i="60" s="1"/>
  <c r="C32" i="60"/>
  <c r="L31" i="60"/>
  <c r="H31" i="60"/>
  <c r="G31" i="60"/>
  <c r="E30" i="60"/>
  <c r="L29" i="60" s="1"/>
  <c r="D30" i="60"/>
  <c r="C30" i="60"/>
  <c r="K29" i="60"/>
  <c r="G29" i="60"/>
  <c r="E28" i="60"/>
  <c r="D28" i="60"/>
  <c r="K27" i="60" s="1"/>
  <c r="C28" i="60"/>
  <c r="L27" i="60"/>
  <c r="H27" i="60"/>
  <c r="G27" i="60"/>
  <c r="E26" i="60"/>
  <c r="L25" i="60" s="1"/>
  <c r="D26" i="60"/>
  <c r="C26" i="60"/>
  <c r="K25" i="60"/>
  <c r="I25" i="60"/>
  <c r="O25" i="60" s="1"/>
  <c r="G25" i="60"/>
  <c r="E24" i="60"/>
  <c r="D24" i="60"/>
  <c r="K23" i="60" s="1"/>
  <c r="C24" i="60"/>
  <c r="L23" i="60"/>
  <c r="H23" i="60"/>
  <c r="G23" i="60"/>
  <c r="E22" i="60"/>
  <c r="L21" i="60" s="1"/>
  <c r="D22" i="60"/>
  <c r="C22" i="60"/>
  <c r="K21" i="60"/>
  <c r="G21" i="60"/>
  <c r="O20" i="60"/>
  <c r="E20" i="60"/>
  <c r="L19" i="60" s="1"/>
  <c r="D20" i="60"/>
  <c r="C20" i="60"/>
  <c r="X19" i="60"/>
  <c r="X20" i="60" s="1"/>
  <c r="K19" i="60"/>
  <c r="I19" i="60"/>
  <c r="O19" i="60" s="1"/>
  <c r="G19" i="60"/>
  <c r="H19" i="60" s="1"/>
  <c r="J19" i="60" s="1"/>
  <c r="Q19" i="60" s="1"/>
  <c r="E18" i="60"/>
  <c r="D18" i="60"/>
  <c r="C18" i="60"/>
  <c r="G17" i="60" s="1"/>
  <c r="L17" i="60"/>
  <c r="K17" i="60"/>
  <c r="E16" i="60"/>
  <c r="D16" i="60"/>
  <c r="K15" i="60" s="1"/>
  <c r="C16" i="60"/>
  <c r="L15" i="60"/>
  <c r="H15" i="60"/>
  <c r="G15" i="60"/>
  <c r="E14" i="60"/>
  <c r="L13" i="60" s="1"/>
  <c r="D14" i="60"/>
  <c r="K13" i="60" s="1"/>
  <c r="C14" i="60"/>
  <c r="I13" i="60"/>
  <c r="O13" i="60" s="1"/>
  <c r="H13" i="60"/>
  <c r="G13" i="60"/>
  <c r="E12" i="60"/>
  <c r="L11" i="60" s="1"/>
  <c r="D12" i="60"/>
  <c r="C12" i="60"/>
  <c r="K11" i="60"/>
  <c r="I11" i="60"/>
  <c r="O11" i="60" s="1"/>
  <c r="G11" i="60"/>
  <c r="H11" i="60" s="1"/>
  <c r="J11" i="60" s="1"/>
  <c r="Q11" i="60" s="1"/>
  <c r="E10" i="60"/>
  <c r="D10" i="60"/>
  <c r="C10" i="60"/>
  <c r="G9" i="60" s="1"/>
  <c r="N9" i="60"/>
  <c r="M9" i="60"/>
  <c r="L9" i="60"/>
  <c r="K9" i="60"/>
  <c r="I9" i="60"/>
  <c r="H9" i="60"/>
  <c r="E8" i="60"/>
  <c r="D8" i="60"/>
  <c r="C8" i="60"/>
  <c r="O7" i="60"/>
  <c r="L7" i="60"/>
  <c r="K7" i="60"/>
  <c r="I7" i="60"/>
  <c r="G7" i="60"/>
  <c r="E6" i="60"/>
  <c r="D6" i="60"/>
  <c r="K5" i="60" s="1"/>
  <c r="C6" i="60"/>
  <c r="P5" i="60"/>
  <c r="V5" i="60" s="1"/>
  <c r="V6" i="60" s="1"/>
  <c r="L5" i="60"/>
  <c r="J5" i="60"/>
  <c r="Q5" i="60" s="1"/>
  <c r="I5" i="60"/>
  <c r="H5" i="60"/>
  <c r="G5" i="60"/>
  <c r="O5" i="60" s="1"/>
  <c r="P7" i="60" l="1"/>
  <c r="Q20" i="60"/>
  <c r="Z19" i="60"/>
  <c r="Z20" i="60" s="1"/>
  <c r="AC19" i="60"/>
  <c r="AC20" i="60" s="1"/>
  <c r="W19" i="60"/>
  <c r="W20" i="60" s="1"/>
  <c r="AF19" i="60"/>
  <c r="AF20" i="60" s="1"/>
  <c r="T19" i="60"/>
  <c r="T20" i="60" s="1"/>
  <c r="Q12" i="60"/>
  <c r="Z11" i="60"/>
  <c r="Z12" i="60" s="1"/>
  <c r="AC11" i="60"/>
  <c r="AC12" i="60" s="1"/>
  <c r="W11" i="60"/>
  <c r="W12" i="60" s="1"/>
  <c r="T11" i="60"/>
  <c r="T12" i="60" s="1"/>
  <c r="AF11" i="60"/>
  <c r="AF12" i="60" s="1"/>
  <c r="U13" i="60"/>
  <c r="U14" i="60" s="1"/>
  <c r="O14" i="60"/>
  <c r="X13" i="60"/>
  <c r="X14" i="60" s="1"/>
  <c r="AD13" i="60"/>
  <c r="AD14" i="60" s="1"/>
  <c r="R13" i="60"/>
  <c r="R14" i="60" s="1"/>
  <c r="AA13" i="60"/>
  <c r="AA14" i="60" s="1"/>
  <c r="I17" i="60"/>
  <c r="O17" i="60" s="1"/>
  <c r="H17" i="60"/>
  <c r="P17" i="60" s="1"/>
  <c r="AC5" i="60"/>
  <c r="AC6" i="60" s="1"/>
  <c r="W5" i="60"/>
  <c r="W6" i="60" s="1"/>
  <c r="Q6" i="60"/>
  <c r="Z5" i="60"/>
  <c r="Z6" i="60" s="1"/>
  <c r="AF5" i="60"/>
  <c r="AF6" i="60" s="1"/>
  <c r="T5" i="60"/>
  <c r="T6" i="60" s="1"/>
  <c r="U5" i="60"/>
  <c r="U6" i="60" s="1"/>
  <c r="O6" i="60"/>
  <c r="X5" i="60"/>
  <c r="X6" i="60" s="1"/>
  <c r="AA5" i="60"/>
  <c r="AA6" i="60" s="1"/>
  <c r="AD5" i="60"/>
  <c r="AD6" i="60" s="1"/>
  <c r="R5" i="60"/>
  <c r="R6" i="60" s="1"/>
  <c r="AD7" i="60"/>
  <c r="AD8" i="60" s="1"/>
  <c r="U7" i="60"/>
  <c r="U8" i="60" s="1"/>
  <c r="AD11" i="60"/>
  <c r="AD12" i="60" s="1"/>
  <c r="R11" i="60"/>
  <c r="R12" i="60" s="1"/>
  <c r="U11" i="60"/>
  <c r="U12" i="60" s="1"/>
  <c r="AA11" i="60"/>
  <c r="AA12" i="60" s="1"/>
  <c r="R7" i="60"/>
  <c r="R8" i="60" s="1"/>
  <c r="S5" i="60"/>
  <c r="S6" i="60" s="1"/>
  <c r="AE5" i="60"/>
  <c r="AE6" i="60" s="1"/>
  <c r="H7" i="60"/>
  <c r="AA7" i="60"/>
  <c r="AA8" i="60" s="1"/>
  <c r="O9" i="60"/>
  <c r="J9" i="60"/>
  <c r="Q9" i="60" s="1"/>
  <c r="P9" i="60"/>
  <c r="P11" i="60"/>
  <c r="O12" i="60"/>
  <c r="P19" i="60"/>
  <c r="U25" i="60"/>
  <c r="U26" i="60" s="1"/>
  <c r="O26" i="60"/>
  <c r="X25" i="60"/>
  <c r="X26" i="60" s="1"/>
  <c r="AD25" i="60"/>
  <c r="AD26" i="60" s="1"/>
  <c r="R25" i="60"/>
  <c r="R26" i="60" s="1"/>
  <c r="U33" i="60"/>
  <c r="U34" i="60" s="1"/>
  <c r="O34" i="60"/>
  <c r="X33" i="60"/>
  <c r="X34" i="60" s="1"/>
  <c r="AD33" i="60"/>
  <c r="AD34" i="60" s="1"/>
  <c r="R33" i="60"/>
  <c r="R34" i="60" s="1"/>
  <c r="P52" i="60"/>
  <c r="V51" i="60"/>
  <c r="V52" i="60" s="1"/>
  <c r="Y51" i="60"/>
  <c r="Y52" i="60" s="1"/>
  <c r="AB51" i="60"/>
  <c r="AB52" i="60" s="1"/>
  <c r="AE51" i="60"/>
  <c r="AE52" i="60" s="1"/>
  <c r="S51" i="60"/>
  <c r="S52" i="60" s="1"/>
  <c r="Y5" i="60"/>
  <c r="Y6" i="60" s="1"/>
  <c r="P6" i="60"/>
  <c r="J7" i="60"/>
  <c r="Q7" i="60" s="1"/>
  <c r="X11" i="60"/>
  <c r="X12" i="60" s="1"/>
  <c r="P13" i="60"/>
  <c r="AD19" i="60"/>
  <c r="AD20" i="60" s="1"/>
  <c r="R19" i="60"/>
  <c r="R20" i="60" s="1"/>
  <c r="U19" i="60"/>
  <c r="U20" i="60" s="1"/>
  <c r="AA19" i="60"/>
  <c r="AA20" i="60" s="1"/>
  <c r="AB5" i="60"/>
  <c r="AB6" i="60" s="1"/>
  <c r="X7" i="60"/>
  <c r="X8" i="60" s="1"/>
  <c r="O8" i="60"/>
  <c r="AA25" i="60"/>
  <c r="AA26" i="60" s="1"/>
  <c r="AA33" i="60"/>
  <c r="AA34" i="60" s="1"/>
  <c r="O21" i="60"/>
  <c r="I21" i="60"/>
  <c r="H21" i="60"/>
  <c r="P21" i="60"/>
  <c r="J21" i="60"/>
  <c r="Q21" i="60" s="1"/>
  <c r="I29" i="60"/>
  <c r="O29" i="60" s="1"/>
  <c r="H29" i="60"/>
  <c r="P29" i="60" s="1"/>
  <c r="J13" i="60"/>
  <c r="Q13" i="60" s="1"/>
  <c r="I15" i="60"/>
  <c r="O15" i="60" s="1"/>
  <c r="O37" i="60"/>
  <c r="I37" i="60"/>
  <c r="H37" i="60"/>
  <c r="P37" i="60" s="1"/>
  <c r="P25" i="60"/>
  <c r="P35" i="60"/>
  <c r="I23" i="60"/>
  <c r="H25" i="60"/>
  <c r="I31" i="60"/>
  <c r="O31" i="60" s="1"/>
  <c r="H33" i="60"/>
  <c r="P33" i="60" s="1"/>
  <c r="AE43" i="60"/>
  <c r="AE44" i="60" s="1"/>
  <c r="S43" i="60"/>
  <c r="S44" i="60" s="1"/>
  <c r="V43" i="60"/>
  <c r="V44" i="60" s="1"/>
  <c r="P44" i="60"/>
  <c r="Y43" i="60"/>
  <c r="Y44" i="60" s="1"/>
  <c r="AB43" i="60"/>
  <c r="AB44" i="60" s="1"/>
  <c r="O50" i="60"/>
  <c r="X49" i="60"/>
  <c r="X50" i="60" s="1"/>
  <c r="AA49" i="60"/>
  <c r="AA50" i="60" s="1"/>
  <c r="AD49" i="60"/>
  <c r="AD50" i="60" s="1"/>
  <c r="R49" i="60"/>
  <c r="R50" i="60" s="1"/>
  <c r="U49" i="60"/>
  <c r="U50" i="60" s="1"/>
  <c r="J25" i="60"/>
  <c r="Q25" i="60" s="1"/>
  <c r="I27" i="60"/>
  <c r="P27" i="60" s="1"/>
  <c r="J33" i="60"/>
  <c r="Q33" i="60" s="1"/>
  <c r="I35" i="60"/>
  <c r="O35" i="60" s="1"/>
  <c r="AA43" i="60"/>
  <c r="AA44" i="60" s="1"/>
  <c r="AD43" i="60"/>
  <c r="AD44" i="60" s="1"/>
  <c r="R43" i="60"/>
  <c r="R44" i="60" s="1"/>
  <c r="U43" i="60"/>
  <c r="U44" i="60" s="1"/>
  <c r="O44" i="60"/>
  <c r="X43" i="60"/>
  <c r="X44" i="60" s="1"/>
  <c r="O39" i="60"/>
  <c r="AB41" i="60"/>
  <c r="AB42" i="60" s="1"/>
  <c r="AE41" i="60"/>
  <c r="AE42" i="60" s="1"/>
  <c r="S41" i="60"/>
  <c r="S42" i="60" s="1"/>
  <c r="V41" i="60"/>
  <c r="V42" i="60" s="1"/>
  <c r="P42" i="60"/>
  <c r="Y41" i="60"/>
  <c r="Y42" i="60" s="1"/>
  <c r="P49" i="60"/>
  <c r="J49" i="60"/>
  <c r="Q49" i="60" s="1"/>
  <c r="Z51" i="60"/>
  <c r="Z52" i="60" s="1"/>
  <c r="AC51" i="60"/>
  <c r="AC52" i="60" s="1"/>
  <c r="AF51" i="60"/>
  <c r="AF52" i="60" s="1"/>
  <c r="T51" i="60"/>
  <c r="T52" i="60" s="1"/>
  <c r="Q52" i="60"/>
  <c r="W51" i="60"/>
  <c r="W52" i="60" s="1"/>
  <c r="H39" i="60"/>
  <c r="J43" i="60"/>
  <c r="Q43" i="60" s="1"/>
  <c r="I45" i="60"/>
  <c r="P45" i="60" s="1"/>
  <c r="O45" i="60"/>
  <c r="H47" i="60"/>
  <c r="P47" i="60" s="1"/>
  <c r="O51" i="60"/>
  <c r="I39" i="60"/>
  <c r="J45" i="60"/>
  <c r="Q45" i="60" s="1"/>
  <c r="I47" i="60"/>
  <c r="O47" i="60" s="1"/>
  <c r="O41" i="60"/>
  <c r="J41" i="60"/>
  <c r="Q41" i="60" s="1"/>
  <c r="U47" i="60" l="1"/>
  <c r="U48" i="60" s="1"/>
  <c r="O48" i="60"/>
  <c r="X47" i="60"/>
  <c r="X48" i="60" s="1"/>
  <c r="AA47" i="60"/>
  <c r="AA48" i="60" s="1"/>
  <c r="AD47" i="60"/>
  <c r="AD48" i="60" s="1"/>
  <c r="R47" i="60"/>
  <c r="R48" i="60" s="1"/>
  <c r="P48" i="60"/>
  <c r="Y47" i="60"/>
  <c r="Y48" i="60" s="1"/>
  <c r="AB47" i="60"/>
  <c r="AB48" i="60" s="1"/>
  <c r="AE47" i="60"/>
  <c r="AE48" i="60" s="1"/>
  <c r="S47" i="60"/>
  <c r="S48" i="60" s="1"/>
  <c r="V47" i="60"/>
  <c r="V48" i="60" s="1"/>
  <c r="AB27" i="60"/>
  <c r="AB28" i="60" s="1"/>
  <c r="AE27" i="60"/>
  <c r="AE28" i="60" s="1"/>
  <c r="S27" i="60"/>
  <c r="S28" i="60" s="1"/>
  <c r="P28" i="60"/>
  <c r="Y27" i="60"/>
  <c r="Y28" i="60" s="1"/>
  <c r="V27" i="60"/>
  <c r="V28" i="60" s="1"/>
  <c r="V37" i="60"/>
  <c r="V38" i="60" s="1"/>
  <c r="AB37" i="60"/>
  <c r="AB38" i="60" s="1"/>
  <c r="AE37" i="60"/>
  <c r="AE38" i="60" s="1"/>
  <c r="S37" i="60"/>
  <c r="S38" i="60" s="1"/>
  <c r="Y37" i="60"/>
  <c r="Y38" i="60" s="1"/>
  <c r="P38" i="60"/>
  <c r="AA17" i="60"/>
  <c r="AA18" i="60" s="1"/>
  <c r="AD17" i="60"/>
  <c r="AD18" i="60" s="1"/>
  <c r="R17" i="60"/>
  <c r="R18" i="60" s="1"/>
  <c r="O18" i="60"/>
  <c r="X17" i="60"/>
  <c r="X18" i="60" s="1"/>
  <c r="U17" i="60"/>
  <c r="U18" i="60" s="1"/>
  <c r="AE29" i="60"/>
  <c r="AE30" i="60" s="1"/>
  <c r="S29" i="60"/>
  <c r="S30" i="60" s="1"/>
  <c r="V29" i="60"/>
  <c r="V30" i="60" s="1"/>
  <c r="AB29" i="60"/>
  <c r="AB30" i="60" s="1"/>
  <c r="Y29" i="60"/>
  <c r="Y30" i="60" s="1"/>
  <c r="P30" i="60"/>
  <c r="V45" i="60"/>
  <c r="V46" i="60" s="1"/>
  <c r="P46" i="60"/>
  <c r="Y45" i="60"/>
  <c r="Y46" i="60" s="1"/>
  <c r="AB45" i="60"/>
  <c r="AB46" i="60" s="1"/>
  <c r="AE45" i="60"/>
  <c r="AE46" i="60" s="1"/>
  <c r="S45" i="60"/>
  <c r="S46" i="60" s="1"/>
  <c r="O36" i="60"/>
  <c r="X35" i="60"/>
  <c r="X36" i="60" s="1"/>
  <c r="AA35" i="60"/>
  <c r="AA36" i="60" s="1"/>
  <c r="AD35" i="60"/>
  <c r="AD36" i="60" s="1"/>
  <c r="U35" i="60"/>
  <c r="U36" i="60" s="1"/>
  <c r="R35" i="60"/>
  <c r="R36" i="60" s="1"/>
  <c r="P34" i="60"/>
  <c r="Y33" i="60"/>
  <c r="Y34" i="60" s="1"/>
  <c r="AB33" i="60"/>
  <c r="AB34" i="60" s="1"/>
  <c r="V33" i="60"/>
  <c r="V34" i="60" s="1"/>
  <c r="S33" i="60"/>
  <c r="S34" i="60" s="1"/>
  <c r="AE33" i="60"/>
  <c r="AE34" i="60" s="1"/>
  <c r="AA29" i="60"/>
  <c r="AA30" i="60" s="1"/>
  <c r="AD29" i="60"/>
  <c r="AD30" i="60" s="1"/>
  <c r="R29" i="60"/>
  <c r="R30" i="60" s="1"/>
  <c r="O30" i="60"/>
  <c r="X29" i="60"/>
  <c r="X30" i="60" s="1"/>
  <c r="U29" i="60"/>
  <c r="U30" i="60" s="1"/>
  <c r="AD31" i="60"/>
  <c r="AD32" i="60" s="1"/>
  <c r="R31" i="60"/>
  <c r="R32" i="60" s="1"/>
  <c r="U31" i="60"/>
  <c r="U32" i="60" s="1"/>
  <c r="AA31" i="60"/>
  <c r="AA32" i="60" s="1"/>
  <c r="O32" i="60"/>
  <c r="X31" i="60"/>
  <c r="X32" i="60" s="1"/>
  <c r="O16" i="60"/>
  <c r="X15" i="60"/>
  <c r="X16" i="60" s="1"/>
  <c r="AA15" i="60"/>
  <c r="AA16" i="60" s="1"/>
  <c r="U15" i="60"/>
  <c r="U16" i="60" s="1"/>
  <c r="R15" i="60"/>
  <c r="R16" i="60" s="1"/>
  <c r="AD15" i="60"/>
  <c r="AD16" i="60" s="1"/>
  <c r="AE17" i="60"/>
  <c r="AE18" i="60" s="1"/>
  <c r="S17" i="60"/>
  <c r="S18" i="60" s="1"/>
  <c r="V17" i="60"/>
  <c r="V18" i="60" s="1"/>
  <c r="AB17" i="60"/>
  <c r="AB18" i="60" s="1"/>
  <c r="Y17" i="60"/>
  <c r="Y18" i="60" s="1"/>
  <c r="P18" i="60"/>
  <c r="AD37" i="60"/>
  <c r="AD38" i="60" s="1"/>
  <c r="O38" i="60"/>
  <c r="X37" i="60"/>
  <c r="X38" i="60" s="1"/>
  <c r="AA37" i="60"/>
  <c r="AA38" i="60" s="1"/>
  <c r="U37" i="60"/>
  <c r="U38" i="60" s="1"/>
  <c r="R37" i="60"/>
  <c r="R38" i="60" s="1"/>
  <c r="V7" i="60"/>
  <c r="V8" i="60" s="1"/>
  <c r="P8" i="60"/>
  <c r="Y7" i="60"/>
  <c r="Y8" i="60" s="1"/>
  <c r="AE7" i="60"/>
  <c r="AE8" i="60" s="1"/>
  <c r="AB7" i="60"/>
  <c r="AB8" i="60" s="1"/>
  <c r="S7" i="60"/>
  <c r="S8" i="60" s="1"/>
  <c r="J47" i="60"/>
  <c r="Q47" i="60" s="1"/>
  <c r="Q46" i="60"/>
  <c r="Z45" i="60"/>
  <c r="Z46" i="60" s="1"/>
  <c r="AC45" i="60"/>
  <c r="AC46" i="60" s="1"/>
  <c r="AF45" i="60"/>
  <c r="AF46" i="60" s="1"/>
  <c r="T45" i="60"/>
  <c r="T46" i="60" s="1"/>
  <c r="W45" i="60"/>
  <c r="W46" i="60" s="1"/>
  <c r="AD45" i="60"/>
  <c r="AD46" i="60" s="1"/>
  <c r="R45" i="60"/>
  <c r="R46" i="60" s="1"/>
  <c r="U45" i="60"/>
  <c r="U46" i="60" s="1"/>
  <c r="O46" i="60"/>
  <c r="X45" i="60"/>
  <c r="X46" i="60" s="1"/>
  <c r="AA45" i="60"/>
  <c r="AA46" i="60" s="1"/>
  <c r="J15" i="60"/>
  <c r="Q15" i="60" s="1"/>
  <c r="J37" i="60"/>
  <c r="Q37" i="60" s="1"/>
  <c r="O27" i="60"/>
  <c r="AC13" i="60"/>
  <c r="AC14" i="60" s="1"/>
  <c r="AF13" i="60"/>
  <c r="AF14" i="60" s="1"/>
  <c r="T13" i="60"/>
  <c r="T14" i="60" s="1"/>
  <c r="Q14" i="60"/>
  <c r="Z13" i="60"/>
  <c r="Z14" i="60" s="1"/>
  <c r="W13" i="60"/>
  <c r="W14" i="60" s="1"/>
  <c r="P14" i="60"/>
  <c r="Y13" i="60"/>
  <c r="Y14" i="60" s="1"/>
  <c r="AB13" i="60"/>
  <c r="AB14" i="60" s="1"/>
  <c r="V13" i="60"/>
  <c r="V14" i="60" s="1"/>
  <c r="AE13" i="60"/>
  <c r="AE14" i="60" s="1"/>
  <c r="S13" i="60"/>
  <c r="S14" i="60" s="1"/>
  <c r="AA9" i="60"/>
  <c r="AA10" i="60" s="1"/>
  <c r="AD9" i="60"/>
  <c r="AD10" i="60" s="1"/>
  <c r="R9" i="60"/>
  <c r="R10" i="60" s="1"/>
  <c r="O10" i="60"/>
  <c r="X9" i="60"/>
  <c r="X10" i="60" s="1"/>
  <c r="U9" i="60"/>
  <c r="U10" i="60" s="1"/>
  <c r="J17" i="60"/>
  <c r="Q17" i="60" s="1"/>
  <c r="P39" i="60"/>
  <c r="J39" i="60"/>
  <c r="Q39" i="60" s="1"/>
  <c r="AB49" i="60"/>
  <c r="AB50" i="60" s="1"/>
  <c r="AE49" i="60"/>
  <c r="AE50" i="60" s="1"/>
  <c r="S49" i="60"/>
  <c r="S50" i="60" s="1"/>
  <c r="V49" i="60"/>
  <c r="V50" i="60" s="1"/>
  <c r="P50" i="60"/>
  <c r="Y49" i="60"/>
  <c r="Y50" i="60" s="1"/>
  <c r="AC33" i="60"/>
  <c r="AC34" i="60" s="1"/>
  <c r="AF33" i="60"/>
  <c r="AF34" i="60" s="1"/>
  <c r="T33" i="60"/>
  <c r="T34" i="60" s="1"/>
  <c r="Q34" i="60"/>
  <c r="Z33" i="60"/>
  <c r="Z34" i="60" s="1"/>
  <c r="W33" i="60"/>
  <c r="W34" i="60" s="1"/>
  <c r="P36" i="60"/>
  <c r="AB35" i="60"/>
  <c r="AB36" i="60" s="1"/>
  <c r="S35" i="60"/>
  <c r="S36" i="60" s="1"/>
  <c r="Y35" i="60"/>
  <c r="Y36" i="60" s="1"/>
  <c r="V35" i="60"/>
  <c r="V36" i="60" s="1"/>
  <c r="AE35" i="60"/>
  <c r="AE36" i="60" s="1"/>
  <c r="AE21" i="60"/>
  <c r="AE22" i="60" s="1"/>
  <c r="S21" i="60"/>
  <c r="S22" i="60" s="1"/>
  <c r="V21" i="60"/>
  <c r="V22" i="60" s="1"/>
  <c r="AB21" i="60"/>
  <c r="AB22" i="60" s="1"/>
  <c r="Y21" i="60"/>
  <c r="Y22" i="60" s="1"/>
  <c r="P22" i="60"/>
  <c r="P15" i="60"/>
  <c r="O42" i="60"/>
  <c r="X41" i="60"/>
  <c r="X42" i="60" s="1"/>
  <c r="AA41" i="60"/>
  <c r="AA42" i="60" s="1"/>
  <c r="AD41" i="60"/>
  <c r="AD42" i="60" s="1"/>
  <c r="R41" i="60"/>
  <c r="R42" i="60" s="1"/>
  <c r="U41" i="60"/>
  <c r="U42" i="60" s="1"/>
  <c r="AC25" i="60"/>
  <c r="AC26" i="60" s="1"/>
  <c r="AF25" i="60"/>
  <c r="AF26" i="60" s="1"/>
  <c r="T25" i="60"/>
  <c r="T26" i="60" s="1"/>
  <c r="Q26" i="60"/>
  <c r="Z25" i="60"/>
  <c r="Z26" i="60" s="1"/>
  <c r="W25" i="60"/>
  <c r="W26" i="60" s="1"/>
  <c r="P23" i="60"/>
  <c r="J23" i="60"/>
  <c r="Q23" i="60" s="1"/>
  <c r="J27" i="60"/>
  <c r="Q27" i="60" s="1"/>
  <c r="O23" i="60"/>
  <c r="J29" i="60"/>
  <c r="Q29" i="60" s="1"/>
  <c r="V11" i="60"/>
  <c r="V12" i="60" s="1"/>
  <c r="P12" i="60"/>
  <c r="Y11" i="60"/>
  <c r="Y12" i="60" s="1"/>
  <c r="AE11" i="60"/>
  <c r="AE12" i="60" s="1"/>
  <c r="S11" i="60"/>
  <c r="S12" i="60" s="1"/>
  <c r="AB11" i="60"/>
  <c r="AB12" i="60" s="1"/>
  <c r="AF41" i="60"/>
  <c r="AF42" i="60" s="1"/>
  <c r="T41" i="60"/>
  <c r="T42" i="60" s="1"/>
  <c r="W41" i="60"/>
  <c r="W42" i="60" s="1"/>
  <c r="Q42" i="60"/>
  <c r="Z41" i="60"/>
  <c r="Z42" i="60" s="1"/>
  <c r="AC41" i="60"/>
  <c r="AC42" i="60" s="1"/>
  <c r="U39" i="60"/>
  <c r="U40" i="60" s="1"/>
  <c r="O40" i="60"/>
  <c r="X39" i="60"/>
  <c r="X40" i="60" s="1"/>
  <c r="AA39" i="60"/>
  <c r="AA40" i="60" s="1"/>
  <c r="AD39" i="60"/>
  <c r="AD40" i="60" s="1"/>
  <c r="R39" i="60"/>
  <c r="R40" i="60" s="1"/>
  <c r="P31" i="60"/>
  <c r="J31" i="60"/>
  <c r="Q31" i="60" s="1"/>
  <c r="P26" i="60"/>
  <c r="Y25" i="60"/>
  <c r="Y26" i="60" s="1"/>
  <c r="AB25" i="60"/>
  <c r="AB26" i="60" s="1"/>
  <c r="V25" i="60"/>
  <c r="V26" i="60" s="1"/>
  <c r="S25" i="60"/>
  <c r="S26" i="60" s="1"/>
  <c r="AE25" i="60"/>
  <c r="AE26" i="60" s="1"/>
  <c r="W9" i="60"/>
  <c r="W10" i="60" s="1"/>
  <c r="Q10" i="60"/>
  <c r="Z9" i="60"/>
  <c r="Z10" i="60" s="1"/>
  <c r="AF9" i="60"/>
  <c r="AF10" i="60" s="1"/>
  <c r="T9" i="60"/>
  <c r="T10" i="60" s="1"/>
  <c r="AC9" i="60"/>
  <c r="AC10" i="60" s="1"/>
  <c r="AD51" i="60"/>
  <c r="AD52" i="60" s="1"/>
  <c r="R51" i="60"/>
  <c r="R52" i="60" s="1"/>
  <c r="O52" i="60"/>
  <c r="U51" i="60"/>
  <c r="U52" i="60" s="1"/>
  <c r="X51" i="60"/>
  <c r="X52" i="60" s="1"/>
  <c r="AA51" i="60"/>
  <c r="AA52" i="60" s="1"/>
  <c r="W43" i="60"/>
  <c r="W44" i="60" s="1"/>
  <c r="Q44" i="60"/>
  <c r="Z43" i="60"/>
  <c r="Z44" i="60" s="1"/>
  <c r="AC43" i="60"/>
  <c r="AC44" i="60" s="1"/>
  <c r="AF43" i="60"/>
  <c r="AF44" i="60" s="1"/>
  <c r="T43" i="60"/>
  <c r="T44" i="60" s="1"/>
  <c r="AF49" i="60"/>
  <c r="AF50" i="60" s="1"/>
  <c r="T49" i="60"/>
  <c r="T50" i="60" s="1"/>
  <c r="W49" i="60"/>
  <c r="W50" i="60" s="1"/>
  <c r="Q50" i="60"/>
  <c r="Z49" i="60"/>
  <c r="Z50" i="60" s="1"/>
  <c r="AC49" i="60"/>
  <c r="AC50" i="60" s="1"/>
  <c r="J35" i="60"/>
  <c r="Q35" i="60" s="1"/>
  <c r="W21" i="60"/>
  <c r="W22" i="60" s="1"/>
  <c r="Q22" i="60"/>
  <c r="Z21" i="60"/>
  <c r="Z22" i="60" s="1"/>
  <c r="AF21" i="60"/>
  <c r="AF22" i="60" s="1"/>
  <c r="T21" i="60"/>
  <c r="T22" i="60" s="1"/>
  <c r="AC21" i="60"/>
  <c r="AC22" i="60" s="1"/>
  <c r="AA21" i="60"/>
  <c r="AA22" i="60" s="1"/>
  <c r="AD21" i="60"/>
  <c r="AD22" i="60" s="1"/>
  <c r="R21" i="60"/>
  <c r="R22" i="60" s="1"/>
  <c r="O22" i="60"/>
  <c r="X21" i="60"/>
  <c r="X22" i="60" s="1"/>
  <c r="U21" i="60"/>
  <c r="U22" i="60" s="1"/>
  <c r="Q8" i="60"/>
  <c r="Z7" i="60"/>
  <c r="Z8" i="60" s="1"/>
  <c r="AC7" i="60"/>
  <c r="AC8" i="60" s="1"/>
  <c r="T7" i="60"/>
  <c r="T8" i="60" s="1"/>
  <c r="W7" i="60"/>
  <c r="W8" i="60" s="1"/>
  <c r="AF7" i="60"/>
  <c r="AF8" i="60" s="1"/>
  <c r="V19" i="60"/>
  <c r="V20" i="60" s="1"/>
  <c r="P20" i="60"/>
  <c r="Y19" i="60"/>
  <c r="Y20" i="60" s="1"/>
  <c r="AE19" i="60"/>
  <c r="AE20" i="60" s="1"/>
  <c r="S19" i="60"/>
  <c r="S20" i="60" s="1"/>
  <c r="AB19" i="60"/>
  <c r="AB20" i="60" s="1"/>
  <c r="AE9" i="60"/>
  <c r="AE10" i="60" s="1"/>
  <c r="S9" i="60"/>
  <c r="S10" i="60" s="1"/>
  <c r="V9" i="60"/>
  <c r="V10" i="60" s="1"/>
  <c r="AB9" i="60"/>
  <c r="AB10" i="60" s="1"/>
  <c r="Y9" i="60"/>
  <c r="Y10" i="60" s="1"/>
  <c r="P10" i="60"/>
  <c r="AF27" i="60" l="1"/>
  <c r="AF28" i="60" s="1"/>
  <c r="T27" i="60"/>
  <c r="T28" i="60" s="1"/>
  <c r="W27" i="60"/>
  <c r="W28" i="60" s="1"/>
  <c r="AC27" i="60"/>
  <c r="AC28" i="60" s="1"/>
  <c r="Z27" i="60"/>
  <c r="Z28" i="60" s="1"/>
  <c r="Q28" i="60"/>
  <c r="AC39" i="60"/>
  <c r="AC40" i="60" s="1"/>
  <c r="AF39" i="60"/>
  <c r="AF40" i="60" s="1"/>
  <c r="T39" i="60"/>
  <c r="T40" i="60" s="1"/>
  <c r="W39" i="60"/>
  <c r="W40" i="60" s="1"/>
  <c r="Q40" i="60"/>
  <c r="Z39" i="60"/>
  <c r="Z40" i="60" s="1"/>
  <c r="AC47" i="60"/>
  <c r="AC48" i="60" s="1"/>
  <c r="AF47" i="60"/>
  <c r="AF48" i="60" s="1"/>
  <c r="T47" i="60"/>
  <c r="T48" i="60" s="1"/>
  <c r="W47" i="60"/>
  <c r="W48" i="60" s="1"/>
  <c r="Q48" i="60"/>
  <c r="Z47" i="60"/>
  <c r="Z48" i="60" s="1"/>
  <c r="AF35" i="60"/>
  <c r="AF36" i="60" s="1"/>
  <c r="AC35" i="60"/>
  <c r="AC36" i="60" s="1"/>
  <c r="T35" i="60"/>
  <c r="T36" i="60" s="1"/>
  <c r="W35" i="60"/>
  <c r="W36" i="60" s="1"/>
  <c r="Z35" i="60"/>
  <c r="Z36" i="60" s="1"/>
  <c r="Q36" i="60"/>
  <c r="V31" i="60"/>
  <c r="V32" i="60" s="1"/>
  <c r="P32" i="60"/>
  <c r="Y31" i="60"/>
  <c r="Y32" i="60" s="1"/>
  <c r="AE31" i="60"/>
  <c r="AE32" i="60" s="1"/>
  <c r="S31" i="60"/>
  <c r="S32" i="60" s="1"/>
  <c r="AB31" i="60"/>
  <c r="AB32" i="60" s="1"/>
  <c r="AD23" i="60"/>
  <c r="AD24" i="60" s="1"/>
  <c r="R23" i="60"/>
  <c r="R24" i="60" s="1"/>
  <c r="U23" i="60"/>
  <c r="U24" i="60" s="1"/>
  <c r="AA23" i="60"/>
  <c r="AA24" i="60" s="1"/>
  <c r="O24" i="60"/>
  <c r="X23" i="60"/>
  <c r="X24" i="60" s="1"/>
  <c r="AB15" i="60"/>
  <c r="AB16" i="60" s="1"/>
  <c r="AE15" i="60"/>
  <c r="AE16" i="60" s="1"/>
  <c r="S15" i="60"/>
  <c r="S16" i="60" s="1"/>
  <c r="P16" i="60"/>
  <c r="Y15" i="60"/>
  <c r="Y16" i="60" s="1"/>
  <c r="V15" i="60"/>
  <c r="V16" i="60" s="1"/>
  <c r="AF15" i="60"/>
  <c r="AF16" i="60" s="1"/>
  <c r="T15" i="60"/>
  <c r="T16" i="60" s="1"/>
  <c r="W15" i="60"/>
  <c r="W16" i="60" s="1"/>
  <c r="AC15" i="60"/>
  <c r="AC16" i="60" s="1"/>
  <c r="Q16" i="60"/>
  <c r="Z15" i="60"/>
  <c r="Z16" i="60" s="1"/>
  <c r="Q24" i="60"/>
  <c r="Z23" i="60"/>
  <c r="Z24" i="60" s="1"/>
  <c r="AC23" i="60"/>
  <c r="AC24" i="60" s="1"/>
  <c r="W23" i="60"/>
  <c r="W24" i="60" s="1"/>
  <c r="T23" i="60"/>
  <c r="T24" i="60" s="1"/>
  <c r="AF23" i="60"/>
  <c r="AF24" i="60" s="1"/>
  <c r="P40" i="60"/>
  <c r="Y39" i="60"/>
  <c r="Y40" i="60" s="1"/>
  <c r="AB39" i="60"/>
  <c r="AB40" i="60" s="1"/>
  <c r="AE39" i="60"/>
  <c r="AE40" i="60" s="1"/>
  <c r="S39" i="60"/>
  <c r="S40" i="60" s="1"/>
  <c r="V39" i="60"/>
  <c r="V40" i="60" s="1"/>
  <c r="O28" i="60"/>
  <c r="X27" i="60"/>
  <c r="X28" i="60" s="1"/>
  <c r="AA27" i="60"/>
  <c r="AA28" i="60" s="1"/>
  <c r="U27" i="60"/>
  <c r="U28" i="60" s="1"/>
  <c r="AD27" i="60"/>
  <c r="AD28" i="60" s="1"/>
  <c r="R27" i="60"/>
  <c r="R28" i="60" s="1"/>
  <c r="Q32" i="60"/>
  <c r="Z31" i="60"/>
  <c r="Z32" i="60" s="1"/>
  <c r="AC31" i="60"/>
  <c r="AC32" i="60" s="1"/>
  <c r="W31" i="60"/>
  <c r="W32" i="60" s="1"/>
  <c r="T31" i="60"/>
  <c r="T32" i="60" s="1"/>
  <c r="AF31" i="60"/>
  <c r="AF32" i="60" s="1"/>
  <c r="W29" i="60"/>
  <c r="W30" i="60" s="1"/>
  <c r="Q30" i="60"/>
  <c r="Z29" i="60"/>
  <c r="Z30" i="60" s="1"/>
  <c r="AF29" i="60"/>
  <c r="AF30" i="60" s="1"/>
  <c r="T29" i="60"/>
  <c r="T30" i="60" s="1"/>
  <c r="AC29" i="60"/>
  <c r="AC30" i="60" s="1"/>
  <c r="V23" i="60"/>
  <c r="V24" i="60" s="1"/>
  <c r="P24" i="60"/>
  <c r="Y23" i="60"/>
  <c r="Y24" i="60" s="1"/>
  <c r="AE23" i="60"/>
  <c r="AE24" i="60" s="1"/>
  <c r="S23" i="60"/>
  <c r="S24" i="60" s="1"/>
  <c r="AB23" i="60"/>
  <c r="AB24" i="60" s="1"/>
  <c r="W17" i="60"/>
  <c r="W18" i="60" s="1"/>
  <c r="Q18" i="60"/>
  <c r="Z17" i="60"/>
  <c r="Z18" i="60" s="1"/>
  <c r="AF17" i="60"/>
  <c r="AF18" i="60" s="1"/>
  <c r="T17" i="60"/>
  <c r="T18" i="60" s="1"/>
  <c r="AC17" i="60"/>
  <c r="AC18" i="60" s="1"/>
  <c r="Q38" i="60"/>
  <c r="Z37" i="60"/>
  <c r="Z38" i="60" s="1"/>
  <c r="AF37" i="60"/>
  <c r="AF38" i="60" s="1"/>
  <c r="T37" i="60"/>
  <c r="T38" i="60" s="1"/>
  <c r="W37" i="60"/>
  <c r="W38" i="60" s="1"/>
  <c r="AC37" i="60"/>
  <c r="AC38" i="60" s="1"/>
  <c r="F30" i="87" l="1"/>
  <c r="H30" i="87" s="1"/>
  <c r="F28" i="87"/>
  <c r="K26" i="87"/>
  <c r="H26" i="87"/>
  <c r="F26" i="87"/>
  <c r="I26" i="87" s="1"/>
  <c r="F24" i="87"/>
  <c r="K24" i="87" s="1"/>
  <c r="K22" i="87"/>
  <c r="F22" i="87"/>
  <c r="I22" i="87" s="1"/>
  <c r="J20" i="87"/>
  <c r="F20" i="87"/>
  <c r="H18" i="87"/>
  <c r="G18" i="87"/>
  <c r="M18" i="87" s="1"/>
  <c r="F18" i="87"/>
  <c r="I18" i="87" s="1"/>
  <c r="J16" i="87"/>
  <c r="F16" i="87"/>
  <c r="I16" i="87" s="1"/>
  <c r="H14" i="87"/>
  <c r="F14" i="87"/>
  <c r="J14" i="87" s="1"/>
  <c r="F12" i="87"/>
  <c r="H12" i="87" s="1"/>
  <c r="H10" i="87"/>
  <c r="F10" i="87"/>
  <c r="J10" i="87" s="1"/>
  <c r="F8" i="87"/>
  <c r="H8" i="87" s="1"/>
  <c r="G7" i="87"/>
  <c r="J31" i="85"/>
  <c r="O31" i="85" s="1"/>
  <c r="O29" i="85"/>
  <c r="O30" i="85" s="1"/>
  <c r="N29" i="85"/>
  <c r="AC29" i="85" s="1"/>
  <c r="AC30" i="85" s="1"/>
  <c r="M29" i="85"/>
  <c r="Y29" i="85" s="1"/>
  <c r="Y30" i="85" s="1"/>
  <c r="J29" i="85"/>
  <c r="F27" i="85"/>
  <c r="J27" i="85" s="1"/>
  <c r="L25" i="85"/>
  <c r="J25" i="85"/>
  <c r="I25" i="85"/>
  <c r="G25" i="85"/>
  <c r="F25" i="85"/>
  <c r="K25" i="85" s="1"/>
  <c r="J23" i="85"/>
  <c r="H23" i="85"/>
  <c r="G23" i="85"/>
  <c r="N23" i="85" s="1"/>
  <c r="F23" i="85"/>
  <c r="L21" i="85"/>
  <c r="H21" i="85"/>
  <c r="G21" i="85"/>
  <c r="F21" i="85"/>
  <c r="J21" i="85" s="1"/>
  <c r="K19" i="85"/>
  <c r="G19" i="85"/>
  <c r="F19" i="85"/>
  <c r="I19" i="85" s="1"/>
  <c r="J17" i="85"/>
  <c r="F17" i="85"/>
  <c r="F15" i="85"/>
  <c r="L15" i="85" s="1"/>
  <c r="I13" i="85"/>
  <c r="F13" i="85"/>
  <c r="K13" i="85" s="1"/>
  <c r="J11" i="85"/>
  <c r="F11" i="85"/>
  <c r="G11" i="85" s="1"/>
  <c r="L9" i="85"/>
  <c r="I9" i="85"/>
  <c r="H9" i="85"/>
  <c r="F9" i="85"/>
  <c r="J9" i="85" s="1"/>
  <c r="L7" i="85"/>
  <c r="K7" i="85"/>
  <c r="I7" i="85"/>
  <c r="H7" i="85"/>
  <c r="G7" i="85"/>
  <c r="O7" i="85" s="1"/>
  <c r="F7" i="85"/>
  <c r="J7" i="85" s="1"/>
  <c r="H22" i="87" l="1"/>
  <c r="K18" i="87"/>
  <c r="L8" i="87"/>
  <c r="J12" i="87"/>
  <c r="G30" i="87"/>
  <c r="M30" i="87" s="1"/>
  <c r="G26" i="87"/>
  <c r="M26" i="87" s="1"/>
  <c r="G22" i="87"/>
  <c r="M22" i="87" s="1"/>
  <c r="I8" i="87"/>
  <c r="N8" i="87" s="1"/>
  <c r="G10" i="87"/>
  <c r="K10" i="87"/>
  <c r="I12" i="87"/>
  <c r="N12" i="87" s="1"/>
  <c r="G14" i="87"/>
  <c r="M14" i="87" s="1"/>
  <c r="K14" i="87"/>
  <c r="L18" i="87"/>
  <c r="K20" i="87"/>
  <c r="G20" i="87"/>
  <c r="M20" i="87" s="1"/>
  <c r="I20" i="87"/>
  <c r="H20" i="87"/>
  <c r="L26" i="87"/>
  <c r="L10" i="87"/>
  <c r="Y18" i="87"/>
  <c r="Y19" i="87" s="1"/>
  <c r="M19" i="87"/>
  <c r="V18" i="87"/>
  <c r="V19" i="87" s="1"/>
  <c r="G8" i="87"/>
  <c r="K8" i="87"/>
  <c r="I10" i="87"/>
  <c r="N10" i="87" s="1"/>
  <c r="G12" i="87"/>
  <c r="M12" i="87" s="1"/>
  <c r="K12" i="87"/>
  <c r="I14" i="87"/>
  <c r="N14" i="87" s="1"/>
  <c r="N18" i="87"/>
  <c r="P18" i="87"/>
  <c r="P19" i="87" s="1"/>
  <c r="G28" i="87"/>
  <c r="J8" i="87"/>
  <c r="K16" i="87"/>
  <c r="G16" i="87"/>
  <c r="M16" i="87" s="1"/>
  <c r="H16" i="87"/>
  <c r="S18" i="87"/>
  <c r="S19" i="87" s="1"/>
  <c r="AB18" i="87"/>
  <c r="AB19" i="87" s="1"/>
  <c r="N30" i="87"/>
  <c r="L30" i="87"/>
  <c r="J18" i="87"/>
  <c r="J22" i="87"/>
  <c r="N22" i="87" s="1"/>
  <c r="H24" i="87"/>
  <c r="J26" i="87"/>
  <c r="N26" i="87"/>
  <c r="H28" i="87"/>
  <c r="I24" i="87"/>
  <c r="J24" i="87"/>
  <c r="G24" i="87"/>
  <c r="M24" i="87" s="1"/>
  <c r="O8" i="85"/>
  <c r="U7" i="85"/>
  <c r="U8" i="85" s="1"/>
  <c r="AD7" i="85"/>
  <c r="AD8" i="85" s="1"/>
  <c r="R7" i="85"/>
  <c r="R8" i="85" s="1"/>
  <c r="X7" i="85"/>
  <c r="X8" i="85" s="1"/>
  <c r="AA7" i="85"/>
  <c r="AA8" i="85" s="1"/>
  <c r="M7" i="85"/>
  <c r="N7" i="85"/>
  <c r="J15" i="85"/>
  <c r="J13" i="85"/>
  <c r="Z23" i="85"/>
  <c r="Z24" i="85" s="1"/>
  <c r="AC23" i="85"/>
  <c r="AC24" i="85" s="1"/>
  <c r="Q23" i="85"/>
  <c r="Q24" i="85" s="1"/>
  <c r="N24" i="85"/>
  <c r="T23" i="85"/>
  <c r="T24" i="85" s="1"/>
  <c r="W23" i="85"/>
  <c r="W24" i="85" s="1"/>
  <c r="O23" i="85"/>
  <c r="O25" i="85"/>
  <c r="G9" i="85"/>
  <c r="K9" i="85"/>
  <c r="H11" i="85"/>
  <c r="N11" i="85" s="1"/>
  <c r="H13" i="85"/>
  <c r="L13" i="85"/>
  <c r="I15" i="85"/>
  <c r="L17" i="85"/>
  <c r="H17" i="85"/>
  <c r="K17" i="85"/>
  <c r="G17" i="85"/>
  <c r="I17" i="85"/>
  <c r="K15" i="85"/>
  <c r="G15" i="85"/>
  <c r="G13" i="85"/>
  <c r="H15" i="85"/>
  <c r="X31" i="85"/>
  <c r="X32" i="85" s="1"/>
  <c r="AA31" i="85"/>
  <c r="AA32" i="85" s="1"/>
  <c r="AD31" i="85"/>
  <c r="AD32" i="85" s="1"/>
  <c r="R31" i="85"/>
  <c r="R32" i="85" s="1"/>
  <c r="O32" i="85"/>
  <c r="U31" i="85"/>
  <c r="U32" i="85" s="1"/>
  <c r="J19" i="85"/>
  <c r="K21" i="85"/>
  <c r="O21" i="85"/>
  <c r="M25" i="85"/>
  <c r="K27" i="85"/>
  <c r="R29" i="85"/>
  <c r="R30" i="85" s="1"/>
  <c r="V29" i="85"/>
  <c r="V30" i="85" s="1"/>
  <c r="Z29" i="85"/>
  <c r="Z30" i="85" s="1"/>
  <c r="AD29" i="85"/>
  <c r="AD30" i="85" s="1"/>
  <c r="M31" i="85"/>
  <c r="O19" i="85"/>
  <c r="N25" i="85"/>
  <c r="G27" i="85"/>
  <c r="L27" i="85"/>
  <c r="S29" i="85"/>
  <c r="S30" i="85" s="1"/>
  <c r="W29" i="85"/>
  <c r="W30" i="85" s="1"/>
  <c r="AA29" i="85"/>
  <c r="AA30" i="85" s="1"/>
  <c r="M30" i="85"/>
  <c r="N31" i="85"/>
  <c r="H19" i="85"/>
  <c r="M19" i="85" s="1"/>
  <c r="L19" i="85"/>
  <c r="I21" i="85"/>
  <c r="N21" i="85" s="1"/>
  <c r="M21" i="85"/>
  <c r="M23" i="85"/>
  <c r="I27" i="85"/>
  <c r="P29" i="85"/>
  <c r="P30" i="85" s="1"/>
  <c r="T29" i="85"/>
  <c r="T30" i="85" s="1"/>
  <c r="X29" i="85"/>
  <c r="X30" i="85" s="1"/>
  <c r="AB29" i="85"/>
  <c r="AB30" i="85" s="1"/>
  <c r="N30" i="85"/>
  <c r="Q29" i="85"/>
  <c r="Q30" i="85" s="1"/>
  <c r="U29" i="85"/>
  <c r="U30" i="85" s="1"/>
  <c r="L22" i="87" l="1"/>
  <c r="X22" i="87" s="1"/>
  <c r="X23" i="87" s="1"/>
  <c r="AC22" i="87"/>
  <c r="AC23" i="87" s="1"/>
  <c r="Q22" i="87"/>
  <c r="Q23" i="87" s="1"/>
  <c r="N23" i="87"/>
  <c r="T22" i="87"/>
  <c r="T23" i="87" s="1"/>
  <c r="W22" i="87"/>
  <c r="W23" i="87" s="1"/>
  <c r="Z22" i="87"/>
  <c r="Z23" i="87" s="1"/>
  <c r="Z10" i="87"/>
  <c r="Z11" i="87" s="1"/>
  <c r="N11" i="87"/>
  <c r="AC10" i="87"/>
  <c r="AC11" i="87" s="1"/>
  <c r="Q10" i="87"/>
  <c r="Q11" i="87" s="1"/>
  <c r="W10" i="87"/>
  <c r="W11" i="87" s="1"/>
  <c r="T10" i="87"/>
  <c r="T11" i="87" s="1"/>
  <c r="N13" i="87"/>
  <c r="T12" i="87"/>
  <c r="T13" i="87" s="1"/>
  <c r="Z12" i="87"/>
  <c r="Z13" i="87" s="1"/>
  <c r="W12" i="87"/>
  <c r="W13" i="87" s="1"/>
  <c r="AC12" i="87"/>
  <c r="AC13" i="87" s="1"/>
  <c r="Q12" i="87"/>
  <c r="Q13" i="87" s="1"/>
  <c r="Z14" i="87"/>
  <c r="Z15" i="87" s="1"/>
  <c r="AC14" i="87"/>
  <c r="AC15" i="87" s="1"/>
  <c r="Q14" i="87"/>
  <c r="Q15" i="87" s="1"/>
  <c r="N15" i="87"/>
  <c r="T14" i="87"/>
  <c r="T15" i="87" s="1"/>
  <c r="W14" i="87"/>
  <c r="W15" i="87" s="1"/>
  <c r="N9" i="87"/>
  <c r="T8" i="87"/>
  <c r="T9" i="87" s="1"/>
  <c r="W8" i="87"/>
  <c r="W9" i="87" s="1"/>
  <c r="AC8" i="87"/>
  <c r="AC9" i="87" s="1"/>
  <c r="Q8" i="87"/>
  <c r="Q9" i="87" s="1"/>
  <c r="Z8" i="87"/>
  <c r="Z9" i="87" s="1"/>
  <c r="AC18" i="87"/>
  <c r="AC19" i="87" s="1"/>
  <c r="Q18" i="87"/>
  <c r="Q19" i="87" s="1"/>
  <c r="Z18" i="87"/>
  <c r="Z19" i="87" s="1"/>
  <c r="W18" i="87"/>
  <c r="W19" i="87" s="1"/>
  <c r="N19" i="87"/>
  <c r="T18" i="87"/>
  <c r="T19" i="87" s="1"/>
  <c r="V14" i="87"/>
  <c r="V15" i="87" s="1"/>
  <c r="AB14" i="87"/>
  <c r="AB15" i="87" s="1"/>
  <c r="P14" i="87"/>
  <c r="P15" i="87" s="1"/>
  <c r="Y14" i="87"/>
  <c r="Y15" i="87" s="1"/>
  <c r="M15" i="87"/>
  <c r="S14" i="87"/>
  <c r="S15" i="87" s="1"/>
  <c r="N28" i="87"/>
  <c r="L28" i="87"/>
  <c r="W30" i="87"/>
  <c r="W31" i="87" s="1"/>
  <c r="Z30" i="87"/>
  <c r="Z31" i="87" s="1"/>
  <c r="AC30" i="87"/>
  <c r="AC31" i="87" s="1"/>
  <c r="Q30" i="87"/>
  <c r="Q31" i="87" s="1"/>
  <c r="N31" i="87"/>
  <c r="T30" i="87"/>
  <c r="T31" i="87" s="1"/>
  <c r="M17" i="87"/>
  <c r="S16" i="87"/>
  <c r="S17" i="87" s="1"/>
  <c r="AB16" i="87"/>
  <c r="AB17" i="87" s="1"/>
  <c r="P16" i="87"/>
  <c r="P17" i="87" s="1"/>
  <c r="V16" i="87"/>
  <c r="V17" i="87" s="1"/>
  <c r="Y16" i="87"/>
  <c r="Y17" i="87" s="1"/>
  <c r="AB12" i="87"/>
  <c r="AB13" i="87" s="1"/>
  <c r="P12" i="87"/>
  <c r="P13" i="87" s="1"/>
  <c r="M13" i="87"/>
  <c r="S12" i="87"/>
  <c r="S13" i="87" s="1"/>
  <c r="Y12" i="87"/>
  <c r="Y13" i="87" s="1"/>
  <c r="V12" i="87"/>
  <c r="V13" i="87" s="1"/>
  <c r="L11" i="87"/>
  <c r="R10" i="87"/>
  <c r="R11" i="87" s="1"/>
  <c r="U10" i="87"/>
  <c r="U11" i="87" s="1"/>
  <c r="X10" i="87"/>
  <c r="X11" i="87" s="1"/>
  <c r="AA10" i="87"/>
  <c r="AA11" i="87" s="1"/>
  <c r="O10" i="87"/>
  <c r="O11" i="87" s="1"/>
  <c r="M10" i="87"/>
  <c r="M31" i="87"/>
  <c r="S30" i="87"/>
  <c r="S31" i="87" s="1"/>
  <c r="V30" i="87"/>
  <c r="V31" i="87" s="1"/>
  <c r="Y30" i="87"/>
  <c r="Y31" i="87" s="1"/>
  <c r="AB30" i="87"/>
  <c r="AB31" i="87" s="1"/>
  <c r="P30" i="87"/>
  <c r="P31" i="87" s="1"/>
  <c r="M25" i="87"/>
  <c r="S24" i="87"/>
  <c r="S25" i="87" s="1"/>
  <c r="V24" i="87"/>
  <c r="V25" i="87" s="1"/>
  <c r="Y24" i="87"/>
  <c r="Y25" i="87" s="1"/>
  <c r="AB24" i="87"/>
  <c r="AB25" i="87" s="1"/>
  <c r="P24" i="87"/>
  <c r="P25" i="87" s="1"/>
  <c r="U26" i="87"/>
  <c r="U27" i="87" s="1"/>
  <c r="X26" i="87"/>
  <c r="X27" i="87" s="1"/>
  <c r="AA26" i="87"/>
  <c r="AA27" i="87" s="1"/>
  <c r="O26" i="87"/>
  <c r="O27" i="87" s="1"/>
  <c r="L27" i="87"/>
  <c r="R26" i="87"/>
  <c r="R27" i="87" s="1"/>
  <c r="U22" i="87"/>
  <c r="U23" i="87" s="1"/>
  <c r="L23" i="87"/>
  <c r="Y22" i="87"/>
  <c r="Y23" i="87" s="1"/>
  <c r="AB22" i="87"/>
  <c r="AB23" i="87" s="1"/>
  <c r="P22" i="87"/>
  <c r="P23" i="87" s="1"/>
  <c r="M23" i="87"/>
  <c r="S22" i="87"/>
  <c r="S23" i="87" s="1"/>
  <c r="V22" i="87"/>
  <c r="V23" i="87" s="1"/>
  <c r="AC26" i="87"/>
  <c r="AC27" i="87" s="1"/>
  <c r="Q26" i="87"/>
  <c r="Q27" i="87" s="1"/>
  <c r="N27" i="87"/>
  <c r="T26" i="87"/>
  <c r="T27" i="87" s="1"/>
  <c r="W26" i="87"/>
  <c r="W27" i="87" s="1"/>
  <c r="Z26" i="87"/>
  <c r="Z27" i="87" s="1"/>
  <c r="M21" i="87"/>
  <c r="S20" i="87"/>
  <c r="S21" i="87" s="1"/>
  <c r="Y20" i="87"/>
  <c r="Y21" i="87" s="1"/>
  <c r="AB20" i="87"/>
  <c r="AB21" i="87" s="1"/>
  <c r="P20" i="87"/>
  <c r="P21" i="87" s="1"/>
  <c r="V20" i="87"/>
  <c r="V21" i="87" s="1"/>
  <c r="L9" i="87"/>
  <c r="R8" i="87"/>
  <c r="R9" i="87" s="1"/>
  <c r="AA8" i="87"/>
  <c r="AA9" i="87" s="1"/>
  <c r="O8" i="87"/>
  <c r="O9" i="87" s="1"/>
  <c r="U8" i="87"/>
  <c r="U9" i="87" s="1"/>
  <c r="X8" i="87"/>
  <c r="X9" i="87" s="1"/>
  <c r="N24" i="87"/>
  <c r="L24" i="87"/>
  <c r="AA30" i="87"/>
  <c r="AA31" i="87" s="1"/>
  <c r="O30" i="87"/>
  <c r="O31" i="87" s="1"/>
  <c r="L31" i="87"/>
  <c r="R30" i="87"/>
  <c r="R31" i="87" s="1"/>
  <c r="U30" i="87"/>
  <c r="U31" i="87" s="1"/>
  <c r="X30" i="87"/>
  <c r="X31" i="87" s="1"/>
  <c r="L16" i="87"/>
  <c r="N16" i="87"/>
  <c r="M28" i="87"/>
  <c r="M8" i="87"/>
  <c r="L14" i="87"/>
  <c r="L20" i="87"/>
  <c r="N20" i="87"/>
  <c r="U18" i="87"/>
  <c r="U19" i="87" s="1"/>
  <c r="AA18" i="87"/>
  <c r="AA19" i="87" s="1"/>
  <c r="L19" i="87"/>
  <c r="R18" i="87"/>
  <c r="R19" i="87" s="1"/>
  <c r="X18" i="87"/>
  <c r="X19" i="87" s="1"/>
  <c r="O18" i="87"/>
  <c r="O19" i="87" s="1"/>
  <c r="Y26" i="87"/>
  <c r="Y27" i="87" s="1"/>
  <c r="AB26" i="87"/>
  <c r="AB27" i="87" s="1"/>
  <c r="P26" i="87"/>
  <c r="P27" i="87" s="1"/>
  <c r="M27" i="87"/>
  <c r="S26" i="87"/>
  <c r="S27" i="87" s="1"/>
  <c r="V26" i="87"/>
  <c r="V27" i="87" s="1"/>
  <c r="L12" i="87"/>
  <c r="Y19" i="85"/>
  <c r="Y20" i="85" s="1"/>
  <c r="AB19" i="85"/>
  <c r="AB20" i="85" s="1"/>
  <c r="P19" i="85"/>
  <c r="P20" i="85" s="1"/>
  <c r="M20" i="85"/>
  <c r="S19" i="85"/>
  <c r="S20" i="85" s="1"/>
  <c r="V19" i="85"/>
  <c r="V20" i="85" s="1"/>
  <c r="Z21" i="85"/>
  <c r="Z22" i="85" s="1"/>
  <c r="AC21" i="85"/>
  <c r="AC22" i="85" s="1"/>
  <c r="Q21" i="85"/>
  <c r="Q22" i="85" s="1"/>
  <c r="N22" i="85"/>
  <c r="T21" i="85"/>
  <c r="T22" i="85" s="1"/>
  <c r="W21" i="85"/>
  <c r="W22" i="85" s="1"/>
  <c r="Z11" i="85"/>
  <c r="Z12" i="85" s="1"/>
  <c r="N12" i="85"/>
  <c r="T11" i="85"/>
  <c r="T12" i="85" s="1"/>
  <c r="AC11" i="85"/>
  <c r="AC12" i="85" s="1"/>
  <c r="W11" i="85"/>
  <c r="W12" i="85" s="1"/>
  <c r="O11" i="85"/>
  <c r="Q11" i="85"/>
  <c r="Q12" i="85" s="1"/>
  <c r="V21" i="85"/>
  <c r="V22" i="85" s="1"/>
  <c r="Y21" i="85"/>
  <c r="Y22" i="85" s="1"/>
  <c r="AB21" i="85"/>
  <c r="AB22" i="85" s="1"/>
  <c r="P21" i="85"/>
  <c r="P22" i="85" s="1"/>
  <c r="M22" i="85"/>
  <c r="S21" i="85"/>
  <c r="S22" i="85" s="1"/>
  <c r="O20" i="85"/>
  <c r="U19" i="85"/>
  <c r="U20" i="85" s="1"/>
  <c r="X19" i="85"/>
  <c r="X20" i="85" s="1"/>
  <c r="AA19" i="85"/>
  <c r="AA20" i="85" s="1"/>
  <c r="AD19" i="85"/>
  <c r="AD20" i="85" s="1"/>
  <c r="R19" i="85"/>
  <c r="R20" i="85" s="1"/>
  <c r="Y7" i="85"/>
  <c r="Y8" i="85" s="1"/>
  <c r="AB7" i="85"/>
  <c r="AB8" i="85" s="1"/>
  <c r="P7" i="85"/>
  <c r="P8" i="85" s="1"/>
  <c r="M8" i="85"/>
  <c r="V7" i="85"/>
  <c r="V8" i="85" s="1"/>
  <c r="S7" i="85"/>
  <c r="S8" i="85" s="1"/>
  <c r="V23" i="85"/>
  <c r="V24" i="85" s="1"/>
  <c r="Y23" i="85"/>
  <c r="Y24" i="85" s="1"/>
  <c r="AB23" i="85"/>
  <c r="AB24" i="85" s="1"/>
  <c r="P23" i="85"/>
  <c r="P24" i="85" s="1"/>
  <c r="M24" i="85"/>
  <c r="S23" i="85"/>
  <c r="S24" i="85" s="1"/>
  <c r="N26" i="85"/>
  <c r="T25" i="85"/>
  <c r="T26" i="85" s="1"/>
  <c r="W25" i="85"/>
  <c r="W26" i="85" s="1"/>
  <c r="Z25" i="85"/>
  <c r="Z26" i="85" s="1"/>
  <c r="AC25" i="85"/>
  <c r="AC26" i="85" s="1"/>
  <c r="Q25" i="85"/>
  <c r="Q26" i="85" s="1"/>
  <c r="AB25" i="85"/>
  <c r="AB26" i="85" s="1"/>
  <c r="P25" i="85"/>
  <c r="P26" i="85" s="1"/>
  <c r="M26" i="85"/>
  <c r="S25" i="85"/>
  <c r="S26" i="85" s="1"/>
  <c r="V25" i="85"/>
  <c r="V26" i="85" s="1"/>
  <c r="Y25" i="85"/>
  <c r="Y26" i="85" s="1"/>
  <c r="X25" i="85"/>
  <c r="X26" i="85" s="1"/>
  <c r="AA25" i="85"/>
  <c r="AA26" i="85" s="1"/>
  <c r="AD25" i="85"/>
  <c r="AD26" i="85" s="1"/>
  <c r="R25" i="85"/>
  <c r="R26" i="85" s="1"/>
  <c r="O26" i="85"/>
  <c r="U25" i="85"/>
  <c r="U26" i="85" s="1"/>
  <c r="AC7" i="85"/>
  <c r="AC8" i="85" s="1"/>
  <c r="Q7" i="85"/>
  <c r="Q8" i="85" s="1"/>
  <c r="T7" i="85"/>
  <c r="T8" i="85" s="1"/>
  <c r="Z7" i="85"/>
  <c r="Z8" i="85" s="1"/>
  <c r="N8" i="85"/>
  <c r="W7" i="85"/>
  <c r="W8" i="85" s="1"/>
  <c r="N32" i="85"/>
  <c r="T31" i="85"/>
  <c r="T32" i="85" s="1"/>
  <c r="W31" i="85"/>
  <c r="W32" i="85" s="1"/>
  <c r="Z31" i="85"/>
  <c r="Z32" i="85" s="1"/>
  <c r="AC31" i="85"/>
  <c r="AC32" i="85" s="1"/>
  <c r="Q31" i="85"/>
  <c r="Q32" i="85" s="1"/>
  <c r="AD21" i="85"/>
  <c r="AD22" i="85" s="1"/>
  <c r="R21" i="85"/>
  <c r="R22" i="85" s="1"/>
  <c r="O22" i="85"/>
  <c r="U21" i="85"/>
  <c r="U22" i="85" s="1"/>
  <c r="X21" i="85"/>
  <c r="X22" i="85" s="1"/>
  <c r="AA21" i="85"/>
  <c r="AA22" i="85" s="1"/>
  <c r="O13" i="85"/>
  <c r="N13" i="85"/>
  <c r="M13" i="85"/>
  <c r="AB31" i="85"/>
  <c r="AB32" i="85" s="1"/>
  <c r="P31" i="85"/>
  <c r="P32" i="85" s="1"/>
  <c r="M32" i="85"/>
  <c r="S31" i="85"/>
  <c r="S32" i="85" s="1"/>
  <c r="V31" i="85"/>
  <c r="V32" i="85" s="1"/>
  <c r="Y31" i="85"/>
  <c r="Y32" i="85" s="1"/>
  <c r="M11" i="85"/>
  <c r="AD23" i="85"/>
  <c r="AD24" i="85" s="1"/>
  <c r="R23" i="85"/>
  <c r="R24" i="85" s="1"/>
  <c r="O24" i="85"/>
  <c r="U23" i="85"/>
  <c r="U24" i="85" s="1"/>
  <c r="X23" i="85"/>
  <c r="X24" i="85" s="1"/>
  <c r="AA23" i="85"/>
  <c r="AA24" i="85" s="1"/>
  <c r="O17" i="85"/>
  <c r="N17" i="85"/>
  <c r="M17" i="85"/>
  <c r="N27" i="85"/>
  <c r="M27" i="85"/>
  <c r="O27" i="85"/>
  <c r="N19" i="85"/>
  <c r="O15" i="85"/>
  <c r="N15" i="85"/>
  <c r="M15" i="85"/>
  <c r="N9" i="85"/>
  <c r="O9" i="85"/>
  <c r="M9" i="85"/>
  <c r="O22" i="87" l="1"/>
  <c r="O23" i="87" s="1"/>
  <c r="AA22" i="87"/>
  <c r="AA23" i="87" s="1"/>
  <c r="R22" i="87"/>
  <c r="R23" i="87" s="1"/>
  <c r="W16" i="87"/>
  <c r="W17" i="87" s="1"/>
  <c r="N17" i="87"/>
  <c r="T16" i="87"/>
  <c r="T17" i="87" s="1"/>
  <c r="AC16" i="87"/>
  <c r="AC17" i="87" s="1"/>
  <c r="Q16" i="87"/>
  <c r="Q17" i="87" s="1"/>
  <c r="Z16" i="87"/>
  <c r="Z17" i="87" s="1"/>
  <c r="X12" i="87"/>
  <c r="X13" i="87" s="1"/>
  <c r="AA12" i="87"/>
  <c r="AA13" i="87" s="1"/>
  <c r="O12" i="87"/>
  <c r="O13" i="87" s="1"/>
  <c r="R12" i="87"/>
  <c r="R13" i="87" s="1"/>
  <c r="U12" i="87"/>
  <c r="U13" i="87" s="1"/>
  <c r="L13" i="87"/>
  <c r="W20" i="87"/>
  <c r="W21" i="87" s="1"/>
  <c r="AC20" i="87"/>
  <c r="AC21" i="87" s="1"/>
  <c r="Q20" i="87"/>
  <c r="Q21" i="87" s="1"/>
  <c r="N21" i="87"/>
  <c r="T20" i="87"/>
  <c r="T21" i="87" s="1"/>
  <c r="Z20" i="87"/>
  <c r="Z21" i="87" s="1"/>
  <c r="V28" i="87"/>
  <c r="V29" i="87" s="1"/>
  <c r="Y28" i="87"/>
  <c r="Y29" i="87" s="1"/>
  <c r="AB28" i="87"/>
  <c r="AB29" i="87" s="1"/>
  <c r="P28" i="87"/>
  <c r="P29" i="87" s="1"/>
  <c r="M29" i="87"/>
  <c r="S28" i="87"/>
  <c r="S29" i="87" s="1"/>
  <c r="L29" i="87"/>
  <c r="R28" i="87"/>
  <c r="R29" i="87" s="1"/>
  <c r="U28" i="87"/>
  <c r="U29" i="87" s="1"/>
  <c r="X28" i="87"/>
  <c r="X29" i="87" s="1"/>
  <c r="AA28" i="87"/>
  <c r="AA29" i="87" s="1"/>
  <c r="O28" i="87"/>
  <c r="O29" i="87" s="1"/>
  <c r="AA20" i="87"/>
  <c r="AA21" i="87" s="1"/>
  <c r="O20" i="87"/>
  <c r="O21" i="87" s="1"/>
  <c r="U20" i="87"/>
  <c r="U21" i="87" s="1"/>
  <c r="X20" i="87"/>
  <c r="X21" i="87" s="1"/>
  <c r="R20" i="87"/>
  <c r="R21" i="87" s="1"/>
  <c r="L21" i="87"/>
  <c r="AA24" i="87"/>
  <c r="AA25" i="87" s="1"/>
  <c r="O24" i="87"/>
  <c r="O25" i="87" s="1"/>
  <c r="L25" i="87"/>
  <c r="R24" i="87"/>
  <c r="R25" i="87" s="1"/>
  <c r="U24" i="87"/>
  <c r="U25" i="87" s="1"/>
  <c r="X24" i="87"/>
  <c r="X25" i="87" s="1"/>
  <c r="Z28" i="87"/>
  <c r="Z29" i="87" s="1"/>
  <c r="AC28" i="87"/>
  <c r="AC29" i="87" s="1"/>
  <c r="Q28" i="87"/>
  <c r="Q29" i="87" s="1"/>
  <c r="N29" i="87"/>
  <c r="T28" i="87"/>
  <c r="T29" i="87" s="1"/>
  <c r="W28" i="87"/>
  <c r="W29" i="87" s="1"/>
  <c r="L15" i="87"/>
  <c r="R14" i="87"/>
  <c r="R15" i="87" s="1"/>
  <c r="U14" i="87"/>
  <c r="U15" i="87" s="1"/>
  <c r="AA14" i="87"/>
  <c r="AA15" i="87" s="1"/>
  <c r="O14" i="87"/>
  <c r="O15" i="87" s="1"/>
  <c r="X14" i="87"/>
  <c r="X15" i="87" s="1"/>
  <c r="AA16" i="87"/>
  <c r="AA17" i="87" s="1"/>
  <c r="O16" i="87"/>
  <c r="O17" i="87" s="1"/>
  <c r="X16" i="87"/>
  <c r="X17" i="87" s="1"/>
  <c r="L17" i="87"/>
  <c r="U16" i="87"/>
  <c r="U17" i="87" s="1"/>
  <c r="R16" i="87"/>
  <c r="R17" i="87" s="1"/>
  <c r="W24" i="87"/>
  <c r="W25" i="87" s="1"/>
  <c r="Z24" i="87"/>
  <c r="Z25" i="87" s="1"/>
  <c r="AC24" i="87"/>
  <c r="AC25" i="87" s="1"/>
  <c r="Q24" i="87"/>
  <c r="Q25" i="87" s="1"/>
  <c r="N25" i="87"/>
  <c r="T24" i="87"/>
  <c r="T25" i="87" s="1"/>
  <c r="AB8" i="87"/>
  <c r="AB9" i="87" s="1"/>
  <c r="P8" i="87"/>
  <c r="P9" i="87" s="1"/>
  <c r="M9" i="87"/>
  <c r="S8" i="87"/>
  <c r="S9" i="87" s="1"/>
  <c r="V8" i="87"/>
  <c r="V9" i="87" s="1"/>
  <c r="Y8" i="87"/>
  <c r="Y9" i="87" s="1"/>
  <c r="V10" i="87"/>
  <c r="V11" i="87" s="1"/>
  <c r="P10" i="87"/>
  <c r="P11" i="87" s="1"/>
  <c r="Y10" i="87"/>
  <c r="Y11" i="87" s="1"/>
  <c r="M11" i="87"/>
  <c r="S10" i="87"/>
  <c r="S11" i="87" s="1"/>
  <c r="AB10" i="87"/>
  <c r="AB11" i="87" s="1"/>
  <c r="X17" i="85"/>
  <c r="X18" i="85" s="1"/>
  <c r="AA17" i="85"/>
  <c r="AA18" i="85" s="1"/>
  <c r="AD17" i="85"/>
  <c r="AD18" i="85" s="1"/>
  <c r="R17" i="85"/>
  <c r="R18" i="85" s="1"/>
  <c r="O18" i="85"/>
  <c r="U17" i="85"/>
  <c r="U18" i="85" s="1"/>
  <c r="AD9" i="85"/>
  <c r="AD10" i="85" s="1"/>
  <c r="R9" i="85"/>
  <c r="R10" i="85" s="1"/>
  <c r="X9" i="85"/>
  <c r="X10" i="85" s="1"/>
  <c r="AA9" i="85"/>
  <c r="AA10" i="85" s="1"/>
  <c r="O10" i="85"/>
  <c r="U9" i="85"/>
  <c r="U10" i="85" s="1"/>
  <c r="Z27" i="85"/>
  <c r="Z28" i="85" s="1"/>
  <c r="AC27" i="85"/>
  <c r="AC28" i="85" s="1"/>
  <c r="Q27" i="85"/>
  <c r="Q28" i="85" s="1"/>
  <c r="N28" i="85"/>
  <c r="T27" i="85"/>
  <c r="T28" i="85" s="1"/>
  <c r="W27" i="85"/>
  <c r="W28" i="85" s="1"/>
  <c r="V27" i="85"/>
  <c r="V28" i="85" s="1"/>
  <c r="Y27" i="85"/>
  <c r="Y28" i="85" s="1"/>
  <c r="AB27" i="85"/>
  <c r="AB28" i="85" s="1"/>
  <c r="P27" i="85"/>
  <c r="P28" i="85" s="1"/>
  <c r="M28" i="85"/>
  <c r="S27" i="85"/>
  <c r="S28" i="85" s="1"/>
  <c r="AA15" i="85"/>
  <c r="AA16" i="85" s="1"/>
  <c r="AD15" i="85"/>
  <c r="AD16" i="85" s="1"/>
  <c r="U15" i="85"/>
  <c r="U16" i="85" s="1"/>
  <c r="O16" i="85"/>
  <c r="X15" i="85"/>
  <c r="X16" i="85" s="1"/>
  <c r="R15" i="85"/>
  <c r="R16" i="85" s="1"/>
  <c r="Z9" i="85"/>
  <c r="Z10" i="85" s="1"/>
  <c r="Q9" i="85"/>
  <c r="Q10" i="85" s="1"/>
  <c r="AC9" i="85"/>
  <c r="AC10" i="85" s="1"/>
  <c r="N10" i="85"/>
  <c r="T9" i="85"/>
  <c r="T10" i="85" s="1"/>
  <c r="W9" i="85"/>
  <c r="W10" i="85" s="1"/>
  <c r="AC19" i="85"/>
  <c r="AC20" i="85" s="1"/>
  <c r="Q19" i="85"/>
  <c r="Q20" i="85" s="1"/>
  <c r="N20" i="85"/>
  <c r="T19" i="85"/>
  <c r="T20" i="85" s="1"/>
  <c r="W19" i="85"/>
  <c r="W20" i="85" s="1"/>
  <c r="Z19" i="85"/>
  <c r="Z20" i="85" s="1"/>
  <c r="AB17" i="85"/>
  <c r="AB18" i="85" s="1"/>
  <c r="P17" i="85"/>
  <c r="P18" i="85" s="1"/>
  <c r="M18" i="85"/>
  <c r="S17" i="85"/>
  <c r="S18" i="85" s="1"/>
  <c r="V17" i="85"/>
  <c r="V18" i="85" s="1"/>
  <c r="Y17" i="85"/>
  <c r="Y18" i="85" s="1"/>
  <c r="M14" i="85"/>
  <c r="S13" i="85"/>
  <c r="S14" i="85" s="1"/>
  <c r="V13" i="85"/>
  <c r="V14" i="85" s="1"/>
  <c r="Y13" i="85"/>
  <c r="Y14" i="85" s="1"/>
  <c r="AB13" i="85"/>
  <c r="AB14" i="85" s="1"/>
  <c r="P13" i="85"/>
  <c r="P14" i="85" s="1"/>
  <c r="AD11" i="85"/>
  <c r="AD12" i="85" s="1"/>
  <c r="R11" i="85"/>
  <c r="R12" i="85" s="1"/>
  <c r="O12" i="85"/>
  <c r="U11" i="85"/>
  <c r="U12" i="85" s="1"/>
  <c r="X11" i="85"/>
  <c r="X12" i="85" s="1"/>
  <c r="AA11" i="85"/>
  <c r="AA12" i="85" s="1"/>
  <c r="V9" i="85"/>
  <c r="V10" i="85" s="1"/>
  <c r="Y9" i="85"/>
  <c r="Y10" i="85" s="1"/>
  <c r="M10" i="85"/>
  <c r="S9" i="85"/>
  <c r="S10" i="85" s="1"/>
  <c r="AB9" i="85"/>
  <c r="AB10" i="85" s="1"/>
  <c r="P9" i="85"/>
  <c r="P10" i="85" s="1"/>
  <c r="W15" i="85"/>
  <c r="W16" i="85" s="1"/>
  <c r="Z15" i="85"/>
  <c r="Z16" i="85" s="1"/>
  <c r="N16" i="85"/>
  <c r="AC15" i="85"/>
  <c r="AC16" i="85" s="1"/>
  <c r="Q15" i="85"/>
  <c r="Q16" i="85" s="1"/>
  <c r="T15" i="85"/>
  <c r="T16" i="85" s="1"/>
  <c r="AA13" i="85"/>
  <c r="AA14" i="85" s="1"/>
  <c r="X13" i="85"/>
  <c r="X14" i="85" s="1"/>
  <c r="AD13" i="85"/>
  <c r="AD14" i="85" s="1"/>
  <c r="R13" i="85"/>
  <c r="R14" i="85" s="1"/>
  <c r="O14" i="85"/>
  <c r="U13" i="85"/>
  <c r="U14" i="85" s="1"/>
  <c r="M16" i="85"/>
  <c r="S15" i="85"/>
  <c r="S16" i="85" s="1"/>
  <c r="V15" i="85"/>
  <c r="V16" i="85" s="1"/>
  <c r="AB15" i="85"/>
  <c r="AB16" i="85" s="1"/>
  <c r="P15" i="85"/>
  <c r="P16" i="85" s="1"/>
  <c r="Y15" i="85"/>
  <c r="Y16" i="85" s="1"/>
  <c r="AD27" i="85"/>
  <c r="AD28" i="85" s="1"/>
  <c r="R27" i="85"/>
  <c r="R28" i="85" s="1"/>
  <c r="O28" i="85"/>
  <c r="U27" i="85"/>
  <c r="U28" i="85" s="1"/>
  <c r="X27" i="85"/>
  <c r="X28" i="85" s="1"/>
  <c r="AA27" i="85"/>
  <c r="AA28" i="85" s="1"/>
  <c r="N18" i="85"/>
  <c r="T17" i="85"/>
  <c r="T18" i="85" s="1"/>
  <c r="W17" i="85"/>
  <c r="W18" i="85" s="1"/>
  <c r="Z17" i="85"/>
  <c r="Z18" i="85" s="1"/>
  <c r="AC17" i="85"/>
  <c r="AC18" i="85" s="1"/>
  <c r="Q17" i="85"/>
  <c r="Q18" i="85" s="1"/>
  <c r="V11" i="85"/>
  <c r="V12" i="85" s="1"/>
  <c r="M12" i="85"/>
  <c r="S11" i="85"/>
  <c r="S12" i="85" s="1"/>
  <c r="Y11" i="85"/>
  <c r="Y12" i="85" s="1"/>
  <c r="AB11" i="85"/>
  <c r="AB12" i="85" s="1"/>
  <c r="P11" i="85"/>
  <c r="P12" i="85" s="1"/>
  <c r="W13" i="85"/>
  <c r="W14" i="85" s="1"/>
  <c r="Z13" i="85"/>
  <c r="Z14" i="85" s="1"/>
  <c r="AC13" i="85"/>
  <c r="AC14" i="85" s="1"/>
  <c r="Q13" i="85"/>
  <c r="Q14" i="85" s="1"/>
  <c r="N14" i="85"/>
  <c r="T13" i="85"/>
  <c r="T14" i="85" s="1"/>
  <c r="S31" i="78" l="1"/>
  <c r="T31" i="78" s="1"/>
  <c r="Z31" i="78" s="1"/>
  <c r="Z32" i="78" s="1"/>
  <c r="K29" i="78"/>
  <c r="M29" i="78" s="1"/>
  <c r="G29" i="78"/>
  <c r="G27" i="78"/>
  <c r="N25" i="78"/>
  <c r="I25" i="78"/>
  <c r="L25" i="78" s="1"/>
  <c r="H25" i="78"/>
  <c r="G25" i="78"/>
  <c r="K25" i="78" s="1"/>
  <c r="O25" i="78" s="1"/>
  <c r="G23" i="78"/>
  <c r="K21" i="78"/>
  <c r="G21" i="78"/>
  <c r="J21" i="78" s="1"/>
  <c r="R19" i="78"/>
  <c r="N19" i="78"/>
  <c r="J19" i="78"/>
  <c r="O19" i="78" s="1"/>
  <c r="I19" i="78"/>
  <c r="L19" i="78" s="1"/>
  <c r="G19" i="78"/>
  <c r="K19" i="78" s="1"/>
  <c r="G17" i="78"/>
  <c r="Q17" i="78" s="1"/>
  <c r="G15" i="78"/>
  <c r="K15" i="78" s="1"/>
  <c r="R13" i="78"/>
  <c r="N13" i="78"/>
  <c r="M13" i="78"/>
  <c r="J13" i="78"/>
  <c r="I13" i="78"/>
  <c r="L13" i="78" s="1"/>
  <c r="G13" i="78"/>
  <c r="K13" i="78" s="1"/>
  <c r="R11" i="78"/>
  <c r="Q11" i="78"/>
  <c r="L11" i="78"/>
  <c r="J11" i="78"/>
  <c r="O11" i="78" s="1"/>
  <c r="I11" i="78"/>
  <c r="N11" i="78" s="1"/>
  <c r="H11" i="78"/>
  <c r="G11" i="78"/>
  <c r="K11" i="78" s="1"/>
  <c r="Q9" i="78"/>
  <c r="K9" i="78"/>
  <c r="J9" i="78"/>
  <c r="M9" i="78" s="1"/>
  <c r="G9" i="78"/>
  <c r="I9" i="78" s="1"/>
  <c r="N9" i="78" s="1"/>
  <c r="G7" i="78"/>
  <c r="I7" i="78" s="1"/>
  <c r="N7" i="78" l="1"/>
  <c r="L7" i="78"/>
  <c r="L9" i="78"/>
  <c r="M11" i="78"/>
  <c r="V11" i="78" s="1"/>
  <c r="J7" i="78"/>
  <c r="H9" i="78"/>
  <c r="O13" i="78"/>
  <c r="M19" i="78"/>
  <c r="M25" i="78"/>
  <c r="V25" i="78" s="1"/>
  <c r="I17" i="78"/>
  <c r="J17" i="78"/>
  <c r="M21" i="78"/>
  <c r="O21" i="78"/>
  <c r="Q23" i="78"/>
  <c r="I23" i="78"/>
  <c r="J23" i="78"/>
  <c r="P23" i="78"/>
  <c r="H23" i="78"/>
  <c r="K23" i="78"/>
  <c r="K7" i="78"/>
  <c r="O9" i="78"/>
  <c r="U25" i="78"/>
  <c r="H7" i="78"/>
  <c r="Q7" i="78"/>
  <c r="Q15" i="78"/>
  <c r="H15" i="78"/>
  <c r="R15" i="78"/>
  <c r="I15" i="78"/>
  <c r="H17" i="78"/>
  <c r="U11" i="78"/>
  <c r="T11" i="78"/>
  <c r="J15" i="78"/>
  <c r="K17" i="78"/>
  <c r="H13" i="78"/>
  <c r="Q13" i="78"/>
  <c r="H29" i="78"/>
  <c r="I29" i="78"/>
  <c r="Q29" i="78"/>
  <c r="I27" i="78"/>
  <c r="K27" i="78"/>
  <c r="Q27" i="78"/>
  <c r="H27" i="78"/>
  <c r="AI31" i="78"/>
  <c r="AI32" i="78" s="1"/>
  <c r="W31" i="78"/>
  <c r="W32" i="78" s="1"/>
  <c r="AC31" i="78"/>
  <c r="AC32" i="78" s="1"/>
  <c r="U31" i="78"/>
  <c r="AF31" i="78"/>
  <c r="AF32" i="78" s="1"/>
  <c r="P21" i="78"/>
  <c r="H21" i="78"/>
  <c r="Q21" i="78"/>
  <c r="I21" i="78"/>
  <c r="T25" i="78"/>
  <c r="O29" i="78"/>
  <c r="V31" i="78"/>
  <c r="T32" i="78"/>
  <c r="H19" i="78"/>
  <c r="Q19" i="78"/>
  <c r="Q25" i="78"/>
  <c r="V12" i="78" l="1"/>
  <c r="AB11" i="78"/>
  <c r="AB12" i="78" s="1"/>
  <c r="AK11" i="78"/>
  <c r="AK12" i="78" s="1"/>
  <c r="Y11" i="78"/>
  <c r="Y12" i="78" s="1"/>
  <c r="AH11" i="78"/>
  <c r="AH12" i="78" s="1"/>
  <c r="AE11" i="78"/>
  <c r="AE12" i="78" s="1"/>
  <c r="AH25" i="78"/>
  <c r="AH26" i="78" s="1"/>
  <c r="AE25" i="78"/>
  <c r="AE26" i="78" s="1"/>
  <c r="AB25" i="78"/>
  <c r="AB26" i="78" s="1"/>
  <c r="AK25" i="78"/>
  <c r="AK26" i="78" s="1"/>
  <c r="Y25" i="78"/>
  <c r="Y26" i="78" s="1"/>
  <c r="V26" i="78"/>
  <c r="U32" i="78"/>
  <c r="AA31" i="78"/>
  <c r="AA32" i="78" s="1"/>
  <c r="AG31" i="78"/>
  <c r="AG32" i="78" s="1"/>
  <c r="AJ31" i="78"/>
  <c r="AJ32" i="78" s="1"/>
  <c r="X31" i="78"/>
  <c r="X32" i="78" s="1"/>
  <c r="AD31" i="78"/>
  <c r="AD32" i="78" s="1"/>
  <c r="AD25" i="78"/>
  <c r="AD26" i="78" s="1"/>
  <c r="U26" i="78"/>
  <c r="AA25" i="78"/>
  <c r="AA26" i="78" s="1"/>
  <c r="AJ25" i="78"/>
  <c r="AJ26" i="78" s="1"/>
  <c r="X25" i="78"/>
  <c r="X26" i="78" s="1"/>
  <c r="AG25" i="78"/>
  <c r="AG26" i="78" s="1"/>
  <c r="V23" i="78"/>
  <c r="N17" i="78"/>
  <c r="L17" i="78"/>
  <c r="V17" i="78" s="1"/>
  <c r="U19" i="78"/>
  <c r="V19" i="78"/>
  <c r="T19" i="78"/>
  <c r="T21" i="78"/>
  <c r="U21" i="78"/>
  <c r="N29" i="78"/>
  <c r="L29" i="78"/>
  <c r="T17" i="78"/>
  <c r="U17" i="78"/>
  <c r="T29" i="78"/>
  <c r="U29" i="78"/>
  <c r="V29" i="78"/>
  <c r="M15" i="78"/>
  <c r="O15" i="78"/>
  <c r="L15" i="78"/>
  <c r="T15" i="78" s="1"/>
  <c r="N15" i="78"/>
  <c r="M23" i="78"/>
  <c r="O23" i="78"/>
  <c r="AE31" i="78"/>
  <c r="AE32" i="78" s="1"/>
  <c r="AK31" i="78"/>
  <c r="AK32" i="78" s="1"/>
  <c r="Y31" i="78"/>
  <c r="Y32" i="78" s="1"/>
  <c r="V32" i="78"/>
  <c r="AB31" i="78"/>
  <c r="AB32" i="78" s="1"/>
  <c r="AH31" i="78"/>
  <c r="AH32" i="78" s="1"/>
  <c r="L21" i="78"/>
  <c r="N21" i="78"/>
  <c r="V21" i="78" s="1"/>
  <c r="N27" i="78"/>
  <c r="L27" i="78"/>
  <c r="V27" i="78" s="1"/>
  <c r="AF11" i="78"/>
  <c r="AF12" i="78" s="1"/>
  <c r="AC11" i="78"/>
  <c r="AC12" i="78" s="1"/>
  <c r="AI11" i="78"/>
  <c r="AI12" i="78" s="1"/>
  <c r="W11" i="78"/>
  <c r="W12" i="78" s="1"/>
  <c r="Z11" i="78"/>
  <c r="Z12" i="78" s="1"/>
  <c r="T12" i="78"/>
  <c r="T7" i="78"/>
  <c r="U7" i="78"/>
  <c r="N23" i="78"/>
  <c r="L23" i="78"/>
  <c r="T23" i="78" s="1"/>
  <c r="M17" i="78"/>
  <c r="O17" i="78"/>
  <c r="AJ11" i="78"/>
  <c r="AJ12" i="78" s="1"/>
  <c r="X11" i="78"/>
  <c r="X12" i="78" s="1"/>
  <c r="AG11" i="78"/>
  <c r="AG12" i="78" s="1"/>
  <c r="U12" i="78"/>
  <c r="AD11" i="78"/>
  <c r="AD12" i="78" s="1"/>
  <c r="AA11" i="78"/>
  <c r="AA12" i="78" s="1"/>
  <c r="M7" i="78"/>
  <c r="V7" i="78" s="1"/>
  <c r="O7" i="78"/>
  <c r="T27" i="78"/>
  <c r="U13" i="78"/>
  <c r="V13" i="78"/>
  <c r="T13" i="78"/>
  <c r="V15" i="78"/>
  <c r="T9" i="78"/>
  <c r="V9" i="78"/>
  <c r="U9" i="78"/>
  <c r="T26" i="78"/>
  <c r="Z25" i="78"/>
  <c r="Z26" i="78" s="1"/>
  <c r="AI25" i="78"/>
  <c r="AI26" i="78" s="1"/>
  <c r="W25" i="78"/>
  <c r="W26" i="78" s="1"/>
  <c r="AC25" i="78"/>
  <c r="AC26" i="78" s="1"/>
  <c r="AF25" i="78"/>
  <c r="AF26" i="78" s="1"/>
  <c r="O27" i="78"/>
  <c r="M27" i="78"/>
  <c r="AK27" i="78" l="1"/>
  <c r="AK28" i="78" s="1"/>
  <c r="Y27" i="78"/>
  <c r="Y28" i="78" s="1"/>
  <c r="AH27" i="78"/>
  <c r="AH28" i="78" s="1"/>
  <c r="AE27" i="78"/>
  <c r="AE28" i="78" s="1"/>
  <c r="AB27" i="78"/>
  <c r="AB28" i="78" s="1"/>
  <c r="V28" i="78"/>
  <c r="V18" i="78"/>
  <c r="AB17" i="78"/>
  <c r="AB18" i="78" s="1"/>
  <c r="AK17" i="78"/>
  <c r="AK18" i="78" s="1"/>
  <c r="Y17" i="78"/>
  <c r="Y18" i="78" s="1"/>
  <c r="AH17" i="78"/>
  <c r="AH18" i="78" s="1"/>
  <c r="AE17" i="78"/>
  <c r="AE18" i="78" s="1"/>
  <c r="AE7" i="78"/>
  <c r="AE8" i="78" s="1"/>
  <c r="AK7" i="78"/>
  <c r="AK8" i="78" s="1"/>
  <c r="Y7" i="78"/>
  <c r="Y8" i="78" s="1"/>
  <c r="V8" i="78"/>
  <c r="AB7" i="78"/>
  <c r="AB8" i="78" s="1"/>
  <c r="AH7" i="78"/>
  <c r="AH8" i="78" s="1"/>
  <c r="T16" i="78"/>
  <c r="Z15" i="78"/>
  <c r="Z16" i="78" s="1"/>
  <c r="AI15" i="78"/>
  <c r="AI16" i="78" s="1"/>
  <c r="W15" i="78"/>
  <c r="W16" i="78" s="1"/>
  <c r="AF15" i="78"/>
  <c r="AF16" i="78" s="1"/>
  <c r="AC15" i="78"/>
  <c r="AC16" i="78" s="1"/>
  <c r="AI23" i="78"/>
  <c r="AI24" i="78" s="1"/>
  <c r="W23" i="78"/>
  <c r="W24" i="78" s="1"/>
  <c r="AF23" i="78"/>
  <c r="AF24" i="78" s="1"/>
  <c r="Z23" i="78"/>
  <c r="Z24" i="78" s="1"/>
  <c r="AC23" i="78"/>
  <c r="AC24" i="78" s="1"/>
  <c r="T24" i="78"/>
  <c r="AH21" i="78"/>
  <c r="AH22" i="78" s="1"/>
  <c r="AE21" i="78"/>
  <c r="AE22" i="78" s="1"/>
  <c r="Y21" i="78"/>
  <c r="Y22" i="78" s="1"/>
  <c r="AB21" i="78"/>
  <c r="AB22" i="78" s="1"/>
  <c r="V22" i="78"/>
  <c r="AK21" i="78"/>
  <c r="AK22" i="78" s="1"/>
  <c r="AD21" i="78"/>
  <c r="AD22" i="78" s="1"/>
  <c r="U22" i="78"/>
  <c r="AA21" i="78"/>
  <c r="AA22" i="78" s="1"/>
  <c r="AG21" i="78"/>
  <c r="AG22" i="78" s="1"/>
  <c r="AJ21" i="78"/>
  <c r="AJ22" i="78" s="1"/>
  <c r="X21" i="78"/>
  <c r="X22" i="78" s="1"/>
  <c r="AC13" i="78"/>
  <c r="AC14" i="78" s="1"/>
  <c r="T14" i="78"/>
  <c r="Z13" i="78"/>
  <c r="Z14" i="78" s="1"/>
  <c r="AI13" i="78"/>
  <c r="AI14" i="78" s="1"/>
  <c r="AF13" i="78"/>
  <c r="AF14" i="78" s="1"/>
  <c r="W13" i="78"/>
  <c r="W14" i="78" s="1"/>
  <c r="AJ29" i="78"/>
  <c r="AJ30" i="78" s="1"/>
  <c r="X29" i="78"/>
  <c r="X30" i="78" s="1"/>
  <c r="AG29" i="78"/>
  <c r="AG30" i="78" s="1"/>
  <c r="U30" i="78"/>
  <c r="AD29" i="78"/>
  <c r="AD30" i="78" s="1"/>
  <c r="AA29" i="78"/>
  <c r="AA30" i="78" s="1"/>
  <c r="AG19" i="78"/>
  <c r="AG20" i="78" s="1"/>
  <c r="AD19" i="78"/>
  <c r="AD20" i="78" s="1"/>
  <c r="X19" i="78"/>
  <c r="X20" i="78" s="1"/>
  <c r="AA19" i="78"/>
  <c r="AA20" i="78" s="1"/>
  <c r="AJ19" i="78"/>
  <c r="AJ20" i="78" s="1"/>
  <c r="U20" i="78"/>
  <c r="U23" i="78"/>
  <c r="U15" i="78"/>
  <c r="U27" i="78"/>
  <c r="AJ9" i="78"/>
  <c r="AJ10" i="78" s="1"/>
  <c r="X9" i="78"/>
  <c r="X10" i="78" s="1"/>
  <c r="U10" i="78"/>
  <c r="AG9" i="78"/>
  <c r="AG10" i="78" s="1"/>
  <c r="AA9" i="78"/>
  <c r="AA10" i="78" s="1"/>
  <c r="AD9" i="78"/>
  <c r="AD10" i="78" s="1"/>
  <c r="AG13" i="78"/>
  <c r="AG14" i="78" s="1"/>
  <c r="AD13" i="78"/>
  <c r="AD14" i="78" s="1"/>
  <c r="AA13" i="78"/>
  <c r="AA14" i="78" s="1"/>
  <c r="U14" i="78"/>
  <c r="AJ13" i="78"/>
  <c r="AJ14" i="78" s="1"/>
  <c r="X13" i="78"/>
  <c r="X14" i="78" s="1"/>
  <c r="AJ7" i="78"/>
  <c r="AJ8" i="78" s="1"/>
  <c r="U8" i="78"/>
  <c r="AD7" i="78"/>
  <c r="AD8" i="78" s="1"/>
  <c r="AG7" i="78"/>
  <c r="AG8" i="78" s="1"/>
  <c r="X7" i="78"/>
  <c r="X8" i="78" s="1"/>
  <c r="AA7" i="78"/>
  <c r="AA8" i="78" s="1"/>
  <c r="AC19" i="78"/>
  <c r="AC20" i="78" s="1"/>
  <c r="T20" i="78"/>
  <c r="Z19" i="78"/>
  <c r="Z20" i="78" s="1"/>
  <c r="AF19" i="78"/>
  <c r="AF20" i="78" s="1"/>
  <c r="AI19" i="78"/>
  <c r="AI20" i="78" s="1"/>
  <c r="W19" i="78"/>
  <c r="W20" i="78" s="1"/>
  <c r="AC27" i="78"/>
  <c r="AC28" i="78" s="1"/>
  <c r="T28" i="78"/>
  <c r="Z27" i="78"/>
  <c r="Z28" i="78" s="1"/>
  <c r="W27" i="78"/>
  <c r="W28" i="78" s="1"/>
  <c r="AI27" i="78"/>
  <c r="AI28" i="78" s="1"/>
  <c r="AF27" i="78"/>
  <c r="AF28" i="78" s="1"/>
  <c r="AK19" i="78"/>
  <c r="AK20" i="78" s="1"/>
  <c r="Y19" i="78"/>
  <c r="Y20" i="78" s="1"/>
  <c r="AH19" i="78"/>
  <c r="AH20" i="78" s="1"/>
  <c r="V20" i="78"/>
  <c r="AE19" i="78"/>
  <c r="AE20" i="78" s="1"/>
  <c r="AB19" i="78"/>
  <c r="AB20" i="78" s="1"/>
  <c r="AE23" i="78"/>
  <c r="AE24" i="78" s="1"/>
  <c r="V24" i="78"/>
  <c r="AB23" i="78"/>
  <c r="AB24" i="78" s="1"/>
  <c r="AH23" i="78"/>
  <c r="AH24" i="78" s="1"/>
  <c r="AK23" i="78"/>
  <c r="AK24" i="78" s="1"/>
  <c r="Y23" i="78"/>
  <c r="Y24" i="78" s="1"/>
  <c r="AH15" i="78"/>
  <c r="AH16" i="78" s="1"/>
  <c r="AE15" i="78"/>
  <c r="AE16" i="78" s="1"/>
  <c r="AB15" i="78"/>
  <c r="AB16" i="78" s="1"/>
  <c r="Y15" i="78"/>
  <c r="Y16" i="78" s="1"/>
  <c r="V16" i="78"/>
  <c r="AK15" i="78"/>
  <c r="AK16" i="78" s="1"/>
  <c r="AJ17" i="78"/>
  <c r="AJ18" i="78" s="1"/>
  <c r="X17" i="78"/>
  <c r="X18" i="78" s="1"/>
  <c r="AG17" i="78"/>
  <c r="AG18" i="78" s="1"/>
  <c r="AA17" i="78"/>
  <c r="AA18" i="78" s="1"/>
  <c r="AD17" i="78"/>
  <c r="AD18" i="78" s="1"/>
  <c r="U18" i="78"/>
  <c r="AF17" i="78"/>
  <c r="AF18" i="78" s="1"/>
  <c r="AC17" i="78"/>
  <c r="AC18" i="78" s="1"/>
  <c r="Z17" i="78"/>
  <c r="Z18" i="78" s="1"/>
  <c r="AI17" i="78"/>
  <c r="AI18" i="78" s="1"/>
  <c r="T18" i="78"/>
  <c r="W17" i="78"/>
  <c r="W18" i="78" s="1"/>
  <c r="V10" i="78"/>
  <c r="AB9" i="78"/>
  <c r="AB10" i="78" s="1"/>
  <c r="Y9" i="78"/>
  <c r="Y10" i="78" s="1"/>
  <c r="AH9" i="78"/>
  <c r="AH10" i="78" s="1"/>
  <c r="AK9" i="78"/>
  <c r="AK10" i="78" s="1"/>
  <c r="AE9" i="78"/>
  <c r="AE10" i="78" s="1"/>
  <c r="V30" i="78"/>
  <c r="AB29" i="78"/>
  <c r="AB30" i="78" s="1"/>
  <c r="AK29" i="78"/>
  <c r="AK30" i="78" s="1"/>
  <c r="Y29" i="78"/>
  <c r="Y30" i="78" s="1"/>
  <c r="AH29" i="78"/>
  <c r="AH30" i="78" s="1"/>
  <c r="AE29" i="78"/>
  <c r="AE30" i="78" s="1"/>
  <c r="AF9" i="78"/>
  <c r="AF10" i="78" s="1"/>
  <c r="Z9" i="78"/>
  <c r="Z10" i="78" s="1"/>
  <c r="AI9" i="78"/>
  <c r="AI10" i="78" s="1"/>
  <c r="AC9" i="78"/>
  <c r="AC10" i="78" s="1"/>
  <c r="W9" i="78"/>
  <c r="W10" i="78" s="1"/>
  <c r="T10" i="78"/>
  <c r="AI7" i="78"/>
  <c r="AI8" i="78" s="1"/>
  <c r="W7" i="78"/>
  <c r="W8" i="78" s="1"/>
  <c r="Z7" i="78"/>
  <c r="Z8" i="78" s="1"/>
  <c r="AC7" i="78"/>
  <c r="AC8" i="78" s="1"/>
  <c r="AF7" i="78"/>
  <c r="AF8" i="78" s="1"/>
  <c r="T8" i="78"/>
  <c r="T22" i="78"/>
  <c r="Z21" i="78"/>
  <c r="Z22" i="78" s="1"/>
  <c r="AI21" i="78"/>
  <c r="AI22" i="78" s="1"/>
  <c r="W21" i="78"/>
  <c r="W22" i="78" s="1"/>
  <c r="AF21" i="78"/>
  <c r="AF22" i="78" s="1"/>
  <c r="AC21" i="78"/>
  <c r="AC22" i="78" s="1"/>
  <c r="AK13" i="78"/>
  <c r="AK14" i="78" s="1"/>
  <c r="Y13" i="78"/>
  <c r="Y14" i="78" s="1"/>
  <c r="AH13" i="78"/>
  <c r="AH14" i="78" s="1"/>
  <c r="V14" i="78"/>
  <c r="AE13" i="78"/>
  <c r="AE14" i="78" s="1"/>
  <c r="AB13" i="78"/>
  <c r="AB14" i="78" s="1"/>
  <c r="AF29" i="78"/>
  <c r="AF30" i="78" s="1"/>
  <c r="T30" i="78"/>
  <c r="AC29" i="78"/>
  <c r="AC30" i="78" s="1"/>
  <c r="Z29" i="78"/>
  <c r="Z30" i="78" s="1"/>
  <c r="W29" i="78"/>
  <c r="W30" i="78" s="1"/>
  <c r="AI29" i="78"/>
  <c r="AI30" i="78" s="1"/>
  <c r="AG27" i="78" l="1"/>
  <c r="AG28" i="78" s="1"/>
  <c r="AD27" i="78"/>
  <c r="AD28" i="78" s="1"/>
  <c r="U28" i="78"/>
  <c r="AJ27" i="78"/>
  <c r="AJ28" i="78" s="1"/>
  <c r="AA27" i="78"/>
  <c r="AA28" i="78" s="1"/>
  <c r="X27" i="78"/>
  <c r="X28" i="78" s="1"/>
  <c r="AD15" i="78"/>
  <c r="AD16" i="78" s="1"/>
  <c r="U16" i="78"/>
  <c r="AA15" i="78"/>
  <c r="AA16" i="78" s="1"/>
  <c r="AJ15" i="78"/>
  <c r="AJ16" i="78" s="1"/>
  <c r="X15" i="78"/>
  <c r="X16" i="78" s="1"/>
  <c r="AG15" i="78"/>
  <c r="AG16" i="78" s="1"/>
  <c r="U24" i="78"/>
  <c r="AA23" i="78"/>
  <c r="AA24" i="78" s="1"/>
  <c r="AJ23" i="78"/>
  <c r="AJ24" i="78" s="1"/>
  <c r="X23" i="78"/>
  <c r="X24" i="78" s="1"/>
  <c r="AG23" i="78"/>
  <c r="AG24" i="78" s="1"/>
  <c r="AD23" i="78"/>
  <c r="AD24" i="78" s="1"/>
  <c r="AE28" i="83" l="1"/>
  <c r="AD28" i="83"/>
  <c r="AA28" i="83"/>
  <c r="Z28" i="83"/>
  <c r="W28" i="83"/>
  <c r="V28" i="83"/>
  <c r="S28" i="83"/>
  <c r="R28" i="83"/>
  <c r="Q28" i="83"/>
  <c r="P28" i="83"/>
  <c r="O28" i="83"/>
  <c r="AF27" i="83"/>
  <c r="AF28" i="83" s="1"/>
  <c r="AE27" i="83"/>
  <c r="AD27" i="83"/>
  <c r="AC27" i="83"/>
  <c r="AC28" i="83" s="1"/>
  <c r="AB27" i="83"/>
  <c r="AB28" i="83" s="1"/>
  <c r="AA27" i="83"/>
  <c r="Z27" i="83"/>
  <c r="Y27" i="83"/>
  <c r="Y28" i="83" s="1"/>
  <c r="X27" i="83"/>
  <c r="X28" i="83" s="1"/>
  <c r="W27" i="83"/>
  <c r="V27" i="83"/>
  <c r="U27" i="83"/>
  <c r="U28" i="83" s="1"/>
  <c r="T27" i="83"/>
  <c r="T28" i="83" s="1"/>
  <c r="S27" i="83"/>
  <c r="R27" i="83"/>
  <c r="N25" i="83"/>
  <c r="J25" i="83"/>
  <c r="I25" i="83"/>
  <c r="M25" i="83" s="1"/>
  <c r="H25" i="83"/>
  <c r="G25" i="83"/>
  <c r="J23" i="83"/>
  <c r="I23" i="83"/>
  <c r="M23" i="83" s="1"/>
  <c r="G23" i="83"/>
  <c r="J21" i="83"/>
  <c r="I21" i="83"/>
  <c r="M21" i="83" s="1"/>
  <c r="H21" i="83"/>
  <c r="G21" i="83"/>
  <c r="K19" i="83"/>
  <c r="J19" i="83"/>
  <c r="I19" i="83"/>
  <c r="M19" i="83" s="1"/>
  <c r="G19" i="83"/>
  <c r="J17" i="83"/>
  <c r="I17" i="83"/>
  <c r="M17" i="83" s="1"/>
  <c r="H17" i="83"/>
  <c r="G17" i="83"/>
  <c r="J15" i="83"/>
  <c r="I15" i="83"/>
  <c r="M15" i="83" s="1"/>
  <c r="H15" i="83"/>
  <c r="L15" i="83" s="1"/>
  <c r="G15" i="83"/>
  <c r="J13" i="83"/>
  <c r="I13" i="83"/>
  <c r="M13" i="83" s="1"/>
  <c r="H13" i="83"/>
  <c r="L13" i="83" s="1"/>
  <c r="G13" i="83"/>
  <c r="J11" i="83"/>
  <c r="I11" i="83"/>
  <c r="M11" i="83" s="1"/>
  <c r="G11" i="83"/>
  <c r="K11" i="83" s="1"/>
  <c r="J9" i="83"/>
  <c r="I9" i="83"/>
  <c r="M9" i="83" s="1"/>
  <c r="G9" i="83"/>
  <c r="J7" i="83"/>
  <c r="I7" i="83"/>
  <c r="M7" i="83" s="1"/>
  <c r="H7" i="83"/>
  <c r="G7" i="83"/>
  <c r="J5" i="83"/>
  <c r="I5" i="83"/>
  <c r="M5" i="83" s="1"/>
  <c r="H5" i="83"/>
  <c r="G5" i="83"/>
  <c r="G29" i="81"/>
  <c r="F29" i="81"/>
  <c r="G27" i="81"/>
  <c r="F27" i="81"/>
  <c r="F25" i="81"/>
  <c r="K25" i="81" s="1"/>
  <c r="F23" i="81"/>
  <c r="H23" i="81" s="1"/>
  <c r="I21" i="81"/>
  <c r="H21" i="81"/>
  <c r="F21" i="81"/>
  <c r="J21" i="81" s="1"/>
  <c r="F19" i="81"/>
  <c r="H19" i="81" s="1"/>
  <c r="J17" i="81"/>
  <c r="I17" i="81"/>
  <c r="H17" i="81"/>
  <c r="F17" i="81"/>
  <c r="K17" i="81" s="1"/>
  <c r="F15" i="81"/>
  <c r="H15" i="81" s="1"/>
  <c r="I13" i="81"/>
  <c r="H13" i="81"/>
  <c r="F13" i="81"/>
  <c r="J13" i="81" s="1"/>
  <c r="K11" i="81"/>
  <c r="J11" i="81"/>
  <c r="F11" i="81"/>
  <c r="I9" i="81"/>
  <c r="H9" i="81"/>
  <c r="F9" i="81"/>
  <c r="K9" i="81" s="1"/>
  <c r="K7" i="81"/>
  <c r="J7" i="81"/>
  <c r="G7" i="81"/>
  <c r="F7" i="81"/>
  <c r="K6" i="81"/>
  <c r="K27" i="81" s="1"/>
  <c r="L27" i="81" s="1"/>
  <c r="L7" i="81" l="1"/>
  <c r="U27" i="81"/>
  <c r="U28" i="81" s="1"/>
  <c r="L28" i="81"/>
  <c r="R27" i="81"/>
  <c r="R28" i="81" s="1"/>
  <c r="O27" i="81"/>
  <c r="O28" i="81" s="1"/>
  <c r="AA27" i="81"/>
  <c r="AA28" i="81" s="1"/>
  <c r="X27" i="81"/>
  <c r="X28" i="81" s="1"/>
  <c r="H11" i="81"/>
  <c r="I11" i="81"/>
  <c r="H7" i="81"/>
  <c r="M7" i="81" s="1"/>
  <c r="I7" i="81"/>
  <c r="N7" i="81"/>
  <c r="G11" i="81"/>
  <c r="J9" i="81"/>
  <c r="G9" i="81"/>
  <c r="G13" i="81"/>
  <c r="K13" i="81"/>
  <c r="I15" i="81"/>
  <c r="G17" i="81"/>
  <c r="I19" i="81"/>
  <c r="G21" i="81"/>
  <c r="K21" i="81"/>
  <c r="I23" i="81"/>
  <c r="M27" i="81"/>
  <c r="K29" i="81"/>
  <c r="K5" i="83"/>
  <c r="P5" i="83" s="1"/>
  <c r="P7" i="83"/>
  <c r="L7" i="83"/>
  <c r="J15" i="81"/>
  <c r="J19" i="81"/>
  <c r="J23" i="81"/>
  <c r="H25" i="81"/>
  <c r="I25" i="81"/>
  <c r="N29" i="81"/>
  <c r="L5" i="83"/>
  <c r="G15" i="81"/>
  <c r="K15" i="81"/>
  <c r="G19" i="81"/>
  <c r="K19" i="81"/>
  <c r="G23" i="81"/>
  <c r="K23" i="81"/>
  <c r="G25" i="81"/>
  <c r="O13" i="83"/>
  <c r="J25" i="81"/>
  <c r="O7" i="83"/>
  <c r="N27" i="81"/>
  <c r="K7" i="83"/>
  <c r="Q7" i="83" s="1"/>
  <c r="H9" i="83"/>
  <c r="L9" i="83" s="1"/>
  <c r="Q9" i="83"/>
  <c r="O15" i="83"/>
  <c r="H11" i="83"/>
  <c r="L11" i="83" s="1"/>
  <c r="K13" i="83"/>
  <c r="P13" i="83" s="1"/>
  <c r="Q13" i="83"/>
  <c r="O11" i="83"/>
  <c r="O23" i="83"/>
  <c r="Q25" i="83"/>
  <c r="K9" i="83"/>
  <c r="O9" i="83" s="1"/>
  <c r="Q17" i="83"/>
  <c r="Q19" i="83"/>
  <c r="H19" i="83"/>
  <c r="L19" i="83" s="1"/>
  <c r="O19" i="83"/>
  <c r="P19" i="83"/>
  <c r="Q21" i="83"/>
  <c r="K15" i="83"/>
  <c r="P15" i="83"/>
  <c r="L17" i="83"/>
  <c r="O21" i="83"/>
  <c r="K23" i="83"/>
  <c r="L25" i="83"/>
  <c r="P25" i="83"/>
  <c r="Q15" i="83"/>
  <c r="K21" i="83"/>
  <c r="P21" i="83" s="1"/>
  <c r="H23" i="83"/>
  <c r="L23" i="83" s="1"/>
  <c r="Q23" i="83"/>
  <c r="L21" i="83"/>
  <c r="K17" i="83"/>
  <c r="O17" i="83" s="1"/>
  <c r="K25" i="83"/>
  <c r="O25" i="83" s="1"/>
  <c r="G17" i="46"/>
  <c r="E17" i="46"/>
  <c r="I17" i="46" s="1"/>
  <c r="M15" i="46"/>
  <c r="K15" i="46"/>
  <c r="I15" i="46"/>
  <c r="F15" i="46"/>
  <c r="E15" i="46"/>
  <c r="N15" i="46" s="1"/>
  <c r="N13" i="46"/>
  <c r="L13" i="46"/>
  <c r="K13" i="46"/>
  <c r="J13" i="46"/>
  <c r="H13" i="46"/>
  <c r="G13" i="46"/>
  <c r="F13" i="46"/>
  <c r="O13" i="46" s="1"/>
  <c r="E13" i="46"/>
  <c r="M13" i="46" s="1"/>
  <c r="L11" i="46"/>
  <c r="G11" i="46"/>
  <c r="E11" i="46"/>
  <c r="M11" i="46" s="1"/>
  <c r="M9" i="46"/>
  <c r="J9" i="46"/>
  <c r="H9" i="46"/>
  <c r="F9" i="46"/>
  <c r="E9" i="46"/>
  <c r="N9" i="46" s="1"/>
  <c r="N7" i="46"/>
  <c r="L7" i="46"/>
  <c r="J7" i="46"/>
  <c r="H7" i="46"/>
  <c r="G7" i="46"/>
  <c r="F7" i="46"/>
  <c r="O7" i="46" s="1"/>
  <c r="E7" i="46"/>
  <c r="K7" i="46" s="1"/>
  <c r="I19" i="64"/>
  <c r="H19" i="64"/>
  <c r="G19" i="64"/>
  <c r="R19" i="64" s="1"/>
  <c r="P17" i="64"/>
  <c r="Q17" i="64" s="1"/>
  <c r="L17" i="64"/>
  <c r="I17" i="64"/>
  <c r="M17" i="64" s="1"/>
  <c r="H17" i="64"/>
  <c r="G17" i="64"/>
  <c r="K17" i="64" s="1"/>
  <c r="I15" i="64"/>
  <c r="M15" i="64" s="1"/>
  <c r="H15" i="64"/>
  <c r="L15" i="64" s="1"/>
  <c r="G15" i="64"/>
  <c r="P15" i="64" s="1"/>
  <c r="Q15" i="64" s="1"/>
  <c r="R13" i="64"/>
  <c r="S13" i="64" s="1"/>
  <c r="J13" i="64"/>
  <c r="I13" i="64"/>
  <c r="M13" i="64" s="1"/>
  <c r="H13" i="64"/>
  <c r="L13" i="64" s="1"/>
  <c r="G13" i="64"/>
  <c r="P13" i="64" s="1"/>
  <c r="Q13" i="64" s="1"/>
  <c r="I11" i="64"/>
  <c r="M11" i="64" s="1"/>
  <c r="H11" i="64"/>
  <c r="L11" i="64" s="1"/>
  <c r="G11" i="64"/>
  <c r="K11" i="64" s="1"/>
  <c r="P9" i="64"/>
  <c r="Q9" i="64" s="1"/>
  <c r="I9" i="64"/>
  <c r="M9" i="64" s="1"/>
  <c r="H9" i="64"/>
  <c r="L9" i="64" s="1"/>
  <c r="G9" i="64"/>
  <c r="K9" i="64" s="1"/>
  <c r="M7" i="64"/>
  <c r="I7" i="64"/>
  <c r="H7" i="64"/>
  <c r="L7" i="64" s="1"/>
  <c r="G7" i="64"/>
  <c r="P7" i="64" s="1"/>
  <c r="Q7" i="64" s="1"/>
  <c r="Q8" i="83" l="1"/>
  <c r="W7" i="83"/>
  <c r="W8" i="83" s="1"/>
  <c r="AF7" i="83"/>
  <c r="AF8" i="83" s="1"/>
  <c r="T7" i="83"/>
  <c r="T8" i="83" s="1"/>
  <c r="Z7" i="83"/>
  <c r="Z8" i="83" s="1"/>
  <c r="AC7" i="83"/>
  <c r="AC8" i="83" s="1"/>
  <c r="AB7" i="81"/>
  <c r="AB8" i="81" s="1"/>
  <c r="Y7" i="81"/>
  <c r="Y8" i="81" s="1"/>
  <c r="P7" i="81"/>
  <c r="P8" i="81" s="1"/>
  <c r="V7" i="81"/>
  <c r="V8" i="81" s="1"/>
  <c r="S7" i="81"/>
  <c r="S8" i="81" s="1"/>
  <c r="M8" i="81"/>
  <c r="AA25" i="83"/>
  <c r="AA26" i="83" s="1"/>
  <c r="AD25" i="83"/>
  <c r="AD26" i="83" s="1"/>
  <c r="R25" i="83"/>
  <c r="R26" i="83" s="1"/>
  <c r="O26" i="83"/>
  <c r="U25" i="83"/>
  <c r="U26" i="83" s="1"/>
  <c r="X25" i="83"/>
  <c r="X26" i="83" s="1"/>
  <c r="X9" i="83"/>
  <c r="X10" i="83" s="1"/>
  <c r="AA9" i="83"/>
  <c r="AA10" i="83" s="1"/>
  <c r="AD9" i="83"/>
  <c r="AD10" i="83" s="1"/>
  <c r="R9" i="83"/>
  <c r="R10" i="83" s="1"/>
  <c r="O10" i="83"/>
  <c r="U9" i="83"/>
  <c r="U10" i="83" s="1"/>
  <c r="P22" i="83"/>
  <c r="V21" i="83"/>
  <c r="V22" i="83" s="1"/>
  <c r="Y21" i="83"/>
  <c r="Y22" i="83" s="1"/>
  <c r="AB21" i="83"/>
  <c r="AB22" i="83" s="1"/>
  <c r="AE21" i="83"/>
  <c r="AE22" i="83" s="1"/>
  <c r="S21" i="83"/>
  <c r="S22" i="83" s="1"/>
  <c r="P14" i="83"/>
  <c r="V13" i="83"/>
  <c r="V14" i="83" s="1"/>
  <c r="AE13" i="83"/>
  <c r="AE14" i="83" s="1"/>
  <c r="Y13" i="83"/>
  <c r="Y14" i="83" s="1"/>
  <c r="S13" i="83"/>
  <c r="S14" i="83" s="1"/>
  <c r="AB13" i="83"/>
  <c r="AB14" i="83" s="1"/>
  <c r="AD21" i="83"/>
  <c r="AD22" i="83" s="1"/>
  <c r="R21" i="83"/>
  <c r="R22" i="83" s="1"/>
  <c r="O22" i="83"/>
  <c r="U21" i="83"/>
  <c r="U22" i="83" s="1"/>
  <c r="X21" i="83"/>
  <c r="X22" i="83" s="1"/>
  <c r="AA21" i="83"/>
  <c r="AA22" i="83" s="1"/>
  <c r="O12" i="83"/>
  <c r="U11" i="83"/>
  <c r="U12" i="83" s="1"/>
  <c r="AA11" i="83"/>
  <c r="AA12" i="83" s="1"/>
  <c r="AD11" i="83"/>
  <c r="AD12" i="83" s="1"/>
  <c r="X11" i="83"/>
  <c r="X12" i="83" s="1"/>
  <c r="R11" i="83"/>
  <c r="R12" i="83" s="1"/>
  <c r="AA23" i="83"/>
  <c r="AA24" i="83" s="1"/>
  <c r="AD23" i="83"/>
  <c r="AD24" i="83" s="1"/>
  <c r="R23" i="83"/>
  <c r="R24" i="83" s="1"/>
  <c r="O24" i="83"/>
  <c r="U23" i="83"/>
  <c r="U24" i="83" s="1"/>
  <c r="X23" i="83"/>
  <c r="X24" i="83" s="1"/>
  <c r="Q11" i="83"/>
  <c r="X17" i="83"/>
  <c r="X18" i="83" s="1"/>
  <c r="AD17" i="83"/>
  <c r="AD18" i="83" s="1"/>
  <c r="R17" i="83"/>
  <c r="R18" i="83" s="1"/>
  <c r="O18" i="83"/>
  <c r="U17" i="83"/>
  <c r="U18" i="83" s="1"/>
  <c r="AA17" i="83"/>
  <c r="AA18" i="83" s="1"/>
  <c r="P23" i="83"/>
  <c r="AE15" i="83"/>
  <c r="AE16" i="83" s="1"/>
  <c r="S15" i="83"/>
  <c r="S16" i="83" s="1"/>
  <c r="Y15" i="83"/>
  <c r="Y16" i="83" s="1"/>
  <c r="AB15" i="83"/>
  <c r="AB16" i="83" s="1"/>
  <c r="V15" i="83"/>
  <c r="V16" i="83" s="1"/>
  <c r="P16" i="83"/>
  <c r="O20" i="83"/>
  <c r="U19" i="83"/>
  <c r="U20" i="83" s="1"/>
  <c r="AA19" i="83"/>
  <c r="AA20" i="83" s="1"/>
  <c r="AD19" i="83"/>
  <c r="AD20" i="83" s="1"/>
  <c r="R19" i="83"/>
  <c r="R20" i="83" s="1"/>
  <c r="X19" i="83"/>
  <c r="X20" i="83" s="1"/>
  <c r="P11" i="83"/>
  <c r="Z13" i="83"/>
  <c r="Z14" i="83" s="1"/>
  <c r="Q14" i="83"/>
  <c r="T13" i="83"/>
  <c r="T14" i="83" s="1"/>
  <c r="AF13" i="83"/>
  <c r="AF14" i="83" s="1"/>
  <c r="AC13" i="83"/>
  <c r="AC14" i="83" s="1"/>
  <c r="W13" i="83"/>
  <c r="W14" i="83" s="1"/>
  <c r="AA15" i="83"/>
  <c r="AA16" i="83" s="1"/>
  <c r="O16" i="83"/>
  <c r="U15" i="83"/>
  <c r="U16" i="83" s="1"/>
  <c r="X15" i="83"/>
  <c r="X16" i="83" s="1"/>
  <c r="R15" i="83"/>
  <c r="R16" i="83" s="1"/>
  <c r="AD15" i="83"/>
  <c r="AD16" i="83" s="1"/>
  <c r="L23" i="81"/>
  <c r="N23" i="81"/>
  <c r="M23" i="81"/>
  <c r="N15" i="81"/>
  <c r="M15" i="81"/>
  <c r="L15" i="81"/>
  <c r="P9" i="83"/>
  <c r="O5" i="83"/>
  <c r="Q16" i="83"/>
  <c r="W15" i="83"/>
  <c r="W16" i="83" s="1"/>
  <c r="AC15" i="83"/>
  <c r="AC16" i="83" s="1"/>
  <c r="AF15" i="83"/>
  <c r="AF16" i="83" s="1"/>
  <c r="T15" i="83"/>
  <c r="T16" i="83" s="1"/>
  <c r="Z15" i="83"/>
  <c r="Z16" i="83" s="1"/>
  <c r="P17" i="83"/>
  <c r="AC27" i="81"/>
  <c r="AC28" i="81" s="1"/>
  <c r="Q27" i="81"/>
  <c r="Q28" i="81" s="1"/>
  <c r="Z27" i="81"/>
  <c r="Z28" i="81" s="1"/>
  <c r="W27" i="81"/>
  <c r="W28" i="81" s="1"/>
  <c r="T27" i="81"/>
  <c r="T28" i="81" s="1"/>
  <c r="N28" i="81"/>
  <c r="M29" i="81"/>
  <c r="L29" i="81"/>
  <c r="N21" i="81"/>
  <c r="M21" i="81"/>
  <c r="L21" i="81"/>
  <c r="M11" i="81"/>
  <c r="L11" i="81"/>
  <c r="N11" i="81"/>
  <c r="Q24" i="83"/>
  <c r="W23" i="83"/>
  <c r="W24" i="83" s="1"/>
  <c r="Z23" i="83"/>
  <c r="Z24" i="83" s="1"/>
  <c r="AC23" i="83"/>
  <c r="AC24" i="83" s="1"/>
  <c r="AF23" i="83"/>
  <c r="AF24" i="83" s="1"/>
  <c r="T23" i="83"/>
  <c r="T24" i="83" s="1"/>
  <c r="Z21" i="83"/>
  <c r="Z22" i="83" s="1"/>
  <c r="AC21" i="83"/>
  <c r="AC22" i="83" s="1"/>
  <c r="AF21" i="83"/>
  <c r="AF22" i="83" s="1"/>
  <c r="T21" i="83"/>
  <c r="T22" i="83" s="1"/>
  <c r="Q22" i="83"/>
  <c r="W21" i="83"/>
  <c r="W22" i="83" s="1"/>
  <c r="AF9" i="83"/>
  <c r="AF10" i="83" s="1"/>
  <c r="T9" i="83"/>
  <c r="T10" i="83" s="1"/>
  <c r="Q10" i="83"/>
  <c r="W9" i="83"/>
  <c r="W10" i="83" s="1"/>
  <c r="Z9" i="83"/>
  <c r="Z10" i="83" s="1"/>
  <c r="AC9" i="83"/>
  <c r="AC10" i="83" s="1"/>
  <c r="AA7" i="83"/>
  <c r="AA8" i="83" s="1"/>
  <c r="X7" i="83"/>
  <c r="X8" i="83" s="1"/>
  <c r="R7" i="83"/>
  <c r="R8" i="83" s="1"/>
  <c r="O8" i="83"/>
  <c r="AD7" i="83"/>
  <c r="AD8" i="83" s="1"/>
  <c r="U7" i="83"/>
  <c r="U8" i="83" s="1"/>
  <c r="L25" i="81"/>
  <c r="M25" i="81"/>
  <c r="N25" i="81"/>
  <c r="L19" i="81"/>
  <c r="N19" i="81"/>
  <c r="M19" i="81"/>
  <c r="Z29" i="81"/>
  <c r="Z30" i="81" s="1"/>
  <c r="W29" i="81"/>
  <c r="W30" i="81" s="1"/>
  <c r="AC29" i="81"/>
  <c r="AC30" i="81" s="1"/>
  <c r="T29" i="81"/>
  <c r="T30" i="81" s="1"/>
  <c r="Q29" i="81"/>
  <c r="Q30" i="81" s="1"/>
  <c r="N30" i="81"/>
  <c r="AE7" i="83"/>
  <c r="AE8" i="83" s="1"/>
  <c r="S7" i="83"/>
  <c r="S8" i="83" s="1"/>
  <c r="AB7" i="83"/>
  <c r="AB8" i="83" s="1"/>
  <c r="P8" i="83"/>
  <c r="Y7" i="83"/>
  <c r="Y8" i="83" s="1"/>
  <c r="V7" i="83"/>
  <c r="V8" i="83" s="1"/>
  <c r="Y27" i="81"/>
  <c r="Y28" i="81" s="1"/>
  <c r="V27" i="81"/>
  <c r="V28" i="81" s="1"/>
  <c r="M28" i="81"/>
  <c r="AB27" i="81"/>
  <c r="AB28" i="81" s="1"/>
  <c r="S27" i="81"/>
  <c r="S28" i="81" s="1"/>
  <c r="P27" i="81"/>
  <c r="P28" i="81" s="1"/>
  <c r="M13" i="81"/>
  <c r="N13" i="81"/>
  <c r="L13" i="81"/>
  <c r="T7" i="81"/>
  <c r="T8" i="81" s="1"/>
  <c r="AC7" i="81"/>
  <c r="AC8" i="81" s="1"/>
  <c r="Q7" i="81"/>
  <c r="Q8" i="81" s="1"/>
  <c r="N8" i="81"/>
  <c r="Z7" i="81"/>
  <c r="Z8" i="81" s="1"/>
  <c r="W7" i="81"/>
  <c r="W8" i="81" s="1"/>
  <c r="Q5" i="83"/>
  <c r="AC19" i="83"/>
  <c r="AC20" i="83" s="1"/>
  <c r="Q20" i="83"/>
  <c r="W19" i="83"/>
  <c r="W20" i="83" s="1"/>
  <c r="Z19" i="83"/>
  <c r="Z20" i="83" s="1"/>
  <c r="AF19" i="83"/>
  <c r="AF20" i="83" s="1"/>
  <c r="T19" i="83"/>
  <c r="T20" i="83" s="1"/>
  <c r="Y19" i="83"/>
  <c r="Y20" i="83" s="1"/>
  <c r="AE19" i="83"/>
  <c r="AE20" i="83" s="1"/>
  <c r="S19" i="83"/>
  <c r="S20" i="83" s="1"/>
  <c r="P20" i="83"/>
  <c r="V19" i="83"/>
  <c r="V20" i="83" s="1"/>
  <c r="AB19" i="83"/>
  <c r="AB20" i="83" s="1"/>
  <c r="P6" i="83"/>
  <c r="V5" i="83"/>
  <c r="V6" i="83" s="1"/>
  <c r="AE5" i="83"/>
  <c r="AE6" i="83" s="1"/>
  <c r="S5" i="83"/>
  <c r="S6" i="83" s="1"/>
  <c r="Y5" i="83"/>
  <c r="Y6" i="83" s="1"/>
  <c r="AB5" i="83"/>
  <c r="AB6" i="83" s="1"/>
  <c r="N17" i="81"/>
  <c r="M17" i="81"/>
  <c r="L17" i="81"/>
  <c r="N9" i="81"/>
  <c r="M9" i="81"/>
  <c r="L9" i="81"/>
  <c r="U7" i="81"/>
  <c r="U8" i="81" s="1"/>
  <c r="X7" i="81"/>
  <c r="X8" i="81" s="1"/>
  <c r="L8" i="81"/>
  <c r="AA7" i="81"/>
  <c r="AA8" i="81" s="1"/>
  <c r="R7" i="81"/>
  <c r="R8" i="81" s="1"/>
  <c r="O7" i="81"/>
  <c r="O8" i="81" s="1"/>
  <c r="AE25" i="83"/>
  <c r="AE26" i="83" s="1"/>
  <c r="S25" i="83"/>
  <c r="S26" i="83" s="1"/>
  <c r="P26" i="83"/>
  <c r="V25" i="83"/>
  <c r="V26" i="83" s="1"/>
  <c r="Y25" i="83"/>
  <c r="Y26" i="83" s="1"/>
  <c r="AB25" i="83"/>
  <c r="AB26" i="83" s="1"/>
  <c r="Q26" i="83"/>
  <c r="W25" i="83"/>
  <c r="W26" i="83" s="1"/>
  <c r="Z25" i="83"/>
  <c r="Z26" i="83" s="1"/>
  <c r="AC25" i="83"/>
  <c r="AC26" i="83" s="1"/>
  <c r="AF25" i="83"/>
  <c r="AF26" i="83" s="1"/>
  <c r="T25" i="83"/>
  <c r="T26" i="83" s="1"/>
  <c r="AF17" i="83"/>
  <c r="AF18" i="83" s="1"/>
  <c r="T17" i="83"/>
  <c r="T18" i="83" s="1"/>
  <c r="Z17" i="83"/>
  <c r="Z18" i="83" s="1"/>
  <c r="AC17" i="83"/>
  <c r="AC18" i="83" s="1"/>
  <c r="Q18" i="83"/>
  <c r="W17" i="83"/>
  <c r="W18" i="83" s="1"/>
  <c r="AD13" i="83"/>
  <c r="AD14" i="83" s="1"/>
  <c r="R13" i="83"/>
  <c r="R14" i="83" s="1"/>
  <c r="AA13" i="83"/>
  <c r="AA14" i="83" s="1"/>
  <c r="O14" i="83"/>
  <c r="X13" i="83"/>
  <c r="X14" i="83" s="1"/>
  <c r="U13" i="83"/>
  <c r="U14" i="83" s="1"/>
  <c r="AA7" i="46"/>
  <c r="AA8" i="46" s="1"/>
  <c r="R7" i="46"/>
  <c r="R8" i="46" s="1"/>
  <c r="AD7" i="46"/>
  <c r="AD8" i="46" s="1"/>
  <c r="O8" i="46"/>
  <c r="U7" i="46"/>
  <c r="U8" i="46" s="1"/>
  <c r="X7" i="46"/>
  <c r="X8" i="46" s="1"/>
  <c r="P9" i="46"/>
  <c r="AA13" i="46"/>
  <c r="AA14" i="46" s="1"/>
  <c r="AD13" i="46"/>
  <c r="AD14" i="46" s="1"/>
  <c r="O14" i="46"/>
  <c r="U13" i="46"/>
  <c r="U14" i="46" s="1"/>
  <c r="R13" i="46"/>
  <c r="R14" i="46" s="1"/>
  <c r="X13" i="46"/>
  <c r="X14" i="46" s="1"/>
  <c r="P7" i="46"/>
  <c r="J11" i="46"/>
  <c r="N11" i="46"/>
  <c r="P13" i="46"/>
  <c r="I7" i="46"/>
  <c r="M7" i="46"/>
  <c r="Q7" i="46"/>
  <c r="G9" i="46"/>
  <c r="K9" i="46"/>
  <c r="F11" i="46"/>
  <c r="K11" i="46"/>
  <c r="I13" i="46"/>
  <c r="Q13" i="46"/>
  <c r="G15" i="46"/>
  <c r="L15" i="46"/>
  <c r="F17" i="46"/>
  <c r="I9" i="46"/>
  <c r="I11" i="46"/>
  <c r="J15" i="46"/>
  <c r="R11" i="64"/>
  <c r="S11" i="64" s="1"/>
  <c r="J11" i="64"/>
  <c r="P11" i="64"/>
  <c r="Q11" i="64" s="1"/>
  <c r="O13" i="64"/>
  <c r="N19" i="64"/>
  <c r="J7" i="64"/>
  <c r="R7" i="64"/>
  <c r="S7" i="64" s="1"/>
  <c r="K13" i="64"/>
  <c r="N13" i="64" s="1"/>
  <c r="T13" i="64" s="1"/>
  <c r="J15" i="64"/>
  <c r="R15" i="64"/>
  <c r="S15" i="64" s="1"/>
  <c r="K7" i="64"/>
  <c r="J9" i="64"/>
  <c r="R9" i="64"/>
  <c r="S9" i="64" s="1"/>
  <c r="K15" i="64"/>
  <c r="J17" i="64"/>
  <c r="R17" i="64"/>
  <c r="S17" i="64" s="1"/>
  <c r="P19" i="64"/>
  <c r="J19" i="64"/>
  <c r="E15" i="20"/>
  <c r="L15" i="20" s="1"/>
  <c r="V17" i="81" l="1"/>
  <c r="V18" i="81" s="1"/>
  <c r="Y17" i="81"/>
  <c r="Y18" i="81" s="1"/>
  <c r="AB17" i="81"/>
  <c r="AB18" i="81" s="1"/>
  <c r="P17" i="81"/>
  <c r="P18" i="81" s="1"/>
  <c r="M18" i="81"/>
  <c r="S17" i="81"/>
  <c r="S18" i="81" s="1"/>
  <c r="Z5" i="83"/>
  <c r="Z6" i="83" s="1"/>
  <c r="Q6" i="83"/>
  <c r="W5" i="83"/>
  <c r="W6" i="83" s="1"/>
  <c r="AF5" i="83"/>
  <c r="AF6" i="83" s="1"/>
  <c r="AC5" i="83"/>
  <c r="AC6" i="83" s="1"/>
  <c r="T5" i="83"/>
  <c r="T6" i="83" s="1"/>
  <c r="V9" i="81"/>
  <c r="V10" i="81" s="1"/>
  <c r="M10" i="81"/>
  <c r="S9" i="81"/>
  <c r="S10" i="81" s="1"/>
  <c r="Y9" i="81"/>
  <c r="Y10" i="81" s="1"/>
  <c r="P9" i="81"/>
  <c r="P10" i="81" s="1"/>
  <c r="AB9" i="81"/>
  <c r="AB10" i="81" s="1"/>
  <c r="N20" i="81"/>
  <c r="T19" i="81"/>
  <c r="T20" i="81" s="1"/>
  <c r="W19" i="81"/>
  <c r="W20" i="81" s="1"/>
  <c r="Z19" i="81"/>
  <c r="Z20" i="81" s="1"/>
  <c r="AC19" i="81"/>
  <c r="AC20" i="81" s="1"/>
  <c r="Q19" i="81"/>
  <c r="Q20" i="81" s="1"/>
  <c r="L22" i="81"/>
  <c r="R21" i="81"/>
  <c r="R22" i="81" s="1"/>
  <c r="U21" i="81"/>
  <c r="U22" i="81" s="1"/>
  <c r="X21" i="81"/>
  <c r="X22" i="81" s="1"/>
  <c r="AA21" i="81"/>
  <c r="AA22" i="81" s="1"/>
  <c r="O21" i="81"/>
  <c r="O22" i="81" s="1"/>
  <c r="Z23" i="81"/>
  <c r="Z24" i="81" s="1"/>
  <c r="T23" i="81"/>
  <c r="T24" i="81" s="1"/>
  <c r="N24" i="81"/>
  <c r="AC23" i="81"/>
  <c r="AC24" i="81" s="1"/>
  <c r="W23" i="81"/>
  <c r="W24" i="81" s="1"/>
  <c r="Q23" i="81"/>
  <c r="Q24" i="81" s="1"/>
  <c r="W9" i="81"/>
  <c r="W10" i="81" s="1"/>
  <c r="Z9" i="81"/>
  <c r="Z10" i="81" s="1"/>
  <c r="T9" i="81"/>
  <c r="T10" i="81" s="1"/>
  <c r="Q9" i="81"/>
  <c r="Q10" i="81" s="1"/>
  <c r="N10" i="81"/>
  <c r="AC9" i="81"/>
  <c r="AC10" i="81" s="1"/>
  <c r="X19" i="81"/>
  <c r="X20" i="81" s="1"/>
  <c r="AA19" i="81"/>
  <c r="AA20" i="81" s="1"/>
  <c r="O19" i="81"/>
  <c r="O20" i="81" s="1"/>
  <c r="L20" i="81"/>
  <c r="R19" i="81"/>
  <c r="R20" i="81" s="1"/>
  <c r="U19" i="81"/>
  <c r="U20" i="81" s="1"/>
  <c r="N12" i="81"/>
  <c r="AC11" i="81"/>
  <c r="AC12" i="81" s="1"/>
  <c r="Q11" i="81"/>
  <c r="Q12" i="81" s="1"/>
  <c r="T11" i="81"/>
  <c r="T12" i="81" s="1"/>
  <c r="W11" i="81"/>
  <c r="W12" i="81" s="1"/>
  <c r="Z11" i="81"/>
  <c r="Z12" i="81" s="1"/>
  <c r="V21" i="81"/>
  <c r="V22" i="81" s="1"/>
  <c r="Y21" i="81"/>
  <c r="Y22" i="81" s="1"/>
  <c r="AB21" i="81"/>
  <c r="AB22" i="81" s="1"/>
  <c r="P21" i="81"/>
  <c r="P22" i="81" s="1"/>
  <c r="M22" i="81"/>
  <c r="S21" i="81"/>
  <c r="S22" i="81" s="1"/>
  <c r="AB15" i="81"/>
  <c r="AB16" i="81" s="1"/>
  <c r="M16" i="81"/>
  <c r="S15" i="81"/>
  <c r="S16" i="81" s="1"/>
  <c r="V15" i="81"/>
  <c r="V16" i="81" s="1"/>
  <c r="Y15" i="81"/>
  <c r="Y16" i="81" s="1"/>
  <c r="P15" i="81"/>
  <c r="P16" i="81" s="1"/>
  <c r="L24" i="81"/>
  <c r="R23" i="81"/>
  <c r="R24" i="81" s="1"/>
  <c r="AA23" i="81"/>
  <c r="AA24" i="81" s="1"/>
  <c r="U23" i="81"/>
  <c r="U24" i="81" s="1"/>
  <c r="O23" i="81"/>
  <c r="O24" i="81" s="1"/>
  <c r="X23" i="81"/>
  <c r="X24" i="81" s="1"/>
  <c r="L18" i="81"/>
  <c r="R17" i="81"/>
  <c r="R18" i="81" s="1"/>
  <c r="U17" i="81"/>
  <c r="U18" i="81" s="1"/>
  <c r="X17" i="81"/>
  <c r="X18" i="81" s="1"/>
  <c r="AA17" i="81"/>
  <c r="AA18" i="81" s="1"/>
  <c r="O17" i="81"/>
  <c r="O18" i="81" s="1"/>
  <c r="R13" i="81"/>
  <c r="R14" i="81" s="1"/>
  <c r="U13" i="81"/>
  <c r="U14" i="81" s="1"/>
  <c r="AA13" i="81"/>
  <c r="AA14" i="81" s="1"/>
  <c r="O13" i="81"/>
  <c r="O14" i="81" s="1"/>
  <c r="L14" i="81"/>
  <c r="X13" i="81"/>
  <c r="X14" i="81" s="1"/>
  <c r="N26" i="81"/>
  <c r="T25" i="81"/>
  <c r="T26" i="81" s="1"/>
  <c r="AC25" i="81"/>
  <c r="AC26" i="81" s="1"/>
  <c r="Q25" i="81"/>
  <c r="Q26" i="81" s="1"/>
  <c r="Z25" i="81"/>
  <c r="Z26" i="81" s="1"/>
  <c r="W25" i="81"/>
  <c r="W26" i="81" s="1"/>
  <c r="X11" i="81"/>
  <c r="X12" i="81" s="1"/>
  <c r="U11" i="81"/>
  <c r="U12" i="81" s="1"/>
  <c r="O11" i="81"/>
  <c r="O12" i="81" s="1"/>
  <c r="L12" i="81"/>
  <c r="AA11" i="81"/>
  <c r="AA12" i="81" s="1"/>
  <c r="R11" i="81"/>
  <c r="R12" i="81" s="1"/>
  <c r="Z21" i="81"/>
  <c r="Z22" i="81" s="1"/>
  <c r="AC21" i="81"/>
  <c r="AC22" i="81" s="1"/>
  <c r="Q21" i="81"/>
  <c r="Q22" i="81" s="1"/>
  <c r="N22" i="81"/>
  <c r="T21" i="81"/>
  <c r="T22" i="81" s="1"/>
  <c r="W21" i="81"/>
  <c r="W22" i="81" s="1"/>
  <c r="AD5" i="83"/>
  <c r="AD6" i="83" s="1"/>
  <c r="R5" i="83"/>
  <c r="R6" i="83" s="1"/>
  <c r="AA5" i="83"/>
  <c r="AA6" i="83" s="1"/>
  <c r="O6" i="83"/>
  <c r="X5" i="83"/>
  <c r="X6" i="83" s="1"/>
  <c r="U5" i="83"/>
  <c r="U6" i="83" s="1"/>
  <c r="T15" i="81"/>
  <c r="T16" i="81" s="1"/>
  <c r="W15" i="81"/>
  <c r="W16" i="81" s="1"/>
  <c r="Z15" i="81"/>
  <c r="Z16" i="81" s="1"/>
  <c r="AC15" i="81"/>
  <c r="AC16" i="81" s="1"/>
  <c r="Q15" i="81"/>
  <c r="Q16" i="81" s="1"/>
  <c r="N16" i="81"/>
  <c r="Y11" i="83"/>
  <c r="Y12" i="83" s="1"/>
  <c r="V11" i="83"/>
  <c r="V12" i="83" s="1"/>
  <c r="AE11" i="83"/>
  <c r="AE12" i="83" s="1"/>
  <c r="S11" i="83"/>
  <c r="S12" i="83" s="1"/>
  <c r="P12" i="83"/>
  <c r="AB11" i="83"/>
  <c r="AB12" i="83" s="1"/>
  <c r="AC11" i="83"/>
  <c r="AC12" i="83" s="1"/>
  <c r="AF11" i="83"/>
  <c r="AF12" i="83" s="1"/>
  <c r="Z11" i="83"/>
  <c r="Z12" i="83" s="1"/>
  <c r="T11" i="83"/>
  <c r="T12" i="83" s="1"/>
  <c r="Q12" i="83"/>
  <c r="W11" i="83"/>
  <c r="W12" i="83" s="1"/>
  <c r="AB19" i="81"/>
  <c r="AB20" i="81" s="1"/>
  <c r="P19" i="81"/>
  <c r="P20" i="81" s="1"/>
  <c r="M20" i="81"/>
  <c r="S19" i="81"/>
  <c r="S20" i="81" s="1"/>
  <c r="V19" i="81"/>
  <c r="V20" i="81" s="1"/>
  <c r="Y19" i="81"/>
  <c r="Y20" i="81" s="1"/>
  <c r="AB25" i="81"/>
  <c r="AB26" i="81" s="1"/>
  <c r="P25" i="81"/>
  <c r="P26" i="81" s="1"/>
  <c r="Y25" i="81"/>
  <c r="Y26" i="81" s="1"/>
  <c r="M26" i="81"/>
  <c r="V25" i="81"/>
  <c r="V26" i="81" s="1"/>
  <c r="S25" i="81"/>
  <c r="S26" i="81" s="1"/>
  <c r="P11" i="81"/>
  <c r="P12" i="81" s="1"/>
  <c r="Y11" i="81"/>
  <c r="Y12" i="81" s="1"/>
  <c r="AB11" i="81"/>
  <c r="AB12" i="81" s="1"/>
  <c r="M12" i="81"/>
  <c r="V11" i="81"/>
  <c r="V12" i="81" s="1"/>
  <c r="S11" i="81"/>
  <c r="S12" i="81" s="1"/>
  <c r="L30" i="81"/>
  <c r="R29" i="81"/>
  <c r="R30" i="81" s="1"/>
  <c r="AA29" i="81"/>
  <c r="AA30" i="81" s="1"/>
  <c r="O29" i="81"/>
  <c r="O30" i="81" s="1"/>
  <c r="U29" i="81"/>
  <c r="U30" i="81" s="1"/>
  <c r="X29" i="81"/>
  <c r="X30" i="81" s="1"/>
  <c r="AB17" i="83"/>
  <c r="AB18" i="83" s="1"/>
  <c r="P18" i="83"/>
  <c r="V17" i="83"/>
  <c r="V18" i="83" s="1"/>
  <c r="Y17" i="83"/>
  <c r="Y18" i="83" s="1"/>
  <c r="S17" i="83"/>
  <c r="S18" i="83" s="1"/>
  <c r="AE17" i="83"/>
  <c r="AE18" i="83" s="1"/>
  <c r="AB9" i="83"/>
  <c r="AB10" i="83" s="1"/>
  <c r="AE9" i="83"/>
  <c r="AE10" i="83" s="1"/>
  <c r="S9" i="83"/>
  <c r="S10" i="83" s="1"/>
  <c r="P10" i="83"/>
  <c r="V9" i="83"/>
  <c r="V10" i="83" s="1"/>
  <c r="Y9" i="83"/>
  <c r="Y10" i="83" s="1"/>
  <c r="V23" i="81"/>
  <c r="V24" i="81" s="1"/>
  <c r="M24" i="81"/>
  <c r="AB23" i="81"/>
  <c r="AB24" i="81" s="1"/>
  <c r="P23" i="81"/>
  <c r="P24" i="81" s="1"/>
  <c r="Y23" i="81"/>
  <c r="Y24" i="81" s="1"/>
  <c r="S23" i="81"/>
  <c r="S24" i="81" s="1"/>
  <c r="AE23" i="83"/>
  <c r="AE24" i="83" s="1"/>
  <c r="S23" i="83"/>
  <c r="S24" i="83" s="1"/>
  <c r="P24" i="83"/>
  <c r="V23" i="83"/>
  <c r="V24" i="83" s="1"/>
  <c r="Y23" i="83"/>
  <c r="Y24" i="83" s="1"/>
  <c r="AB23" i="83"/>
  <c r="AB24" i="83" s="1"/>
  <c r="L10" i="81"/>
  <c r="AA9" i="81"/>
  <c r="AA10" i="81" s="1"/>
  <c r="O9" i="81"/>
  <c r="O10" i="81" s="1"/>
  <c r="R9" i="81"/>
  <c r="R10" i="81" s="1"/>
  <c r="X9" i="81"/>
  <c r="X10" i="81" s="1"/>
  <c r="U9" i="81"/>
  <c r="U10" i="81" s="1"/>
  <c r="Z13" i="81"/>
  <c r="Z14" i="81" s="1"/>
  <c r="AC13" i="81"/>
  <c r="AC14" i="81" s="1"/>
  <c r="Q13" i="81"/>
  <c r="Q14" i="81" s="1"/>
  <c r="W13" i="81"/>
  <c r="W14" i="81" s="1"/>
  <c r="T13" i="81"/>
  <c r="T14" i="81" s="1"/>
  <c r="N14" i="81"/>
  <c r="Z17" i="81"/>
  <c r="Z18" i="81" s="1"/>
  <c r="AC17" i="81"/>
  <c r="AC18" i="81" s="1"/>
  <c r="Q17" i="81"/>
  <c r="Q18" i="81" s="1"/>
  <c r="N18" i="81"/>
  <c r="T17" i="81"/>
  <c r="T18" i="81" s="1"/>
  <c r="W17" i="81"/>
  <c r="W18" i="81" s="1"/>
  <c r="Y13" i="81"/>
  <c r="Y14" i="81" s="1"/>
  <c r="M14" i="81"/>
  <c r="S13" i="81"/>
  <c r="S14" i="81" s="1"/>
  <c r="V13" i="81"/>
  <c r="V14" i="81" s="1"/>
  <c r="P13" i="81"/>
  <c r="P14" i="81" s="1"/>
  <c r="AB13" i="81"/>
  <c r="AB14" i="81" s="1"/>
  <c r="X25" i="81"/>
  <c r="X26" i="81" s="1"/>
  <c r="U25" i="81"/>
  <c r="U26" i="81" s="1"/>
  <c r="R25" i="81"/>
  <c r="R26" i="81" s="1"/>
  <c r="O25" i="81"/>
  <c r="O26" i="81" s="1"/>
  <c r="L26" i="81"/>
  <c r="AA25" i="81"/>
  <c r="AA26" i="81" s="1"/>
  <c r="V29" i="81"/>
  <c r="V30" i="81" s="1"/>
  <c r="M30" i="81"/>
  <c r="S29" i="81"/>
  <c r="S30" i="81" s="1"/>
  <c r="AB29" i="81"/>
  <c r="AB30" i="81" s="1"/>
  <c r="Y29" i="81"/>
  <c r="Y30" i="81" s="1"/>
  <c r="P29" i="81"/>
  <c r="P30" i="81" s="1"/>
  <c r="AA15" i="81"/>
  <c r="AA16" i="81" s="1"/>
  <c r="O15" i="81"/>
  <c r="O16" i="81" s="1"/>
  <c r="L16" i="81"/>
  <c r="R15" i="81"/>
  <c r="R16" i="81" s="1"/>
  <c r="U15" i="81"/>
  <c r="U16" i="81" s="1"/>
  <c r="X15" i="81"/>
  <c r="X16" i="81" s="1"/>
  <c r="Q15" i="46"/>
  <c r="Q11" i="46"/>
  <c r="P11" i="46"/>
  <c r="O11" i="46"/>
  <c r="P15" i="46"/>
  <c r="Q14" i="46"/>
  <c r="W13" i="46"/>
  <c r="W14" i="46" s="1"/>
  <c r="Z13" i="46"/>
  <c r="Z14" i="46" s="1"/>
  <c r="AC13" i="46"/>
  <c r="AC14" i="46" s="1"/>
  <c r="AF13" i="46"/>
  <c r="AF14" i="46" s="1"/>
  <c r="T13" i="46"/>
  <c r="T14" i="46" s="1"/>
  <c r="Q17" i="46"/>
  <c r="P17" i="46"/>
  <c r="O17" i="46"/>
  <c r="Q9" i="46"/>
  <c r="O15" i="46"/>
  <c r="O9" i="46"/>
  <c r="Q8" i="46"/>
  <c r="W7" i="46"/>
  <c r="W8" i="46" s="1"/>
  <c r="AC7" i="46"/>
  <c r="AC8" i="46" s="1"/>
  <c r="Z7" i="46"/>
  <c r="Z8" i="46" s="1"/>
  <c r="AF7" i="46"/>
  <c r="AF8" i="46" s="1"/>
  <c r="T7" i="46"/>
  <c r="T8" i="46" s="1"/>
  <c r="AE13" i="46"/>
  <c r="AE14" i="46" s="1"/>
  <c r="S13" i="46"/>
  <c r="S14" i="46" s="1"/>
  <c r="P14" i="46"/>
  <c r="V13" i="46"/>
  <c r="V14" i="46" s="1"/>
  <c r="Y13" i="46"/>
  <c r="Y14" i="46" s="1"/>
  <c r="AB13" i="46"/>
  <c r="AB14" i="46" s="1"/>
  <c r="AE7" i="46"/>
  <c r="AE8" i="46" s="1"/>
  <c r="S7" i="46"/>
  <c r="S8" i="46" s="1"/>
  <c r="P8" i="46"/>
  <c r="Y7" i="46"/>
  <c r="Y8" i="46" s="1"/>
  <c r="AB7" i="46"/>
  <c r="AB8" i="46" s="1"/>
  <c r="V7" i="46"/>
  <c r="V8" i="46" s="1"/>
  <c r="P10" i="46"/>
  <c r="V9" i="46"/>
  <c r="V10" i="46" s="1"/>
  <c r="Y9" i="46"/>
  <c r="Y10" i="46" s="1"/>
  <c r="AB9" i="46"/>
  <c r="AB10" i="46" s="1"/>
  <c r="AE9" i="46"/>
  <c r="AE10" i="46" s="1"/>
  <c r="S9" i="46"/>
  <c r="S10" i="46" s="1"/>
  <c r="AC13" i="64"/>
  <c r="AC14" i="64" s="1"/>
  <c r="AF13" i="64"/>
  <c r="AF14" i="64" s="1"/>
  <c r="AI13" i="64"/>
  <c r="AI14" i="64" s="1"/>
  <c r="W13" i="64"/>
  <c r="W14" i="64" s="1"/>
  <c r="Z13" i="64"/>
  <c r="Z14" i="64" s="1"/>
  <c r="T14" i="64"/>
  <c r="T15" i="64"/>
  <c r="O15" i="64"/>
  <c r="N15" i="64"/>
  <c r="V15" i="64" s="1"/>
  <c r="U15" i="64"/>
  <c r="O9" i="64"/>
  <c r="N9" i="64"/>
  <c r="V9" i="64" s="1"/>
  <c r="U9" i="64"/>
  <c r="T9" i="64"/>
  <c r="N11" i="64"/>
  <c r="V11" i="64" s="1"/>
  <c r="U11" i="64"/>
  <c r="T11" i="64"/>
  <c r="O11" i="64"/>
  <c r="O17" i="64"/>
  <c r="V17" i="64"/>
  <c r="N17" i="64"/>
  <c r="U17" i="64" s="1"/>
  <c r="V19" i="64"/>
  <c r="T19" i="64"/>
  <c r="O19" i="64"/>
  <c r="U19" i="64" s="1"/>
  <c r="T7" i="64"/>
  <c r="O7" i="64"/>
  <c r="N7" i="64"/>
  <c r="V7" i="64" s="1"/>
  <c r="U7" i="64"/>
  <c r="U13" i="64"/>
  <c r="V13" i="64"/>
  <c r="I15" i="20"/>
  <c r="K15" i="20"/>
  <c r="F15" i="20"/>
  <c r="G15" i="20" s="1"/>
  <c r="J15" i="20"/>
  <c r="H15" i="20"/>
  <c r="AC11" i="46" l="1"/>
  <c r="AC12" i="46" s="1"/>
  <c r="T11" i="46"/>
  <c r="T12" i="46" s="1"/>
  <c r="AF11" i="46"/>
  <c r="AF12" i="46" s="1"/>
  <c r="Q12" i="46"/>
  <c r="W11" i="46"/>
  <c r="W12" i="46" s="1"/>
  <c r="Z11" i="46"/>
  <c r="Z12" i="46" s="1"/>
  <c r="AD9" i="46"/>
  <c r="AD10" i="46" s="1"/>
  <c r="R9" i="46"/>
  <c r="R10" i="46" s="1"/>
  <c r="X9" i="46"/>
  <c r="X10" i="46" s="1"/>
  <c r="U9" i="46"/>
  <c r="U10" i="46" s="1"/>
  <c r="AA9" i="46"/>
  <c r="AA10" i="46" s="1"/>
  <c r="O10" i="46"/>
  <c r="P18" i="46"/>
  <c r="V17" i="46"/>
  <c r="V18" i="46" s="1"/>
  <c r="Y17" i="46"/>
  <c r="Y18" i="46" s="1"/>
  <c r="AB17" i="46"/>
  <c r="AB18" i="46" s="1"/>
  <c r="AE17" i="46"/>
  <c r="AE18" i="46" s="1"/>
  <c r="S17" i="46"/>
  <c r="S18" i="46" s="1"/>
  <c r="P16" i="46"/>
  <c r="V15" i="46"/>
  <c r="V16" i="46" s="1"/>
  <c r="Y15" i="46"/>
  <c r="Y16" i="46" s="1"/>
  <c r="AB15" i="46"/>
  <c r="AB16" i="46" s="1"/>
  <c r="AE15" i="46"/>
  <c r="AE16" i="46" s="1"/>
  <c r="S15" i="46"/>
  <c r="S16" i="46" s="1"/>
  <c r="Z15" i="46"/>
  <c r="Z16" i="46" s="1"/>
  <c r="AC15" i="46"/>
  <c r="AC16" i="46" s="1"/>
  <c r="AF15" i="46"/>
  <c r="AF16" i="46" s="1"/>
  <c r="T15" i="46"/>
  <c r="T16" i="46" s="1"/>
  <c r="Q16" i="46"/>
  <c r="W15" i="46"/>
  <c r="W16" i="46" s="1"/>
  <c r="AD15" i="46"/>
  <c r="AD16" i="46" s="1"/>
  <c r="R15" i="46"/>
  <c r="R16" i="46" s="1"/>
  <c r="O16" i="46"/>
  <c r="U15" i="46"/>
  <c r="U16" i="46" s="1"/>
  <c r="X15" i="46"/>
  <c r="X16" i="46" s="1"/>
  <c r="AA15" i="46"/>
  <c r="AA16" i="46" s="1"/>
  <c r="Z17" i="46"/>
  <c r="Z18" i="46" s="1"/>
  <c r="AC17" i="46"/>
  <c r="AC18" i="46" s="1"/>
  <c r="AF17" i="46"/>
  <c r="AF18" i="46" s="1"/>
  <c r="T17" i="46"/>
  <c r="T18" i="46" s="1"/>
  <c r="Q18" i="46"/>
  <c r="W17" i="46"/>
  <c r="W18" i="46" s="1"/>
  <c r="O12" i="46"/>
  <c r="U11" i="46"/>
  <c r="U12" i="46" s="1"/>
  <c r="AA11" i="46"/>
  <c r="AA12" i="46" s="1"/>
  <c r="X11" i="46"/>
  <c r="X12" i="46" s="1"/>
  <c r="AD11" i="46"/>
  <c r="AD12" i="46" s="1"/>
  <c r="R11" i="46"/>
  <c r="R12" i="46" s="1"/>
  <c r="Z9" i="46"/>
  <c r="Z10" i="46" s="1"/>
  <c r="AC9" i="46"/>
  <c r="AC10" i="46" s="1"/>
  <c r="AF9" i="46"/>
  <c r="AF10" i="46" s="1"/>
  <c r="T9" i="46"/>
  <c r="T10" i="46" s="1"/>
  <c r="Q10" i="46"/>
  <c r="W9" i="46"/>
  <c r="W10" i="46" s="1"/>
  <c r="Y11" i="46"/>
  <c r="Y12" i="46" s="1"/>
  <c r="AE11" i="46"/>
  <c r="AE12" i="46" s="1"/>
  <c r="S11" i="46"/>
  <c r="S12" i="46" s="1"/>
  <c r="P12" i="46"/>
  <c r="V11" i="46"/>
  <c r="V12" i="46" s="1"/>
  <c r="AB11" i="46"/>
  <c r="AB12" i="46" s="1"/>
  <c r="AD17" i="46"/>
  <c r="AD18" i="46" s="1"/>
  <c r="R17" i="46"/>
  <c r="R18" i="46" s="1"/>
  <c r="O18" i="46"/>
  <c r="U17" i="46"/>
  <c r="U18" i="46" s="1"/>
  <c r="X17" i="46"/>
  <c r="X18" i="46" s="1"/>
  <c r="AA17" i="46"/>
  <c r="AA18" i="46" s="1"/>
  <c r="AE9" i="64"/>
  <c r="AE10" i="64" s="1"/>
  <c r="AH9" i="64"/>
  <c r="AH10" i="64" s="1"/>
  <c r="AK9" i="64"/>
  <c r="AK10" i="64" s="1"/>
  <c r="Y9" i="64"/>
  <c r="Y10" i="64" s="1"/>
  <c r="AB9" i="64"/>
  <c r="AB10" i="64" s="1"/>
  <c r="V10" i="64"/>
  <c r="U20" i="64"/>
  <c r="AA19" i="64"/>
  <c r="AA20" i="64" s="1"/>
  <c r="X19" i="64"/>
  <c r="X20" i="64" s="1"/>
  <c r="AD19" i="64"/>
  <c r="AD20" i="64" s="1"/>
  <c r="AG19" i="64"/>
  <c r="AG20" i="64" s="1"/>
  <c r="AJ19" i="64"/>
  <c r="AJ20" i="64" s="1"/>
  <c r="AH11" i="64"/>
  <c r="AH12" i="64" s="1"/>
  <c r="AK11" i="64"/>
  <c r="AK12" i="64" s="1"/>
  <c r="Y11" i="64"/>
  <c r="Y12" i="64" s="1"/>
  <c r="V12" i="64"/>
  <c r="AB11" i="64"/>
  <c r="AB12" i="64" s="1"/>
  <c r="AE11" i="64"/>
  <c r="AE12" i="64" s="1"/>
  <c r="V8" i="64"/>
  <c r="AB7" i="64"/>
  <c r="AB8" i="64" s="1"/>
  <c r="AE7" i="64"/>
  <c r="AE8" i="64" s="1"/>
  <c r="AH7" i="64"/>
  <c r="AH8" i="64" s="1"/>
  <c r="Y7" i="64"/>
  <c r="Y8" i="64" s="1"/>
  <c r="AK7" i="64"/>
  <c r="AK8" i="64" s="1"/>
  <c r="U18" i="64"/>
  <c r="AA17" i="64"/>
  <c r="AA18" i="64" s="1"/>
  <c r="AD17" i="64"/>
  <c r="AD18" i="64" s="1"/>
  <c r="AG17" i="64"/>
  <c r="AG18" i="64" s="1"/>
  <c r="X17" i="64"/>
  <c r="X18" i="64" s="1"/>
  <c r="AJ17" i="64"/>
  <c r="AJ18" i="64" s="1"/>
  <c r="V16" i="64"/>
  <c r="AB15" i="64"/>
  <c r="AB16" i="64" s="1"/>
  <c r="AE15" i="64"/>
  <c r="AE16" i="64" s="1"/>
  <c r="AH15" i="64"/>
  <c r="AH16" i="64" s="1"/>
  <c r="Y15" i="64"/>
  <c r="Y16" i="64" s="1"/>
  <c r="AK15" i="64"/>
  <c r="AK16" i="64" s="1"/>
  <c r="AG13" i="64"/>
  <c r="AG14" i="64" s="1"/>
  <c r="AJ13" i="64"/>
  <c r="AJ14" i="64" s="1"/>
  <c r="X13" i="64"/>
  <c r="X14" i="64" s="1"/>
  <c r="U14" i="64"/>
  <c r="AA13" i="64"/>
  <c r="AA14" i="64" s="1"/>
  <c r="AD13" i="64"/>
  <c r="AD14" i="64" s="1"/>
  <c r="AI19" i="64"/>
  <c r="AI20" i="64" s="1"/>
  <c r="W19" i="64"/>
  <c r="W20" i="64" s="1"/>
  <c r="T20" i="64"/>
  <c r="Z19" i="64"/>
  <c r="Z20" i="64" s="1"/>
  <c r="AC19" i="64"/>
  <c r="AC20" i="64" s="1"/>
  <c r="AF19" i="64"/>
  <c r="AF20" i="64" s="1"/>
  <c r="T12" i="64"/>
  <c r="Z11" i="64"/>
  <c r="Z12" i="64" s="1"/>
  <c r="AC11" i="64"/>
  <c r="AC12" i="64" s="1"/>
  <c r="AF11" i="64"/>
  <c r="AF12" i="64" s="1"/>
  <c r="W11" i="64"/>
  <c r="W12" i="64" s="1"/>
  <c r="AI11" i="64"/>
  <c r="AI12" i="64" s="1"/>
  <c r="AI9" i="64"/>
  <c r="AI10" i="64" s="1"/>
  <c r="W9" i="64"/>
  <c r="W10" i="64" s="1"/>
  <c r="T10" i="64"/>
  <c r="Z9" i="64"/>
  <c r="Z10" i="64" s="1"/>
  <c r="AC9" i="64"/>
  <c r="AC10" i="64" s="1"/>
  <c r="AF9" i="64"/>
  <c r="AF10" i="64" s="1"/>
  <c r="AE19" i="64"/>
  <c r="AE20" i="64" s="1"/>
  <c r="AH19" i="64"/>
  <c r="AH20" i="64" s="1"/>
  <c r="AK19" i="64"/>
  <c r="AK20" i="64" s="1"/>
  <c r="Y19" i="64"/>
  <c r="Y20" i="64" s="1"/>
  <c r="V20" i="64"/>
  <c r="AB19" i="64"/>
  <c r="AB20" i="64" s="1"/>
  <c r="AD11" i="64"/>
  <c r="AD12" i="64" s="1"/>
  <c r="AG11" i="64"/>
  <c r="AG12" i="64" s="1"/>
  <c r="AJ11" i="64"/>
  <c r="AJ12" i="64" s="1"/>
  <c r="X11" i="64"/>
  <c r="X12" i="64" s="1"/>
  <c r="U12" i="64"/>
  <c r="AA11" i="64"/>
  <c r="AA12" i="64" s="1"/>
  <c r="AJ15" i="64"/>
  <c r="AJ16" i="64" s="1"/>
  <c r="X15" i="64"/>
  <c r="X16" i="64" s="1"/>
  <c r="U16" i="64"/>
  <c r="AA15" i="64"/>
  <c r="AA16" i="64" s="1"/>
  <c r="AD15" i="64"/>
  <c r="AD16" i="64" s="1"/>
  <c r="AG15" i="64"/>
  <c r="AG16" i="64" s="1"/>
  <c r="AF15" i="64"/>
  <c r="AF16" i="64" s="1"/>
  <c r="AI15" i="64"/>
  <c r="AI16" i="64" s="1"/>
  <c r="W15" i="64"/>
  <c r="W16" i="64" s="1"/>
  <c r="T16" i="64"/>
  <c r="Z15" i="64"/>
  <c r="Z16" i="64" s="1"/>
  <c r="AC15" i="64"/>
  <c r="AC16" i="64" s="1"/>
  <c r="T17" i="64"/>
  <c r="AJ7" i="64"/>
  <c r="AJ8" i="64" s="1"/>
  <c r="X7" i="64"/>
  <c r="X8" i="64" s="1"/>
  <c r="U8" i="64"/>
  <c r="AA7" i="64"/>
  <c r="AA8" i="64" s="1"/>
  <c r="AD7" i="64"/>
  <c r="AD8" i="64" s="1"/>
  <c r="AG7" i="64"/>
  <c r="AG8" i="64" s="1"/>
  <c r="AF7" i="64"/>
  <c r="AF8" i="64" s="1"/>
  <c r="AI7" i="64"/>
  <c r="AI8" i="64" s="1"/>
  <c r="W7" i="64"/>
  <c r="W8" i="64" s="1"/>
  <c r="T8" i="64"/>
  <c r="Z7" i="64"/>
  <c r="Z8" i="64" s="1"/>
  <c r="AC7" i="64"/>
  <c r="AC8" i="64" s="1"/>
  <c r="AE17" i="64"/>
  <c r="AE18" i="64" s="1"/>
  <c r="AH17" i="64"/>
  <c r="AH18" i="64" s="1"/>
  <c r="AK17" i="64"/>
  <c r="AK18" i="64" s="1"/>
  <c r="Y17" i="64"/>
  <c r="Y18" i="64" s="1"/>
  <c r="V18" i="64"/>
  <c r="AB17" i="64"/>
  <c r="AB18" i="64" s="1"/>
  <c r="U10" i="64"/>
  <c r="AA9" i="64"/>
  <c r="AA10" i="64" s="1"/>
  <c r="AD9" i="64"/>
  <c r="AD10" i="64" s="1"/>
  <c r="AG9" i="64"/>
  <c r="AG10" i="64" s="1"/>
  <c r="X9" i="64"/>
  <c r="X10" i="64" s="1"/>
  <c r="AJ9" i="64"/>
  <c r="AJ10" i="64" s="1"/>
  <c r="AK13" i="64"/>
  <c r="AK14" i="64" s="1"/>
  <c r="Y13" i="64"/>
  <c r="Y14" i="64" s="1"/>
  <c r="V14" i="64"/>
  <c r="AB13" i="64"/>
  <c r="AB14" i="64" s="1"/>
  <c r="AE13" i="64"/>
  <c r="AE14" i="64" s="1"/>
  <c r="AH13" i="64"/>
  <c r="AH14" i="64" s="1"/>
  <c r="O15" i="20"/>
  <c r="N15" i="20"/>
  <c r="M15" i="20"/>
  <c r="AI17" i="64" l="1"/>
  <c r="AI18" i="64" s="1"/>
  <c r="W17" i="64"/>
  <c r="W18" i="64" s="1"/>
  <c r="T18" i="64"/>
  <c r="Z17" i="64"/>
  <c r="Z18" i="64" s="1"/>
  <c r="AC17" i="64"/>
  <c r="AC18" i="64" s="1"/>
  <c r="AF17" i="64"/>
  <c r="AF18" i="64" s="1"/>
  <c r="AB15" i="20"/>
  <c r="AB16" i="20" s="1"/>
  <c r="P15" i="20"/>
  <c r="P16" i="20" s="1"/>
  <c r="M16" i="20"/>
  <c r="S15" i="20"/>
  <c r="S16" i="20" s="1"/>
  <c r="V15" i="20"/>
  <c r="V16" i="20" s="1"/>
  <c r="Y15" i="20"/>
  <c r="Y16" i="20" s="1"/>
  <c r="N16" i="20"/>
  <c r="T15" i="20"/>
  <c r="T16" i="20" s="1"/>
  <c r="Z15" i="20"/>
  <c r="Z16" i="20" s="1"/>
  <c r="W15" i="20"/>
  <c r="W16" i="20" s="1"/>
  <c r="AC15" i="20"/>
  <c r="AC16" i="20" s="1"/>
  <c r="Q15" i="20"/>
  <c r="Q16" i="20" s="1"/>
  <c r="X15" i="20"/>
  <c r="X16" i="20" s="1"/>
  <c r="R15" i="20"/>
  <c r="R16" i="20" s="1"/>
  <c r="AA15" i="20"/>
  <c r="AA16" i="20" s="1"/>
  <c r="AD15" i="20"/>
  <c r="AD16" i="20" s="1"/>
  <c r="O16" i="20"/>
  <c r="U15" i="20"/>
  <c r="U16" i="20" s="1"/>
  <c r="K21" i="50" l="1"/>
  <c r="J21" i="50"/>
  <c r="L21" i="50" s="1"/>
  <c r="I21" i="50"/>
  <c r="K19" i="50"/>
  <c r="J19" i="50"/>
  <c r="L19" i="50" s="1"/>
  <c r="T19" i="50" s="1"/>
  <c r="I19" i="50"/>
  <c r="Q17" i="50"/>
  <c r="P17" i="50"/>
  <c r="O17" i="50"/>
  <c r="R17" i="50" s="1"/>
  <c r="L15" i="50"/>
  <c r="N15" i="50" s="1"/>
  <c r="J15" i="50"/>
  <c r="I15" i="50"/>
  <c r="K15" i="50" s="1"/>
  <c r="R13" i="50"/>
  <c r="O13" i="50"/>
  <c r="P13" i="50" s="1"/>
  <c r="K13" i="50"/>
  <c r="J13" i="50"/>
  <c r="L13" i="50" s="1"/>
  <c r="M13" i="50" s="1"/>
  <c r="I13" i="50"/>
  <c r="M11" i="50"/>
  <c r="L11" i="50"/>
  <c r="N11" i="50" s="1"/>
  <c r="J11" i="50"/>
  <c r="I11" i="50"/>
  <c r="K11" i="50" s="1"/>
  <c r="S11" i="50" s="1"/>
  <c r="Y11" i="50" s="1"/>
  <c r="Y12" i="50" s="1"/>
  <c r="O9" i="50"/>
  <c r="N9" i="50"/>
  <c r="K9" i="50"/>
  <c r="J9" i="50"/>
  <c r="L9" i="50" s="1"/>
  <c r="M9" i="50" s="1"/>
  <c r="I9" i="50"/>
  <c r="Q7" i="50"/>
  <c r="P7" i="50"/>
  <c r="O7" i="50"/>
  <c r="R7" i="50" s="1"/>
  <c r="L7" i="50"/>
  <c r="N7" i="50" s="1"/>
  <c r="J7" i="50"/>
  <c r="I7" i="50"/>
  <c r="K7" i="50" s="1"/>
  <c r="S7" i="50" s="1"/>
  <c r="AH7" i="50" l="1"/>
  <c r="AH8" i="50" s="1"/>
  <c r="V7" i="50"/>
  <c r="V8" i="50" s="1"/>
  <c r="AE7" i="50"/>
  <c r="AE8" i="50" s="1"/>
  <c r="S8" i="50"/>
  <c r="U15" i="50"/>
  <c r="T15" i="50"/>
  <c r="S15" i="50"/>
  <c r="U17" i="50"/>
  <c r="U19" i="50"/>
  <c r="AH11" i="50"/>
  <c r="AH12" i="50" s="1"/>
  <c r="V11" i="50"/>
  <c r="V12" i="50" s="1"/>
  <c r="AE11" i="50"/>
  <c r="AE12" i="50" s="1"/>
  <c r="P9" i="50"/>
  <c r="T9" i="50" s="1"/>
  <c r="Q9" i="50"/>
  <c r="U9" i="50" s="1"/>
  <c r="AB11" i="50"/>
  <c r="AB12" i="50" s="1"/>
  <c r="T11" i="50"/>
  <c r="T13" i="50"/>
  <c r="S13" i="50"/>
  <c r="Y7" i="50"/>
  <c r="Y8" i="50" s="1"/>
  <c r="R9" i="50"/>
  <c r="U11" i="50"/>
  <c r="S12" i="50"/>
  <c r="N13" i="50"/>
  <c r="M7" i="50"/>
  <c r="U7" i="50" s="1"/>
  <c r="T7" i="50"/>
  <c r="AB7" i="50"/>
  <c r="AB8" i="50" s="1"/>
  <c r="S9" i="50"/>
  <c r="T20" i="50"/>
  <c r="Z19" i="50"/>
  <c r="Z20" i="50" s="1"/>
  <c r="AC19" i="50"/>
  <c r="AC20" i="50" s="1"/>
  <c r="AF19" i="50"/>
  <c r="AF20" i="50" s="1"/>
  <c r="AI19" i="50"/>
  <c r="AI20" i="50" s="1"/>
  <c r="W19" i="50"/>
  <c r="W20" i="50" s="1"/>
  <c r="U21" i="50"/>
  <c r="Q13" i="50"/>
  <c r="U13" i="50" s="1"/>
  <c r="S17" i="50"/>
  <c r="S19" i="50"/>
  <c r="S21" i="50"/>
  <c r="T17" i="50"/>
  <c r="T21" i="50"/>
  <c r="M15" i="50"/>
  <c r="AJ13" i="50" l="1"/>
  <c r="AJ14" i="50" s="1"/>
  <c r="X13" i="50"/>
  <c r="X14" i="50" s="1"/>
  <c r="AA13" i="50"/>
  <c r="AA14" i="50" s="1"/>
  <c r="U14" i="50"/>
  <c r="AG13" i="50"/>
  <c r="AG14" i="50" s="1"/>
  <c r="AD13" i="50"/>
  <c r="AD14" i="50" s="1"/>
  <c r="AJ9" i="50"/>
  <c r="AJ10" i="50" s="1"/>
  <c r="X9" i="50"/>
  <c r="X10" i="50" s="1"/>
  <c r="AG9" i="50"/>
  <c r="AG10" i="50" s="1"/>
  <c r="AA9" i="50"/>
  <c r="AA10" i="50" s="1"/>
  <c r="U10" i="50"/>
  <c r="AD9" i="50"/>
  <c r="AD10" i="50" s="1"/>
  <c r="AF9" i="50"/>
  <c r="AF10" i="50" s="1"/>
  <c r="AC9" i="50"/>
  <c r="AC10" i="50" s="1"/>
  <c r="AI9" i="50"/>
  <c r="AI10" i="50" s="1"/>
  <c r="Z9" i="50"/>
  <c r="Z10" i="50" s="1"/>
  <c r="W9" i="50"/>
  <c r="W10" i="50" s="1"/>
  <c r="T10" i="50"/>
  <c r="AD7" i="50"/>
  <c r="AD8" i="50" s="1"/>
  <c r="U8" i="50"/>
  <c r="AA7" i="50"/>
  <c r="AA8" i="50" s="1"/>
  <c r="AJ7" i="50"/>
  <c r="AJ8" i="50" s="1"/>
  <c r="AG7" i="50"/>
  <c r="AG8" i="50" s="1"/>
  <c r="X7" i="50"/>
  <c r="X8" i="50" s="1"/>
  <c r="AB9" i="50"/>
  <c r="AB10" i="50" s="1"/>
  <c r="S10" i="50"/>
  <c r="Y9" i="50"/>
  <c r="Y10" i="50" s="1"/>
  <c r="AH9" i="50"/>
  <c r="AH10" i="50" s="1"/>
  <c r="AE9" i="50"/>
  <c r="AE10" i="50" s="1"/>
  <c r="V9" i="50"/>
  <c r="V10" i="50" s="1"/>
  <c r="T8" i="50"/>
  <c r="Z7" i="50"/>
  <c r="Z8" i="50" s="1"/>
  <c r="AI7" i="50"/>
  <c r="AI8" i="50" s="1"/>
  <c r="W7" i="50"/>
  <c r="W8" i="50" s="1"/>
  <c r="AF7" i="50"/>
  <c r="AF8" i="50" s="1"/>
  <c r="AC7" i="50"/>
  <c r="AC8" i="50" s="1"/>
  <c r="T16" i="50"/>
  <c r="Z15" i="50"/>
  <c r="Z16" i="50" s="1"/>
  <c r="AC15" i="50"/>
  <c r="AC16" i="50" s="1"/>
  <c r="AF15" i="50"/>
  <c r="AF16" i="50" s="1"/>
  <c r="AI15" i="50"/>
  <c r="AI16" i="50" s="1"/>
  <c r="W15" i="50"/>
  <c r="W16" i="50" s="1"/>
  <c r="AD21" i="50"/>
  <c r="AD22" i="50" s="1"/>
  <c r="AG21" i="50"/>
  <c r="AG22" i="50" s="1"/>
  <c r="AJ21" i="50"/>
  <c r="AJ22" i="50" s="1"/>
  <c r="X21" i="50"/>
  <c r="X22" i="50" s="1"/>
  <c r="U22" i="50"/>
  <c r="AA21" i="50"/>
  <c r="AA22" i="50" s="1"/>
  <c r="T12" i="50"/>
  <c r="Z11" i="50"/>
  <c r="Z12" i="50" s="1"/>
  <c r="AI11" i="50"/>
  <c r="AI12" i="50" s="1"/>
  <c r="W11" i="50"/>
  <c r="W12" i="50" s="1"/>
  <c r="AF11" i="50"/>
  <c r="AF12" i="50" s="1"/>
  <c r="AC11" i="50"/>
  <c r="AC12" i="50" s="1"/>
  <c r="AD17" i="50"/>
  <c r="AD18" i="50" s="1"/>
  <c r="AG17" i="50"/>
  <c r="AG18" i="50" s="1"/>
  <c r="AJ17" i="50"/>
  <c r="AJ18" i="50" s="1"/>
  <c r="X17" i="50"/>
  <c r="X18" i="50" s="1"/>
  <c r="U18" i="50"/>
  <c r="AA17" i="50"/>
  <c r="AA18" i="50" s="1"/>
  <c r="T22" i="50"/>
  <c r="Z21" i="50"/>
  <c r="Z22" i="50" s="1"/>
  <c r="AC21" i="50"/>
  <c r="AC22" i="50" s="1"/>
  <c r="AF21" i="50"/>
  <c r="AF22" i="50" s="1"/>
  <c r="AI21" i="50"/>
  <c r="AI22" i="50" s="1"/>
  <c r="W21" i="50"/>
  <c r="W22" i="50" s="1"/>
  <c r="AH17" i="50"/>
  <c r="AH18" i="50" s="1"/>
  <c r="V17" i="50"/>
  <c r="V18" i="50" s="1"/>
  <c r="S18" i="50"/>
  <c r="Y17" i="50"/>
  <c r="Y18" i="50" s="1"/>
  <c r="AB17" i="50"/>
  <c r="AB18" i="50" s="1"/>
  <c r="AE17" i="50"/>
  <c r="AE18" i="50" s="1"/>
  <c r="AB13" i="50"/>
  <c r="AB14" i="50" s="1"/>
  <c r="S14" i="50"/>
  <c r="Y13" i="50"/>
  <c r="Y14" i="50" s="1"/>
  <c r="AE13" i="50"/>
  <c r="AE14" i="50" s="1"/>
  <c r="V13" i="50"/>
  <c r="V14" i="50" s="1"/>
  <c r="AH13" i="50"/>
  <c r="AH14" i="50" s="1"/>
  <c r="AH15" i="50"/>
  <c r="AH16" i="50" s="1"/>
  <c r="V15" i="50"/>
  <c r="V16" i="50" s="1"/>
  <c r="S16" i="50"/>
  <c r="Y15" i="50"/>
  <c r="Y16" i="50" s="1"/>
  <c r="AB15" i="50"/>
  <c r="AB16" i="50" s="1"/>
  <c r="AE15" i="50"/>
  <c r="AE16" i="50" s="1"/>
  <c r="T18" i="50"/>
  <c r="Z17" i="50"/>
  <c r="Z18" i="50" s="1"/>
  <c r="AC17" i="50"/>
  <c r="AC18" i="50" s="1"/>
  <c r="AF17" i="50"/>
  <c r="AF18" i="50" s="1"/>
  <c r="AI17" i="50"/>
  <c r="AI18" i="50" s="1"/>
  <c r="W17" i="50"/>
  <c r="W18" i="50" s="1"/>
  <c r="AD11" i="50"/>
  <c r="AD12" i="50" s="1"/>
  <c r="U12" i="50"/>
  <c r="AA11" i="50"/>
  <c r="AA12" i="50" s="1"/>
  <c r="X11" i="50"/>
  <c r="X12" i="50" s="1"/>
  <c r="AJ11" i="50"/>
  <c r="AJ12" i="50" s="1"/>
  <c r="AG11" i="50"/>
  <c r="AG12" i="50" s="1"/>
  <c r="AH21" i="50"/>
  <c r="AH22" i="50" s="1"/>
  <c r="V21" i="50"/>
  <c r="V22" i="50" s="1"/>
  <c r="S22" i="50"/>
  <c r="Y21" i="50"/>
  <c r="Y22" i="50" s="1"/>
  <c r="AB21" i="50"/>
  <c r="AB22" i="50" s="1"/>
  <c r="AE21" i="50"/>
  <c r="AE22" i="50" s="1"/>
  <c r="AF13" i="50"/>
  <c r="AF14" i="50" s="1"/>
  <c r="AI13" i="50"/>
  <c r="AI14" i="50" s="1"/>
  <c r="W13" i="50"/>
  <c r="W14" i="50" s="1"/>
  <c r="AC13" i="50"/>
  <c r="AC14" i="50" s="1"/>
  <c r="Z13" i="50"/>
  <c r="Z14" i="50" s="1"/>
  <c r="T14" i="50"/>
  <c r="AD19" i="50"/>
  <c r="AD20" i="50" s="1"/>
  <c r="AG19" i="50"/>
  <c r="AG20" i="50" s="1"/>
  <c r="AJ19" i="50"/>
  <c r="AJ20" i="50" s="1"/>
  <c r="X19" i="50"/>
  <c r="X20" i="50" s="1"/>
  <c r="U20" i="50"/>
  <c r="AA19" i="50"/>
  <c r="AA20" i="50" s="1"/>
  <c r="AD15" i="50"/>
  <c r="AD16" i="50" s="1"/>
  <c r="AG15" i="50"/>
  <c r="AG16" i="50" s="1"/>
  <c r="AJ15" i="50"/>
  <c r="AJ16" i="50" s="1"/>
  <c r="X15" i="50"/>
  <c r="X16" i="50" s="1"/>
  <c r="U16" i="50"/>
  <c r="AA15" i="50"/>
  <c r="AA16" i="50" s="1"/>
  <c r="AH19" i="50"/>
  <c r="AH20" i="50" s="1"/>
  <c r="V19" i="50"/>
  <c r="V20" i="50" s="1"/>
  <c r="S20" i="50"/>
  <c r="Y19" i="50"/>
  <c r="Y20" i="50" s="1"/>
  <c r="AB19" i="50"/>
  <c r="AB20" i="50" s="1"/>
  <c r="AE19" i="50"/>
  <c r="AE20" i="50" s="1"/>
  <c r="S15" i="67" l="1"/>
  <c r="AB15" i="67" s="1"/>
  <c r="AB16" i="67" s="1"/>
  <c r="R15" i="67"/>
  <c r="R16" i="67" s="1"/>
  <c r="K15" i="67"/>
  <c r="Q15" i="67" s="1"/>
  <c r="I13" i="67"/>
  <c r="M13" i="67" s="1"/>
  <c r="H13" i="67"/>
  <c r="L13" i="67" s="1"/>
  <c r="G13" i="67"/>
  <c r="O13" i="67" s="1"/>
  <c r="N11" i="67"/>
  <c r="J11" i="67"/>
  <c r="I11" i="67"/>
  <c r="M11" i="67" s="1"/>
  <c r="H11" i="67"/>
  <c r="L11" i="67" s="1"/>
  <c r="G11" i="67"/>
  <c r="O11" i="67" s="1"/>
  <c r="Q11" i="67" s="1"/>
  <c r="I9" i="67"/>
  <c r="M9" i="67" s="1"/>
  <c r="H9" i="67"/>
  <c r="L9" i="67" s="1"/>
  <c r="G9" i="67"/>
  <c r="O9" i="67" s="1"/>
  <c r="N7" i="67"/>
  <c r="J7" i="67"/>
  <c r="I7" i="67"/>
  <c r="M7" i="67" s="1"/>
  <c r="H7" i="67"/>
  <c r="L7" i="67" s="1"/>
  <c r="G7" i="67"/>
  <c r="O7" i="67" s="1"/>
  <c r="Q7" i="67" s="1"/>
  <c r="Q8" i="67" l="1"/>
  <c r="W7" i="67"/>
  <c r="W8" i="67" s="1"/>
  <c r="AC7" i="67"/>
  <c r="AC8" i="67" s="1"/>
  <c r="AF7" i="67"/>
  <c r="AF8" i="67" s="1"/>
  <c r="T7" i="67"/>
  <c r="T8" i="67" s="1"/>
  <c r="Z7" i="67"/>
  <c r="Z8" i="67" s="1"/>
  <c r="Q12" i="67"/>
  <c r="W11" i="67"/>
  <c r="W12" i="67" s="1"/>
  <c r="Z11" i="67"/>
  <c r="Z12" i="67" s="1"/>
  <c r="AC11" i="67"/>
  <c r="AC12" i="67" s="1"/>
  <c r="AF11" i="67"/>
  <c r="AF12" i="67" s="1"/>
  <c r="T11" i="67"/>
  <c r="T12" i="67" s="1"/>
  <c r="AF15" i="67"/>
  <c r="AF16" i="67" s="1"/>
  <c r="T15" i="67"/>
  <c r="T16" i="67" s="1"/>
  <c r="Q16" i="67"/>
  <c r="W15" i="67"/>
  <c r="W16" i="67" s="1"/>
  <c r="Z15" i="67"/>
  <c r="Z16" i="67" s="1"/>
  <c r="AC15" i="67"/>
  <c r="AC16" i="67" s="1"/>
  <c r="J9" i="67"/>
  <c r="Q9" i="67" s="1"/>
  <c r="N9" i="67"/>
  <c r="J13" i="67"/>
  <c r="N13" i="67"/>
  <c r="U15" i="67"/>
  <c r="U16" i="67" s="1"/>
  <c r="Y15" i="67"/>
  <c r="Y16" i="67" s="1"/>
  <c r="AG15" i="67"/>
  <c r="AG16" i="67" s="1"/>
  <c r="S16" i="67"/>
  <c r="K13" i="67"/>
  <c r="V15" i="67"/>
  <c r="V16" i="67" s="1"/>
  <c r="AD15" i="67"/>
  <c r="AD16" i="67" s="1"/>
  <c r="AH15" i="67"/>
  <c r="AH16" i="67" s="1"/>
  <c r="AA15" i="67"/>
  <c r="AA16" i="67" s="1"/>
  <c r="AE15" i="67"/>
  <c r="AE16" i="67" s="1"/>
  <c r="K9" i="67"/>
  <c r="K7" i="67"/>
  <c r="K11" i="67"/>
  <c r="X15" i="67"/>
  <c r="X16" i="67" s="1"/>
  <c r="P11" i="67" l="1"/>
  <c r="S11" i="67" s="1"/>
  <c r="R11" i="67"/>
  <c r="P13" i="67"/>
  <c r="S13" i="67"/>
  <c r="R13" i="67"/>
  <c r="AC9" i="67"/>
  <c r="AC10" i="67" s="1"/>
  <c r="AF9" i="67"/>
  <c r="AF10" i="67" s="1"/>
  <c r="T9" i="67"/>
  <c r="T10" i="67" s="1"/>
  <c r="Z9" i="67"/>
  <c r="Z10" i="67" s="1"/>
  <c r="Q10" i="67"/>
  <c r="W9" i="67"/>
  <c r="W10" i="67" s="1"/>
  <c r="P7" i="67"/>
  <c r="S7" i="67" s="1"/>
  <c r="R7" i="67"/>
  <c r="R9" i="67"/>
  <c r="P9" i="67"/>
  <c r="S9" i="67" s="1"/>
  <c r="Q13" i="67"/>
  <c r="S10" i="67" l="1"/>
  <c r="Y9" i="67"/>
  <c r="Y10" i="67" s="1"/>
  <c r="AE9" i="67"/>
  <c r="AE10" i="67" s="1"/>
  <c r="AH9" i="67"/>
  <c r="AH10" i="67" s="1"/>
  <c r="V9" i="67"/>
  <c r="V10" i="67" s="1"/>
  <c r="AB9" i="67"/>
  <c r="AB10" i="67" s="1"/>
  <c r="AE11" i="67"/>
  <c r="AE12" i="67" s="1"/>
  <c r="V11" i="67"/>
  <c r="V12" i="67" s="1"/>
  <c r="S12" i="67"/>
  <c r="Y11" i="67"/>
  <c r="Y12" i="67" s="1"/>
  <c r="AB11" i="67"/>
  <c r="AB12" i="67" s="1"/>
  <c r="AH11" i="67"/>
  <c r="AH12" i="67" s="1"/>
  <c r="AE7" i="67"/>
  <c r="AE8" i="67" s="1"/>
  <c r="V7" i="67"/>
  <c r="V8" i="67" s="1"/>
  <c r="AH7" i="67"/>
  <c r="AH8" i="67" s="1"/>
  <c r="S8" i="67"/>
  <c r="Y7" i="67"/>
  <c r="Y8" i="67" s="1"/>
  <c r="AB7" i="67"/>
  <c r="AB8" i="67" s="1"/>
  <c r="AC13" i="67"/>
  <c r="AC14" i="67" s="1"/>
  <c r="AF13" i="67"/>
  <c r="AF14" i="67" s="1"/>
  <c r="T13" i="67"/>
  <c r="T14" i="67" s="1"/>
  <c r="Q14" i="67"/>
  <c r="W13" i="67"/>
  <c r="W14" i="67" s="1"/>
  <c r="Z13" i="67"/>
  <c r="Z14" i="67" s="1"/>
  <c r="AA7" i="67"/>
  <c r="AA8" i="67" s="1"/>
  <c r="AD7" i="67"/>
  <c r="AD8" i="67" s="1"/>
  <c r="R8" i="67"/>
  <c r="X7" i="67"/>
  <c r="X8" i="67" s="1"/>
  <c r="AG7" i="67"/>
  <c r="AG8" i="67" s="1"/>
  <c r="U7" i="67"/>
  <c r="U8" i="67" s="1"/>
  <c r="AA11" i="67"/>
  <c r="AA12" i="67" s="1"/>
  <c r="AD11" i="67"/>
  <c r="AD12" i="67" s="1"/>
  <c r="AG11" i="67"/>
  <c r="AG12" i="67" s="1"/>
  <c r="U11" i="67"/>
  <c r="U12" i="67" s="1"/>
  <c r="R12" i="67"/>
  <c r="X11" i="67"/>
  <c r="X12" i="67" s="1"/>
  <c r="AG13" i="67"/>
  <c r="AG14" i="67" s="1"/>
  <c r="U13" i="67"/>
  <c r="U14" i="67" s="1"/>
  <c r="R14" i="67"/>
  <c r="AA13" i="67"/>
  <c r="AA14" i="67" s="1"/>
  <c r="AD13" i="67"/>
  <c r="AD14" i="67" s="1"/>
  <c r="X13" i="67"/>
  <c r="X14" i="67" s="1"/>
  <c r="AG9" i="67"/>
  <c r="AG10" i="67" s="1"/>
  <c r="U9" i="67"/>
  <c r="U10" i="67" s="1"/>
  <c r="R10" i="67"/>
  <c r="X9" i="67"/>
  <c r="X10" i="67" s="1"/>
  <c r="AA9" i="67"/>
  <c r="AA10" i="67" s="1"/>
  <c r="AD9" i="67"/>
  <c r="AD10" i="67" s="1"/>
  <c r="S14" i="67"/>
  <c r="Y13" i="67"/>
  <c r="Y14" i="67" s="1"/>
  <c r="AB13" i="67"/>
  <c r="AB14" i="67" s="1"/>
  <c r="AE13" i="67"/>
  <c r="AE14" i="67" s="1"/>
  <c r="AH13" i="67"/>
  <c r="AH14" i="67" s="1"/>
  <c r="V13" i="67"/>
  <c r="V14" i="67" s="1"/>
  <c r="K21" i="62" l="1"/>
  <c r="I21" i="62"/>
  <c r="H21" i="62"/>
  <c r="G21" i="62"/>
  <c r="J21" i="62" s="1"/>
  <c r="X19" i="62"/>
  <c r="W19" i="62"/>
  <c r="S19" i="62"/>
  <c r="O19" i="62"/>
  <c r="U19" i="62" s="1"/>
  <c r="N19" i="62"/>
  <c r="T19" i="62" s="1"/>
  <c r="M19" i="62"/>
  <c r="J19" i="62"/>
  <c r="I19" i="62"/>
  <c r="P19" i="62" s="1"/>
  <c r="V19" i="62" s="1"/>
  <c r="H19" i="62"/>
  <c r="Q19" i="62" s="1"/>
  <c r="G19" i="62"/>
  <c r="Y19" i="62" s="1"/>
  <c r="U17" i="62"/>
  <c r="P17" i="62"/>
  <c r="V17" i="62" s="1"/>
  <c r="O17" i="62"/>
  <c r="I17" i="62"/>
  <c r="H17" i="62"/>
  <c r="Q17" i="62" s="1"/>
  <c r="G17" i="62"/>
  <c r="W17" i="62" s="1"/>
  <c r="S15" i="62"/>
  <c r="O15" i="62"/>
  <c r="U15" i="62" s="1"/>
  <c r="N15" i="62"/>
  <c r="T15" i="62" s="1"/>
  <c r="M15" i="62"/>
  <c r="J15" i="62"/>
  <c r="I15" i="62"/>
  <c r="P15" i="62" s="1"/>
  <c r="V15" i="62" s="1"/>
  <c r="H15" i="62"/>
  <c r="Q15" i="62" s="1"/>
  <c r="G15" i="62"/>
  <c r="K15" i="62" s="1"/>
  <c r="Z15" i="62" s="1"/>
  <c r="X13" i="62"/>
  <c r="P13" i="62"/>
  <c r="V13" i="62" s="1"/>
  <c r="K13" i="62"/>
  <c r="I13" i="62"/>
  <c r="R13" i="62" s="1"/>
  <c r="H13" i="62"/>
  <c r="O13" i="62" s="1"/>
  <c r="U13" i="62" s="1"/>
  <c r="G13" i="62"/>
  <c r="Y13" i="62" s="1"/>
  <c r="W11" i="62"/>
  <c r="O11" i="62"/>
  <c r="U11" i="62" s="1"/>
  <c r="N11" i="62"/>
  <c r="T11" i="62" s="1"/>
  <c r="J11" i="62"/>
  <c r="I11" i="62"/>
  <c r="P11" i="62" s="1"/>
  <c r="V11" i="62" s="1"/>
  <c r="H11" i="62"/>
  <c r="Q11" i="62" s="1"/>
  <c r="G11" i="62"/>
  <c r="Y11" i="62" s="1"/>
  <c r="U9" i="62"/>
  <c r="N9" i="62"/>
  <c r="T9" i="62" s="1"/>
  <c r="L9" i="62"/>
  <c r="S9" i="62" s="1"/>
  <c r="I9" i="62"/>
  <c r="P9" i="62" s="1"/>
  <c r="V9" i="62" s="1"/>
  <c r="H9" i="62"/>
  <c r="O9" i="62" s="1"/>
  <c r="G9" i="62"/>
  <c r="K9" i="62" s="1"/>
  <c r="Y7" i="62"/>
  <c r="W7" i="62"/>
  <c r="M7" i="62"/>
  <c r="S7" i="62" s="1"/>
  <c r="J7" i="62"/>
  <c r="I7" i="62"/>
  <c r="R7" i="62" s="1"/>
  <c r="H7" i="62"/>
  <c r="O7" i="62" s="1"/>
  <c r="U7" i="62" s="1"/>
  <c r="G7" i="62"/>
  <c r="N7" i="62" s="1"/>
  <c r="T7" i="62" s="1"/>
  <c r="Z16" i="62" l="1"/>
  <c r="AF15" i="62"/>
  <c r="AF16" i="62" s="1"/>
  <c r="AI15" i="62"/>
  <c r="AI16" i="62" s="1"/>
  <c r="AO15" i="62"/>
  <c r="AO16" i="62" s="1"/>
  <c r="AC15" i="62"/>
  <c r="AC16" i="62" s="1"/>
  <c r="AL15" i="62"/>
  <c r="AL16" i="62" s="1"/>
  <c r="AA7" i="62"/>
  <c r="K7" i="62"/>
  <c r="AB7" i="62" s="1"/>
  <c r="P7" i="62"/>
  <c r="V7" i="62" s="1"/>
  <c r="X7" i="62"/>
  <c r="Q9" i="62"/>
  <c r="R11" i="62"/>
  <c r="Q13" i="62"/>
  <c r="AB21" i="62"/>
  <c r="AA21" i="62"/>
  <c r="Z21" i="62"/>
  <c r="Q7" i="62"/>
  <c r="R9" i="62"/>
  <c r="W13" i="62"/>
  <c r="J13" i="62"/>
  <c r="N13" i="62"/>
  <c r="T13" i="62" s="1"/>
  <c r="M13" i="62"/>
  <c r="S13" i="62" s="1"/>
  <c r="AA15" i="62"/>
  <c r="R15" i="62"/>
  <c r="AB15" i="62" s="1"/>
  <c r="J17" i="62"/>
  <c r="X17" i="62"/>
  <c r="K17" i="62"/>
  <c r="Y17" i="62"/>
  <c r="J9" i="62"/>
  <c r="K11" i="62"/>
  <c r="AB11" i="62" s="1"/>
  <c r="X11" i="62"/>
  <c r="M17" i="62"/>
  <c r="S17" i="62" s="1"/>
  <c r="K19" i="62"/>
  <c r="AB19" i="62" s="1"/>
  <c r="M11" i="62"/>
  <c r="S11" i="62" s="1"/>
  <c r="N17" i="62"/>
  <c r="T17" i="62" s="1"/>
  <c r="AN15" i="62" l="1"/>
  <c r="AN16" i="62" s="1"/>
  <c r="AQ15" i="62"/>
  <c r="AQ16" i="62" s="1"/>
  <c r="AE15" i="62"/>
  <c r="AE16" i="62" s="1"/>
  <c r="AB16" i="62"/>
  <c r="AK15" i="62"/>
  <c r="AK16" i="62" s="1"/>
  <c r="AH15" i="62"/>
  <c r="AH16" i="62" s="1"/>
  <c r="AQ7" i="62"/>
  <c r="AQ8" i="62" s="1"/>
  <c r="AB8" i="62"/>
  <c r="AH7" i="62"/>
  <c r="AH8" i="62" s="1"/>
  <c r="AK7" i="62"/>
  <c r="AK8" i="62" s="1"/>
  <c r="AN7" i="62"/>
  <c r="AN8" i="62" s="1"/>
  <c r="AE7" i="62"/>
  <c r="AE8" i="62" s="1"/>
  <c r="AK11" i="62"/>
  <c r="AK12" i="62" s="1"/>
  <c r="AN11" i="62"/>
  <c r="AN12" i="62" s="1"/>
  <c r="AE11" i="62"/>
  <c r="AE12" i="62" s="1"/>
  <c r="AB12" i="62"/>
  <c r="AH11" i="62"/>
  <c r="AH12" i="62" s="1"/>
  <c r="AQ11" i="62"/>
  <c r="AQ12" i="62" s="1"/>
  <c r="AB20" i="62"/>
  <c r="AH19" i="62"/>
  <c r="AH20" i="62" s="1"/>
  <c r="AK19" i="62"/>
  <c r="AK20" i="62" s="1"/>
  <c r="AN19" i="62"/>
  <c r="AN20" i="62" s="1"/>
  <c r="AQ19" i="62"/>
  <c r="AQ20" i="62" s="1"/>
  <c r="AE19" i="62"/>
  <c r="AE20" i="62" s="1"/>
  <c r="AA17" i="62"/>
  <c r="Z17" i="62"/>
  <c r="AB17" i="62"/>
  <c r="Z7" i="62"/>
  <c r="AK21" i="62"/>
  <c r="AK22" i="62" s="1"/>
  <c r="AN21" i="62"/>
  <c r="AN22" i="62" s="1"/>
  <c r="AQ21" i="62"/>
  <c r="AQ22" i="62" s="1"/>
  <c r="AE21" i="62"/>
  <c r="AE22" i="62" s="1"/>
  <c r="AB22" i="62"/>
  <c r="AH21" i="62"/>
  <c r="AH22" i="62" s="1"/>
  <c r="Z11" i="62"/>
  <c r="Z19" i="62"/>
  <c r="AG7" i="62"/>
  <c r="AG8" i="62" s="1"/>
  <c r="AP7" i="62"/>
  <c r="AP8" i="62" s="1"/>
  <c r="AD7" i="62"/>
  <c r="AD8" i="62" s="1"/>
  <c r="AA8" i="62"/>
  <c r="AJ7" i="62"/>
  <c r="AJ8" i="62" s="1"/>
  <c r="AM7" i="62"/>
  <c r="AM8" i="62" s="1"/>
  <c r="AA9" i="62"/>
  <c r="Z9" i="62"/>
  <c r="AB9" i="62"/>
  <c r="AA19" i="62"/>
  <c r="AJ15" i="62"/>
  <c r="AJ16" i="62" s="1"/>
  <c r="AM15" i="62"/>
  <c r="AM16" i="62" s="1"/>
  <c r="AA16" i="62"/>
  <c r="AG15" i="62"/>
  <c r="AG16" i="62" s="1"/>
  <c r="AP15" i="62"/>
  <c r="AP16" i="62" s="1"/>
  <c r="AD15" i="62"/>
  <c r="AD16" i="62" s="1"/>
  <c r="AA13" i="62"/>
  <c r="Z13" i="62"/>
  <c r="AB13" i="62"/>
  <c r="AA11" i="62"/>
  <c r="AO21" i="62"/>
  <c r="AO22" i="62" s="1"/>
  <c r="AC21" i="62"/>
  <c r="AC22" i="62" s="1"/>
  <c r="Z22" i="62"/>
  <c r="AF21" i="62"/>
  <c r="AF22" i="62" s="1"/>
  <c r="AI21" i="62"/>
  <c r="AI22" i="62" s="1"/>
  <c r="AL21" i="62"/>
  <c r="AL22" i="62" s="1"/>
  <c r="AA22" i="62"/>
  <c r="AG21" i="62"/>
  <c r="AG22" i="62" s="1"/>
  <c r="AJ21" i="62"/>
  <c r="AJ22" i="62" s="1"/>
  <c r="AM21" i="62"/>
  <c r="AM22" i="62" s="1"/>
  <c r="AP21" i="62"/>
  <c r="AP22" i="62" s="1"/>
  <c r="AD21" i="62"/>
  <c r="AD22" i="62" s="1"/>
  <c r="AM13" i="62" l="1"/>
  <c r="AM14" i="62" s="1"/>
  <c r="AP13" i="62"/>
  <c r="AP14" i="62" s="1"/>
  <c r="AD13" i="62"/>
  <c r="AD14" i="62" s="1"/>
  <c r="AJ13" i="62"/>
  <c r="AJ14" i="62" s="1"/>
  <c r="AA14" i="62"/>
  <c r="AG13" i="62"/>
  <c r="AG14" i="62" s="1"/>
  <c r="AQ9" i="62"/>
  <c r="AQ10" i="62" s="1"/>
  <c r="AE9" i="62"/>
  <c r="AE10" i="62" s="1"/>
  <c r="AB10" i="62"/>
  <c r="AH9" i="62"/>
  <c r="AH10" i="62" s="1"/>
  <c r="AN9" i="62"/>
  <c r="AN10" i="62" s="1"/>
  <c r="AK9" i="62"/>
  <c r="AK10" i="62" s="1"/>
  <c r="AM17" i="62"/>
  <c r="AM18" i="62" s="1"/>
  <c r="AP17" i="62"/>
  <c r="AP18" i="62" s="1"/>
  <c r="AD17" i="62"/>
  <c r="AD18" i="62" s="1"/>
  <c r="AA18" i="62"/>
  <c r="AG17" i="62"/>
  <c r="AG18" i="62" s="1"/>
  <c r="AJ17" i="62"/>
  <c r="AJ18" i="62" s="1"/>
  <c r="AA12" i="62"/>
  <c r="AG11" i="62"/>
  <c r="AG12" i="62" s="1"/>
  <c r="AJ11" i="62"/>
  <c r="AJ12" i="62" s="1"/>
  <c r="AM11" i="62"/>
  <c r="AM12" i="62" s="1"/>
  <c r="AD11" i="62"/>
  <c r="AD12" i="62" s="1"/>
  <c r="AP11" i="62"/>
  <c r="AP12" i="62" s="1"/>
  <c r="AI9" i="62"/>
  <c r="AI10" i="62" s="1"/>
  <c r="AL9" i="62"/>
  <c r="AL10" i="62" s="1"/>
  <c r="AO9" i="62"/>
  <c r="AO10" i="62" s="1"/>
  <c r="AF9" i="62"/>
  <c r="AF10" i="62" s="1"/>
  <c r="Z10" i="62"/>
  <c r="AC9" i="62"/>
  <c r="AC10" i="62" s="1"/>
  <c r="AL19" i="62"/>
  <c r="AL20" i="62" s="1"/>
  <c r="AO19" i="62"/>
  <c r="AO20" i="62" s="1"/>
  <c r="AC19" i="62"/>
  <c r="AC20" i="62" s="1"/>
  <c r="Z20" i="62"/>
  <c r="AF19" i="62"/>
  <c r="AF20" i="62" s="1"/>
  <c r="AI19" i="62"/>
  <c r="AI20" i="62" s="1"/>
  <c r="AI7" i="62"/>
  <c r="AI8" i="62" s="1"/>
  <c r="AL7" i="62"/>
  <c r="AL8" i="62" s="1"/>
  <c r="Z8" i="62"/>
  <c r="AF7" i="62"/>
  <c r="AF8" i="62" s="1"/>
  <c r="AO7" i="62"/>
  <c r="AO8" i="62" s="1"/>
  <c r="AC7" i="62"/>
  <c r="AC8" i="62" s="1"/>
  <c r="AQ13" i="62"/>
  <c r="AQ14" i="62" s="1"/>
  <c r="AE13" i="62"/>
  <c r="AE14" i="62" s="1"/>
  <c r="AB14" i="62"/>
  <c r="AH13" i="62"/>
  <c r="AH14" i="62" s="1"/>
  <c r="AN13" i="62"/>
  <c r="AN14" i="62" s="1"/>
  <c r="AK13" i="62"/>
  <c r="AK14" i="62" s="1"/>
  <c r="AM9" i="62"/>
  <c r="AM10" i="62" s="1"/>
  <c r="AP9" i="62"/>
  <c r="AP10" i="62" s="1"/>
  <c r="AD9" i="62"/>
  <c r="AD10" i="62" s="1"/>
  <c r="AG9" i="62"/>
  <c r="AG10" i="62" s="1"/>
  <c r="AJ9" i="62"/>
  <c r="AJ10" i="62" s="1"/>
  <c r="AA10" i="62"/>
  <c r="AO11" i="62"/>
  <c r="AO12" i="62" s="1"/>
  <c r="AC11" i="62"/>
  <c r="AC12" i="62" s="1"/>
  <c r="Z12" i="62"/>
  <c r="AF11" i="62"/>
  <c r="AF12" i="62" s="1"/>
  <c r="AL11" i="62"/>
  <c r="AL12" i="62" s="1"/>
  <c r="AI11" i="62"/>
  <c r="AI12" i="62" s="1"/>
  <c r="AQ17" i="62"/>
  <c r="AQ18" i="62" s="1"/>
  <c r="AE17" i="62"/>
  <c r="AE18" i="62" s="1"/>
  <c r="AB18" i="62"/>
  <c r="AH17" i="62"/>
  <c r="AH18" i="62" s="1"/>
  <c r="AK17" i="62"/>
  <c r="AK18" i="62" s="1"/>
  <c r="AN17" i="62"/>
  <c r="AN18" i="62" s="1"/>
  <c r="AI13" i="62"/>
  <c r="AI14" i="62" s="1"/>
  <c r="AL13" i="62"/>
  <c r="AL14" i="62" s="1"/>
  <c r="AF13" i="62"/>
  <c r="AF14" i="62" s="1"/>
  <c r="AC13" i="62"/>
  <c r="AC14" i="62" s="1"/>
  <c r="Z14" i="62"/>
  <c r="AO13" i="62"/>
  <c r="AO14" i="62" s="1"/>
  <c r="AP19" i="62"/>
  <c r="AP20" i="62" s="1"/>
  <c r="AD19" i="62"/>
  <c r="AD20" i="62" s="1"/>
  <c r="AA20" i="62"/>
  <c r="AG19" i="62"/>
  <c r="AG20" i="62" s="1"/>
  <c r="AJ19" i="62"/>
  <c r="AJ20" i="62" s="1"/>
  <c r="AM19" i="62"/>
  <c r="AM20" i="62" s="1"/>
  <c r="AI17" i="62"/>
  <c r="AI18" i="62" s="1"/>
  <c r="AL17" i="62"/>
  <c r="AL18" i="62" s="1"/>
  <c r="AO17" i="62"/>
  <c r="AO18" i="62" s="1"/>
  <c r="AC17" i="62"/>
  <c r="AC18" i="62" s="1"/>
  <c r="Z18" i="62"/>
  <c r="AF17" i="62"/>
  <c r="AF18" i="62" s="1"/>
  <c r="H20" i="22" l="1"/>
  <c r="H18" i="22"/>
  <c r="P24" i="52" l="1"/>
  <c r="AE24" i="52" s="1"/>
  <c r="AE25" i="52" s="1"/>
  <c r="J24" i="52"/>
  <c r="M22" i="52"/>
  <c r="K22" i="52"/>
  <c r="H22" i="52"/>
  <c r="N22" i="52" s="1"/>
  <c r="M20" i="52"/>
  <c r="K20" i="52"/>
  <c r="H20" i="52"/>
  <c r="N20" i="52" s="1"/>
  <c r="H18" i="52"/>
  <c r="N18" i="52" s="1"/>
  <c r="M16" i="52"/>
  <c r="K16" i="52"/>
  <c r="H16" i="52"/>
  <c r="N16" i="52" s="1"/>
  <c r="M14" i="52"/>
  <c r="K14" i="52"/>
  <c r="H14" i="52"/>
  <c r="N14" i="52" s="1"/>
  <c r="H12" i="52"/>
  <c r="M12" i="52" s="1"/>
  <c r="H10" i="52"/>
  <c r="M10" i="52" s="1"/>
  <c r="H8" i="52"/>
  <c r="N8" i="52" s="1"/>
  <c r="I7" i="52"/>
  <c r="I22" i="52" l="1"/>
  <c r="I20" i="52"/>
  <c r="I18" i="52"/>
  <c r="I16" i="52"/>
  <c r="I14" i="52"/>
  <c r="I8" i="52"/>
  <c r="K8" i="52"/>
  <c r="M8" i="52"/>
  <c r="O8" i="52" s="1"/>
  <c r="O16" i="52"/>
  <c r="J8" i="52"/>
  <c r="L8" i="52"/>
  <c r="O14" i="52"/>
  <c r="J10" i="52"/>
  <c r="L10" i="52"/>
  <c r="N10" i="52"/>
  <c r="O10" i="52" s="1"/>
  <c r="J12" i="52"/>
  <c r="L12" i="52"/>
  <c r="N12" i="52"/>
  <c r="O12" i="52" s="1"/>
  <c r="J14" i="52"/>
  <c r="L14" i="52"/>
  <c r="J16" i="52"/>
  <c r="L16" i="52"/>
  <c r="O20" i="52"/>
  <c r="I10" i="52"/>
  <c r="K10" i="52"/>
  <c r="I12" i="52"/>
  <c r="P12" i="52" s="1"/>
  <c r="K12" i="52"/>
  <c r="O22" i="52"/>
  <c r="K18" i="52"/>
  <c r="M18" i="52"/>
  <c r="O18" i="52" s="1"/>
  <c r="V24" i="52"/>
  <c r="V25" i="52" s="1"/>
  <c r="AB24" i="52"/>
  <c r="AB25" i="52" s="1"/>
  <c r="P25" i="52"/>
  <c r="J18" i="52"/>
  <c r="L18" i="52"/>
  <c r="J20" i="52"/>
  <c r="L20" i="52"/>
  <c r="J22" i="52"/>
  <c r="L22" i="52"/>
  <c r="Q24" i="52"/>
  <c r="S24" i="52"/>
  <c r="S25" i="52" s="1"/>
  <c r="Y24" i="52"/>
  <c r="Y25" i="52" s="1"/>
  <c r="Q25" i="52" l="1"/>
  <c r="AC24" i="52"/>
  <c r="AC25" i="52" s="1"/>
  <c r="W24" i="52"/>
  <c r="W25" i="52" s="1"/>
  <c r="AF24" i="52"/>
  <c r="AF25" i="52" s="1"/>
  <c r="Z24" i="52"/>
  <c r="Z25" i="52" s="1"/>
  <c r="T24" i="52"/>
  <c r="T25" i="52" s="1"/>
  <c r="R24" i="52"/>
  <c r="AE12" i="52"/>
  <c r="AE13" i="52" s="1"/>
  <c r="Y12" i="52"/>
  <c r="Y13" i="52" s="1"/>
  <c r="S12" i="52"/>
  <c r="S13" i="52" s="1"/>
  <c r="Q12" i="52"/>
  <c r="P13" i="52"/>
  <c r="AB12" i="52"/>
  <c r="AB13" i="52" s="1"/>
  <c r="V12" i="52"/>
  <c r="V13" i="52" s="1"/>
  <c r="P10" i="52"/>
  <c r="P8" i="52"/>
  <c r="P16" i="52"/>
  <c r="P20" i="52"/>
  <c r="P14" i="52"/>
  <c r="P18" i="52"/>
  <c r="P22" i="52"/>
  <c r="P19" i="52" l="1"/>
  <c r="AB18" i="52"/>
  <c r="AB19" i="52" s="1"/>
  <c r="V18" i="52"/>
  <c r="V19" i="52" s="1"/>
  <c r="AE18" i="52"/>
  <c r="AE19" i="52" s="1"/>
  <c r="Y18" i="52"/>
  <c r="Y19" i="52" s="1"/>
  <c r="S18" i="52"/>
  <c r="S19" i="52" s="1"/>
  <c r="Q18" i="52"/>
  <c r="P21" i="52"/>
  <c r="AB20" i="52"/>
  <c r="AB21" i="52" s="1"/>
  <c r="V20" i="52"/>
  <c r="V21" i="52" s="1"/>
  <c r="AE20" i="52"/>
  <c r="AE21" i="52" s="1"/>
  <c r="Y20" i="52"/>
  <c r="Y21" i="52" s="1"/>
  <c r="S20" i="52"/>
  <c r="S21" i="52" s="1"/>
  <c r="Q20" i="52"/>
  <c r="P9" i="52"/>
  <c r="AB8" i="52"/>
  <c r="AB9" i="52" s="1"/>
  <c r="V8" i="52"/>
  <c r="V9" i="52" s="1"/>
  <c r="AE8" i="52"/>
  <c r="AE9" i="52" s="1"/>
  <c r="Y8" i="52"/>
  <c r="Y9" i="52" s="1"/>
  <c r="S8" i="52"/>
  <c r="S9" i="52" s="1"/>
  <c r="Q8" i="52"/>
  <c r="P23" i="52"/>
  <c r="AB22" i="52"/>
  <c r="AB23" i="52" s="1"/>
  <c r="V22" i="52"/>
  <c r="V23" i="52" s="1"/>
  <c r="AE22" i="52"/>
  <c r="AE23" i="52" s="1"/>
  <c r="Y22" i="52"/>
  <c r="Y23" i="52" s="1"/>
  <c r="S22" i="52"/>
  <c r="S23" i="52" s="1"/>
  <c r="Q22" i="52"/>
  <c r="AE14" i="52"/>
  <c r="AE15" i="52" s="1"/>
  <c r="Y14" i="52"/>
  <c r="Y15" i="52" s="1"/>
  <c r="S14" i="52"/>
  <c r="S15" i="52" s="1"/>
  <c r="Q14" i="52"/>
  <c r="P15" i="52"/>
  <c r="AB14" i="52"/>
  <c r="AB15" i="52" s="1"/>
  <c r="V14" i="52"/>
  <c r="V15" i="52" s="1"/>
  <c r="AE16" i="52"/>
  <c r="AE17" i="52" s="1"/>
  <c r="Y16" i="52"/>
  <c r="Y17" i="52" s="1"/>
  <c r="S16" i="52"/>
  <c r="S17" i="52" s="1"/>
  <c r="Q16" i="52"/>
  <c r="P17" i="52"/>
  <c r="AB16" i="52"/>
  <c r="AB17" i="52" s="1"/>
  <c r="V16" i="52"/>
  <c r="V17" i="52" s="1"/>
  <c r="AE10" i="52"/>
  <c r="AE11" i="52" s="1"/>
  <c r="Y10" i="52"/>
  <c r="Y11" i="52" s="1"/>
  <c r="S10" i="52"/>
  <c r="S11" i="52" s="1"/>
  <c r="Q10" i="52"/>
  <c r="P11" i="52"/>
  <c r="AB10" i="52"/>
  <c r="AB11" i="52" s="1"/>
  <c r="V10" i="52"/>
  <c r="V11" i="52" s="1"/>
  <c r="Q13" i="52"/>
  <c r="AC12" i="52"/>
  <c r="AC13" i="52" s="1"/>
  <c r="W12" i="52"/>
  <c r="W13" i="52" s="1"/>
  <c r="AF12" i="52"/>
  <c r="AF13" i="52" s="1"/>
  <c r="Z12" i="52"/>
  <c r="Z13" i="52" s="1"/>
  <c r="T12" i="52"/>
  <c r="T13" i="52" s="1"/>
  <c r="R12" i="52"/>
  <c r="AG24" i="52"/>
  <c r="AG25" i="52" s="1"/>
  <c r="AA24" i="52"/>
  <c r="AA25" i="52" s="1"/>
  <c r="U24" i="52"/>
  <c r="U25" i="52" s="1"/>
  <c r="R25" i="52"/>
  <c r="AD24" i="52"/>
  <c r="AD25" i="52" s="1"/>
  <c r="X24" i="52"/>
  <c r="X25" i="52" s="1"/>
  <c r="AG12" i="52" l="1"/>
  <c r="AG13" i="52" s="1"/>
  <c r="AA12" i="52"/>
  <c r="AA13" i="52" s="1"/>
  <c r="U12" i="52"/>
  <c r="U13" i="52" s="1"/>
  <c r="R13" i="52"/>
  <c r="AD12" i="52"/>
  <c r="AD13" i="52" s="1"/>
  <c r="X12" i="52"/>
  <c r="X13" i="52" s="1"/>
  <c r="Q11" i="52"/>
  <c r="AC10" i="52"/>
  <c r="AC11" i="52" s="1"/>
  <c r="W10" i="52"/>
  <c r="W11" i="52" s="1"/>
  <c r="AF10" i="52"/>
  <c r="AF11" i="52" s="1"/>
  <c r="Z10" i="52"/>
  <c r="Z11" i="52" s="1"/>
  <c r="T10" i="52"/>
  <c r="T11" i="52" s="1"/>
  <c r="R10" i="52"/>
  <c r="Q15" i="52"/>
  <c r="AC14" i="52"/>
  <c r="AC15" i="52" s="1"/>
  <c r="W14" i="52"/>
  <c r="W15" i="52" s="1"/>
  <c r="AF14" i="52"/>
  <c r="AF15" i="52" s="1"/>
  <c r="Z14" i="52"/>
  <c r="Z15" i="52" s="1"/>
  <c r="T14" i="52"/>
  <c r="T15" i="52" s="1"/>
  <c r="R14" i="52"/>
  <c r="AF22" i="52"/>
  <c r="AF23" i="52" s="1"/>
  <c r="Z22" i="52"/>
  <c r="Z23" i="52" s="1"/>
  <c r="T22" i="52"/>
  <c r="T23" i="52" s="1"/>
  <c r="R22" i="52"/>
  <c r="Q23" i="52"/>
  <c r="AC22" i="52"/>
  <c r="AC23" i="52" s="1"/>
  <c r="W22" i="52"/>
  <c r="W23" i="52" s="1"/>
  <c r="AF20" i="52"/>
  <c r="AF21" i="52" s="1"/>
  <c r="Z20" i="52"/>
  <c r="Z21" i="52" s="1"/>
  <c r="T20" i="52"/>
  <c r="T21" i="52" s="1"/>
  <c r="R20" i="52"/>
  <c r="Q21" i="52"/>
  <c r="AC20" i="52"/>
  <c r="AC21" i="52" s="1"/>
  <c r="W20" i="52"/>
  <c r="W21" i="52" s="1"/>
  <c r="Q17" i="52"/>
  <c r="AC16" i="52"/>
  <c r="AC17" i="52" s="1"/>
  <c r="W16" i="52"/>
  <c r="W17" i="52" s="1"/>
  <c r="AF16" i="52"/>
  <c r="AF17" i="52" s="1"/>
  <c r="Z16" i="52"/>
  <c r="Z17" i="52" s="1"/>
  <c r="T16" i="52"/>
  <c r="T17" i="52" s="1"/>
  <c r="R16" i="52"/>
  <c r="Q9" i="52"/>
  <c r="AF8" i="52"/>
  <c r="AF9" i="52" s="1"/>
  <c r="Z8" i="52"/>
  <c r="Z9" i="52" s="1"/>
  <c r="T8" i="52"/>
  <c r="T9" i="52" s="1"/>
  <c r="R8" i="52"/>
  <c r="AC8" i="52"/>
  <c r="AC9" i="52" s="1"/>
  <c r="W8" i="52"/>
  <c r="W9" i="52" s="1"/>
  <c r="AF18" i="52"/>
  <c r="AF19" i="52" s="1"/>
  <c r="Z18" i="52"/>
  <c r="Z19" i="52" s="1"/>
  <c r="T18" i="52"/>
  <c r="T19" i="52" s="1"/>
  <c r="R18" i="52"/>
  <c r="Q19" i="52"/>
  <c r="AC18" i="52"/>
  <c r="AC19" i="52" s="1"/>
  <c r="W18" i="52"/>
  <c r="W19" i="52" s="1"/>
  <c r="R19" i="52" l="1"/>
  <c r="AD18" i="52"/>
  <c r="AD19" i="52" s="1"/>
  <c r="X18" i="52"/>
  <c r="X19" i="52" s="1"/>
  <c r="AG18" i="52"/>
  <c r="AG19" i="52" s="1"/>
  <c r="AA18" i="52"/>
  <c r="AA19" i="52" s="1"/>
  <c r="U18" i="52"/>
  <c r="U19" i="52" s="1"/>
  <c r="AD8" i="52"/>
  <c r="AD9" i="52" s="1"/>
  <c r="X8" i="52"/>
  <c r="X9" i="52" s="1"/>
  <c r="R9" i="52"/>
  <c r="AG8" i="52"/>
  <c r="AG9" i="52" s="1"/>
  <c r="AA8" i="52"/>
  <c r="AA9" i="52" s="1"/>
  <c r="U8" i="52"/>
  <c r="U9" i="52" s="1"/>
  <c r="R23" i="52"/>
  <c r="AD22" i="52"/>
  <c r="AD23" i="52" s="1"/>
  <c r="X22" i="52"/>
  <c r="X23" i="52" s="1"/>
  <c r="AG22" i="52"/>
  <c r="AG23" i="52" s="1"/>
  <c r="AA22" i="52"/>
  <c r="AA23" i="52" s="1"/>
  <c r="U22" i="52"/>
  <c r="U23" i="52" s="1"/>
  <c r="AG14" i="52"/>
  <c r="AG15" i="52" s="1"/>
  <c r="AA14" i="52"/>
  <c r="AA15" i="52" s="1"/>
  <c r="U14" i="52"/>
  <c r="U15" i="52" s="1"/>
  <c r="R15" i="52"/>
  <c r="AD14" i="52"/>
  <c r="AD15" i="52" s="1"/>
  <c r="X14" i="52"/>
  <c r="X15" i="52" s="1"/>
  <c r="AG16" i="52"/>
  <c r="AG17" i="52" s="1"/>
  <c r="AA16" i="52"/>
  <c r="AA17" i="52" s="1"/>
  <c r="U16" i="52"/>
  <c r="U17" i="52" s="1"/>
  <c r="R17" i="52"/>
  <c r="AD16" i="52"/>
  <c r="AD17" i="52" s="1"/>
  <c r="X16" i="52"/>
  <c r="X17" i="52" s="1"/>
  <c r="R21" i="52"/>
  <c r="AD20" i="52"/>
  <c r="AD21" i="52" s="1"/>
  <c r="X20" i="52"/>
  <c r="X21" i="52" s="1"/>
  <c r="AG20" i="52"/>
  <c r="AG21" i="52" s="1"/>
  <c r="AA20" i="52"/>
  <c r="AA21" i="52" s="1"/>
  <c r="U20" i="52"/>
  <c r="U21" i="52" s="1"/>
  <c r="AG10" i="52"/>
  <c r="AG11" i="52" s="1"/>
  <c r="AA10" i="52"/>
  <c r="AA11" i="52" s="1"/>
  <c r="U10" i="52"/>
  <c r="U11" i="52" s="1"/>
  <c r="R11" i="52"/>
  <c r="AD10" i="52"/>
  <c r="AD11" i="52" s="1"/>
  <c r="X10" i="52"/>
  <c r="X11" i="52" s="1"/>
  <c r="E16" i="22" l="1"/>
  <c r="F16" i="22" s="1"/>
  <c r="J16" i="22" s="1"/>
  <c r="E14" i="22"/>
  <c r="F14" i="22" s="1"/>
  <c r="I14" i="22" s="1"/>
  <c r="E12" i="22"/>
  <c r="F12" i="22" s="1"/>
  <c r="G12" i="22" s="1"/>
  <c r="E10" i="22"/>
  <c r="F10" i="22" s="1"/>
  <c r="J10" i="22" s="1"/>
  <c r="E8" i="22"/>
  <c r="F8" i="22" s="1"/>
  <c r="J8" i="22" s="1"/>
  <c r="E6" i="22"/>
  <c r="F6" i="22" s="1"/>
  <c r="G6" i="22" s="1"/>
  <c r="I6" i="22" l="1"/>
  <c r="G8" i="22"/>
  <c r="G16" i="22"/>
  <c r="H6" i="22"/>
  <c r="G10" i="22"/>
  <c r="G14" i="22"/>
  <c r="H12" i="22"/>
  <c r="M8" i="22"/>
  <c r="K8" i="22"/>
  <c r="N8" i="22"/>
  <c r="L8" i="22"/>
  <c r="N10" i="22"/>
  <c r="M10" i="22"/>
  <c r="K10" i="22"/>
  <c r="L10" i="22"/>
  <c r="N16" i="22"/>
  <c r="L16" i="22"/>
  <c r="M16" i="22"/>
  <c r="K16" i="22"/>
  <c r="H8" i="22"/>
  <c r="H10" i="22"/>
  <c r="J12" i="22"/>
  <c r="H14" i="22"/>
  <c r="J14" i="22"/>
  <c r="I8" i="22"/>
  <c r="I10" i="22"/>
  <c r="I12" i="22"/>
  <c r="I16" i="22"/>
  <c r="H16" i="22"/>
  <c r="J6" i="22"/>
  <c r="Q16" i="22" l="1"/>
  <c r="W16" i="22" s="1"/>
  <c r="W17" i="22" s="1"/>
  <c r="O16" i="22"/>
  <c r="U16" i="22" s="1"/>
  <c r="U17" i="22" s="1"/>
  <c r="P16" i="22"/>
  <c r="V16" i="22" s="1"/>
  <c r="V17" i="22" s="1"/>
  <c r="Q12" i="22"/>
  <c r="W12" i="22" s="1"/>
  <c r="W13" i="22" s="1"/>
  <c r="Q8" i="22"/>
  <c r="W8" i="22" s="1"/>
  <c r="W9" i="22" s="1"/>
  <c r="O8" i="22"/>
  <c r="U8" i="22" s="1"/>
  <c r="U9" i="22" s="1"/>
  <c r="P8" i="22"/>
  <c r="V8" i="22" s="1"/>
  <c r="V9" i="22" s="1"/>
  <c r="Q14" i="22"/>
  <c r="W14" i="22" s="1"/>
  <c r="W15" i="22" s="1"/>
  <c r="P10" i="22"/>
  <c r="V10" i="22" s="1"/>
  <c r="V11" i="22" s="1"/>
  <c r="Q10" i="22"/>
  <c r="W10" i="22" s="1"/>
  <c r="W11" i="22" s="1"/>
  <c r="O10" i="22"/>
  <c r="U10" i="22" s="1"/>
  <c r="U11" i="22" s="1"/>
  <c r="Q6" i="22"/>
  <c r="W6" i="22" s="1"/>
  <c r="W7" i="22" s="1"/>
  <c r="L14" i="22"/>
  <c r="M14" i="22"/>
  <c r="K14" i="22"/>
  <c r="O14" i="22" s="1"/>
  <c r="U14" i="22" s="1"/>
  <c r="U15" i="22" s="1"/>
  <c r="N14" i="22"/>
  <c r="M12" i="22"/>
  <c r="K12" i="22"/>
  <c r="O12" i="22" s="1"/>
  <c r="U12" i="22" s="1"/>
  <c r="U13" i="22" s="1"/>
  <c r="N12" i="22"/>
  <c r="L12" i="22"/>
  <c r="P12" i="22" s="1"/>
  <c r="V12" i="22" s="1"/>
  <c r="V13" i="22" s="1"/>
  <c r="N6" i="22"/>
  <c r="L6" i="22"/>
  <c r="M6" i="22"/>
  <c r="K6" i="22"/>
  <c r="O6" i="22" s="1"/>
  <c r="U6" i="22" s="1"/>
  <c r="U7" i="22" s="1"/>
  <c r="P9" i="22" l="1"/>
  <c r="Y8" i="22"/>
  <c r="Y9" i="22" s="1"/>
  <c r="AB8" i="22"/>
  <c r="AB9" i="22" s="1"/>
  <c r="AE8" i="22"/>
  <c r="AE9" i="22" s="1"/>
  <c r="S8" i="22"/>
  <c r="S9" i="22" s="1"/>
  <c r="Q9" i="22"/>
  <c r="AC8" i="22"/>
  <c r="AC9" i="22" s="1"/>
  <c r="T8" i="22"/>
  <c r="T9" i="22" s="1"/>
  <c r="Z8" i="22"/>
  <c r="Z9" i="22" s="1"/>
  <c r="AF8" i="22"/>
  <c r="AF9" i="22" s="1"/>
  <c r="P13" i="22"/>
  <c r="S12" i="22"/>
  <c r="S13" i="22" s="1"/>
  <c r="AE12" i="22"/>
  <c r="AE13" i="22" s="1"/>
  <c r="AB12" i="22"/>
  <c r="AB13" i="22" s="1"/>
  <c r="Y12" i="22"/>
  <c r="Y13" i="22" s="1"/>
  <c r="AD16" i="22"/>
  <c r="AD17" i="22" s="1"/>
  <c r="O17" i="22"/>
  <c r="AA16" i="22"/>
  <c r="AA17" i="22" s="1"/>
  <c r="R16" i="22"/>
  <c r="R17" i="22" s="1"/>
  <c r="X16" i="22"/>
  <c r="X17" i="22" s="1"/>
  <c r="AD12" i="22"/>
  <c r="AD13" i="22" s="1"/>
  <c r="O13" i="22"/>
  <c r="AA12" i="22"/>
  <c r="AA13" i="22" s="1"/>
  <c r="R12" i="22"/>
  <c r="R13" i="22" s="1"/>
  <c r="X12" i="22"/>
  <c r="X13" i="22" s="1"/>
  <c r="P6" i="22"/>
  <c r="V6" i="22" s="1"/>
  <c r="V7" i="22" s="1"/>
  <c r="P14" i="22"/>
  <c r="V14" i="22" s="1"/>
  <c r="V15" i="22" s="1"/>
  <c r="AD8" i="22"/>
  <c r="AD9" i="22" s="1"/>
  <c r="O9" i="22"/>
  <c r="AA8" i="22"/>
  <c r="AA9" i="22" s="1"/>
  <c r="R8" i="22"/>
  <c r="R9" i="22" s="1"/>
  <c r="X8" i="22"/>
  <c r="X9" i="22" s="1"/>
  <c r="AF12" i="22"/>
  <c r="AF13" i="22" s="1"/>
  <c r="Q13" i="22"/>
  <c r="AC12" i="22"/>
  <c r="AC13" i="22" s="1"/>
  <c r="T12" i="22"/>
  <c r="T13" i="22" s="1"/>
  <c r="Z12" i="22"/>
  <c r="Z13" i="22" s="1"/>
  <c r="P17" i="22"/>
  <c r="S16" i="22"/>
  <c r="S17" i="22" s="1"/>
  <c r="Y16" i="22"/>
  <c r="Y17" i="22" s="1"/>
  <c r="AE16" i="22"/>
  <c r="AE17" i="22" s="1"/>
  <c r="AB16" i="22"/>
  <c r="AB17" i="22" s="1"/>
  <c r="AF16" i="22"/>
  <c r="AF17" i="22" s="1"/>
  <c r="Q17" i="22"/>
  <c r="AC16" i="22"/>
  <c r="AC17" i="22" s="1"/>
  <c r="T16" i="22"/>
  <c r="T17" i="22" s="1"/>
  <c r="Z16" i="22"/>
  <c r="Z17" i="22" s="1"/>
  <c r="AD14" i="22"/>
  <c r="AD15" i="22" s="1"/>
  <c r="AA14" i="22"/>
  <c r="AA15" i="22" s="1"/>
  <c r="R14" i="22"/>
  <c r="R15" i="22" s="1"/>
  <c r="O15" i="22"/>
  <c r="X14" i="22"/>
  <c r="X15" i="22" s="1"/>
  <c r="AF14" i="22"/>
  <c r="AF15" i="22" s="1"/>
  <c r="Q15" i="22"/>
  <c r="AC14" i="22"/>
  <c r="AC15" i="22" s="1"/>
  <c r="T14" i="22"/>
  <c r="T15" i="22" s="1"/>
  <c r="Z14" i="22"/>
  <c r="Z15" i="22" s="1"/>
  <c r="AD10" i="22"/>
  <c r="AD11" i="22" s="1"/>
  <c r="AA10" i="22"/>
  <c r="AA11" i="22" s="1"/>
  <c r="R10" i="22"/>
  <c r="R11" i="22" s="1"/>
  <c r="O11" i="22"/>
  <c r="X10" i="22"/>
  <c r="X11" i="22" s="1"/>
  <c r="AE10" i="22"/>
  <c r="AE11" i="22" s="1"/>
  <c r="AB10" i="22"/>
  <c r="AB11" i="22" s="1"/>
  <c r="Y10" i="22"/>
  <c r="Y11" i="22" s="1"/>
  <c r="P11" i="22"/>
  <c r="S10" i="22"/>
  <c r="S11" i="22" s="1"/>
  <c r="AF10" i="22"/>
  <c r="AF11" i="22" s="1"/>
  <c r="T10" i="22"/>
  <c r="T11" i="22" s="1"/>
  <c r="Q11" i="22"/>
  <c r="AC10" i="22"/>
  <c r="AC11" i="22" s="1"/>
  <c r="Z10" i="22"/>
  <c r="Z11" i="22" s="1"/>
  <c r="AD6" i="22"/>
  <c r="AD7" i="22" s="1"/>
  <c r="O7" i="22"/>
  <c r="AA6" i="22"/>
  <c r="AA7" i="22" s="1"/>
  <c r="R6" i="22"/>
  <c r="R7" i="22" s="1"/>
  <c r="X6" i="22"/>
  <c r="X7" i="22" s="1"/>
  <c r="S6" i="22"/>
  <c r="S7" i="22" s="1"/>
  <c r="AF6" i="22"/>
  <c r="AF7" i="22" s="1"/>
  <c r="Q7" i="22"/>
  <c r="AC6" i="22"/>
  <c r="AC7" i="22" s="1"/>
  <c r="T6" i="22"/>
  <c r="T7" i="22" s="1"/>
  <c r="Z6" i="22"/>
  <c r="Z7" i="22" s="1"/>
  <c r="Y14" i="22" l="1"/>
  <c r="Y15" i="22" s="1"/>
  <c r="S14" i="22"/>
  <c r="S15" i="22" s="1"/>
  <c r="AE14" i="22"/>
  <c r="AE15" i="22" s="1"/>
  <c r="AB6" i="22"/>
  <c r="AB7" i="22" s="1"/>
  <c r="AE6" i="22"/>
  <c r="AE7" i="22" s="1"/>
  <c r="Y6" i="22"/>
  <c r="Y7" i="22" s="1"/>
  <c r="AB14" i="22"/>
  <c r="AB15" i="22" s="1"/>
  <c r="P15" i="22"/>
  <c r="P7" i="22"/>
  <c r="H27" i="20" l="1"/>
  <c r="E27" i="20"/>
  <c r="E25" i="20"/>
  <c r="H25" i="20" s="1"/>
  <c r="E23" i="20"/>
  <c r="E21" i="20"/>
  <c r="I21" i="20" s="1"/>
  <c r="E19" i="20"/>
  <c r="I19" i="20" s="1"/>
  <c r="E17" i="20"/>
  <c r="I17" i="20" s="1"/>
  <c r="E13" i="20"/>
  <c r="I13" i="20" s="1"/>
  <c r="E11" i="20"/>
  <c r="I11" i="20" s="1"/>
  <c r="E9" i="20"/>
  <c r="E7" i="20"/>
  <c r="I7" i="20" s="1"/>
  <c r="F19" i="20" l="1"/>
  <c r="G19" i="20" s="1"/>
  <c r="F23" i="20"/>
  <c r="G23" i="20" s="1"/>
  <c r="I23" i="20"/>
  <c r="F9" i="20"/>
  <c r="G9" i="20" s="1"/>
  <c r="I9" i="20"/>
  <c r="L27" i="20"/>
  <c r="I27" i="20"/>
  <c r="L11" i="20"/>
  <c r="K11" i="20"/>
  <c r="J11" i="20"/>
  <c r="L17" i="20"/>
  <c r="K17" i="20"/>
  <c r="J17" i="20"/>
  <c r="L7" i="20"/>
  <c r="K7" i="20"/>
  <c r="J7" i="20"/>
  <c r="L13" i="20"/>
  <c r="K13" i="20"/>
  <c r="J13" i="20"/>
  <c r="L19" i="20"/>
  <c r="K19" i="20"/>
  <c r="J19" i="20"/>
  <c r="L21" i="20"/>
  <c r="K21" i="20"/>
  <c r="J21" i="20"/>
  <c r="L9" i="20"/>
  <c r="K9" i="20"/>
  <c r="J9" i="20"/>
  <c r="L23" i="20"/>
  <c r="K23" i="20"/>
  <c r="J23" i="20"/>
  <c r="H9" i="20"/>
  <c r="H19" i="20"/>
  <c r="F27" i="20"/>
  <c r="G27" i="20" s="1"/>
  <c r="M27" i="20" s="1"/>
  <c r="S27" i="20" s="1"/>
  <c r="S28" i="20" s="1"/>
  <c r="H7" i="20"/>
  <c r="F7" i="20"/>
  <c r="G7" i="20" s="1"/>
  <c r="F11" i="20"/>
  <c r="G11" i="20" s="1"/>
  <c r="H11" i="20"/>
  <c r="F13" i="20"/>
  <c r="G13" i="20" s="1"/>
  <c r="H13" i="20"/>
  <c r="F17" i="20"/>
  <c r="G17" i="20" s="1"/>
  <c r="H17" i="20"/>
  <c r="F21" i="20"/>
  <c r="G21" i="20" s="1"/>
  <c r="M21" i="20" s="1"/>
  <c r="S21" i="20" s="1"/>
  <c r="S22" i="20" s="1"/>
  <c r="H21" i="20"/>
  <c r="H23" i="20"/>
  <c r="F25" i="20"/>
  <c r="G25" i="20" s="1"/>
  <c r="M25" i="20" s="1"/>
  <c r="S25" i="20" s="1"/>
  <c r="S26" i="20" s="1"/>
  <c r="K27" i="20"/>
  <c r="J27" i="20"/>
  <c r="E20" i="22"/>
  <c r="F20" i="22" s="1"/>
  <c r="J20" i="22" s="1"/>
  <c r="E18" i="22"/>
  <c r="F18" i="22" s="1"/>
  <c r="J18" i="22" s="1"/>
  <c r="M13" i="20" l="1"/>
  <c r="S13" i="20" s="1"/>
  <c r="S14" i="20" s="1"/>
  <c r="M23" i="20"/>
  <c r="S23" i="20" s="1"/>
  <c r="S24" i="20" s="1"/>
  <c r="M9" i="20"/>
  <c r="S9" i="20" s="1"/>
  <c r="S10" i="20" s="1"/>
  <c r="N23" i="20"/>
  <c r="T23" i="20" s="1"/>
  <c r="T24" i="20" s="1"/>
  <c r="M17" i="20"/>
  <c r="S17" i="20" s="1"/>
  <c r="S18" i="20" s="1"/>
  <c r="M11" i="20"/>
  <c r="S11" i="20" s="1"/>
  <c r="S12" i="20" s="1"/>
  <c r="O19" i="20"/>
  <c r="U19" i="20" s="1"/>
  <c r="U20" i="20" s="1"/>
  <c r="M19" i="20"/>
  <c r="S19" i="20" s="1"/>
  <c r="S20" i="20" s="1"/>
  <c r="M7" i="20"/>
  <c r="S7" i="20" s="1"/>
  <c r="S8" i="20" s="1"/>
  <c r="N7" i="20"/>
  <c r="T7" i="20" s="1"/>
  <c r="T8" i="20" s="1"/>
  <c r="O25" i="20"/>
  <c r="U25" i="20" s="1"/>
  <c r="U26" i="20" s="1"/>
  <c r="N25" i="20"/>
  <c r="T25" i="20" s="1"/>
  <c r="T26" i="20" s="1"/>
  <c r="O7" i="20"/>
  <c r="U7" i="20" s="1"/>
  <c r="U8" i="20" s="1"/>
  <c r="N27" i="20"/>
  <c r="T27" i="20" s="1"/>
  <c r="T28" i="20" s="1"/>
  <c r="O27" i="20"/>
  <c r="U27" i="20" s="1"/>
  <c r="U28" i="20" s="1"/>
  <c r="N9" i="20"/>
  <c r="T9" i="20" s="1"/>
  <c r="T10" i="20" s="1"/>
  <c r="O9" i="20"/>
  <c r="U9" i="20" s="1"/>
  <c r="U10" i="20" s="1"/>
  <c r="N21" i="20"/>
  <c r="T21" i="20" s="1"/>
  <c r="T22" i="20" s="1"/>
  <c r="O21" i="20"/>
  <c r="U21" i="20" s="1"/>
  <c r="U22" i="20" s="1"/>
  <c r="N17" i="20"/>
  <c r="T17" i="20" s="1"/>
  <c r="T18" i="20" s="1"/>
  <c r="O17" i="20"/>
  <c r="U17" i="20" s="1"/>
  <c r="U18" i="20" s="1"/>
  <c r="O13" i="20"/>
  <c r="U13" i="20" s="1"/>
  <c r="U14" i="20" s="1"/>
  <c r="N13" i="20"/>
  <c r="T13" i="20" s="1"/>
  <c r="T14" i="20" s="1"/>
  <c r="N11" i="20"/>
  <c r="T11" i="20" s="1"/>
  <c r="T12" i="20" s="1"/>
  <c r="O11" i="20"/>
  <c r="U11" i="20" s="1"/>
  <c r="U12" i="20" s="1"/>
  <c r="N19" i="20"/>
  <c r="T19" i="20" s="1"/>
  <c r="T20" i="20" s="1"/>
  <c r="O23" i="20"/>
  <c r="U23" i="20" s="1"/>
  <c r="U24" i="20" s="1"/>
  <c r="X19" i="20"/>
  <c r="X20" i="20" s="1"/>
  <c r="X9" i="20"/>
  <c r="X10" i="20" s="1"/>
  <c r="V7" i="20"/>
  <c r="V8" i="20" s="1"/>
  <c r="AD9" i="20"/>
  <c r="AD10" i="20" s="1"/>
  <c r="R19" i="20"/>
  <c r="R20" i="20" s="1"/>
  <c r="M28" i="20"/>
  <c r="Y27" i="20"/>
  <c r="Y28" i="20" s="1"/>
  <c r="P27" i="20"/>
  <c r="P28" i="20" s="1"/>
  <c r="AB27" i="20"/>
  <c r="AB28" i="20" s="1"/>
  <c r="V27" i="20"/>
  <c r="V28" i="20" s="1"/>
  <c r="I18" i="22"/>
  <c r="G18" i="22"/>
  <c r="I20" i="22"/>
  <c r="G20" i="22"/>
  <c r="AB19" i="20" l="1"/>
  <c r="AB20" i="20" s="1"/>
  <c r="Q20" i="22"/>
  <c r="W20" i="22" s="1"/>
  <c r="W21" i="22" s="1"/>
  <c r="Q18" i="22"/>
  <c r="W18" i="22" s="1"/>
  <c r="W19" i="22" s="1"/>
  <c r="V19" i="20"/>
  <c r="V20" i="20" s="1"/>
  <c r="O20" i="20"/>
  <c r="AA19" i="20"/>
  <c r="AA20" i="20" s="1"/>
  <c r="AD19" i="20"/>
  <c r="AD20" i="20" s="1"/>
  <c r="R9" i="20"/>
  <c r="R10" i="20" s="1"/>
  <c r="Y19" i="20"/>
  <c r="Y20" i="20" s="1"/>
  <c r="AB9" i="20"/>
  <c r="AB10" i="20" s="1"/>
  <c r="AA9" i="20"/>
  <c r="AA10" i="20" s="1"/>
  <c r="O10" i="20"/>
  <c r="AD23" i="20"/>
  <c r="AD24" i="20" s="1"/>
  <c r="P19" i="20"/>
  <c r="P20" i="20" s="1"/>
  <c r="M20" i="20"/>
  <c r="M8" i="20"/>
  <c r="AA27" i="20"/>
  <c r="AA28" i="20" s="1"/>
  <c r="X11" i="20"/>
  <c r="X12" i="20" s="1"/>
  <c r="X13" i="20"/>
  <c r="X14" i="20" s="1"/>
  <c r="X17" i="20"/>
  <c r="X18" i="20" s="1"/>
  <c r="P7" i="20"/>
  <c r="P8" i="20" s="1"/>
  <c r="AB7" i="20"/>
  <c r="AB8" i="20" s="1"/>
  <c r="Y7" i="20"/>
  <c r="Y8" i="20" s="1"/>
  <c r="P9" i="20"/>
  <c r="P10" i="20" s="1"/>
  <c r="AD21" i="20"/>
  <c r="AD22" i="20" s="1"/>
  <c r="N24" i="20"/>
  <c r="N8" i="20"/>
  <c r="Q7" i="20"/>
  <c r="Q8" i="20" s="1"/>
  <c r="W7" i="20"/>
  <c r="W8" i="20" s="1"/>
  <c r="Z7" i="20"/>
  <c r="Z8" i="20" s="1"/>
  <c r="AC7" i="20"/>
  <c r="AC8" i="20" s="1"/>
  <c r="R27" i="20"/>
  <c r="R28" i="20" s="1"/>
  <c r="AD11" i="20"/>
  <c r="AD12" i="20" s="1"/>
  <c r="R13" i="20"/>
  <c r="R14" i="20" s="1"/>
  <c r="AD7" i="20"/>
  <c r="AD8" i="20" s="1"/>
  <c r="X7" i="20"/>
  <c r="X8" i="20" s="1"/>
  <c r="O8" i="20"/>
  <c r="AA7" i="20"/>
  <c r="AA8" i="20" s="1"/>
  <c r="R7" i="20"/>
  <c r="R8" i="20" s="1"/>
  <c r="AC27" i="20"/>
  <c r="AC28" i="20" s="1"/>
  <c r="W27" i="20"/>
  <c r="W28" i="20" s="1"/>
  <c r="N28" i="20"/>
  <c r="Z27" i="20"/>
  <c r="Z28" i="20" s="1"/>
  <c r="Q27" i="20"/>
  <c r="Q28" i="20" s="1"/>
  <c r="X23" i="20"/>
  <c r="X24" i="20" s="1"/>
  <c r="AA23" i="20"/>
  <c r="AA24" i="20" s="1"/>
  <c r="N26" i="20"/>
  <c r="Z25" i="20"/>
  <c r="Z26" i="20" s="1"/>
  <c r="Q25" i="20"/>
  <c r="Q26" i="20" s="1"/>
  <c r="AC25" i="20"/>
  <c r="AC26" i="20" s="1"/>
  <c r="W25" i="20"/>
  <c r="W26" i="20" s="1"/>
  <c r="AD25" i="20"/>
  <c r="AD26" i="20" s="1"/>
  <c r="X25" i="20"/>
  <c r="X26" i="20" s="1"/>
  <c r="O26" i="20"/>
  <c r="AA25" i="20"/>
  <c r="AA26" i="20" s="1"/>
  <c r="R25" i="20"/>
  <c r="R26" i="20" s="1"/>
  <c r="N20" i="20"/>
  <c r="Z19" i="20"/>
  <c r="Z20" i="20" s="1"/>
  <c r="Q19" i="20"/>
  <c r="Q20" i="20" s="1"/>
  <c r="AC19" i="20"/>
  <c r="AC20" i="20" s="1"/>
  <c r="W19" i="20"/>
  <c r="W20" i="20" s="1"/>
  <c r="AC23" i="20"/>
  <c r="AC24" i="20" s="1"/>
  <c r="AB25" i="20"/>
  <c r="AB26" i="20" s="1"/>
  <c r="V25" i="20"/>
  <c r="V26" i="20" s="1"/>
  <c r="M26" i="20"/>
  <c r="Y25" i="20"/>
  <c r="Y26" i="20" s="1"/>
  <c r="P25" i="20"/>
  <c r="P26" i="20" s="1"/>
  <c r="N10" i="20"/>
  <c r="Z9" i="20"/>
  <c r="Z10" i="20" s="1"/>
  <c r="Q9" i="20"/>
  <c r="Q10" i="20" s="1"/>
  <c r="AC9" i="20"/>
  <c r="AC10" i="20" s="1"/>
  <c r="W9" i="20"/>
  <c r="W10" i="20" s="1"/>
  <c r="L20" i="22"/>
  <c r="P20" i="22" s="1"/>
  <c r="V20" i="22" s="1"/>
  <c r="V21" i="22" s="1"/>
  <c r="K20" i="22"/>
  <c r="O20" i="22" s="1"/>
  <c r="U20" i="22" s="1"/>
  <c r="U21" i="22" s="1"/>
  <c r="L18" i="22"/>
  <c r="K18" i="22"/>
  <c r="O18" i="22" s="1"/>
  <c r="U18" i="22" s="1"/>
  <c r="U19" i="22" s="1"/>
  <c r="AD20" i="22" l="1"/>
  <c r="AD21" i="22" s="1"/>
  <c r="O21" i="22"/>
  <c r="AA20" i="22"/>
  <c r="AA21" i="22" s="1"/>
  <c r="R20" i="22"/>
  <c r="R21" i="22" s="1"/>
  <c r="X20" i="22"/>
  <c r="X21" i="22" s="1"/>
  <c r="AE20" i="22"/>
  <c r="AE21" i="22" s="1"/>
  <c r="AB20" i="22"/>
  <c r="AB21" i="22" s="1"/>
  <c r="Y20" i="22"/>
  <c r="Y21" i="22" s="1"/>
  <c r="S20" i="22"/>
  <c r="S21" i="22" s="1"/>
  <c r="P21" i="22"/>
  <c r="P18" i="22"/>
  <c r="S18" i="22" s="1"/>
  <c r="S19" i="22" s="1"/>
  <c r="AF20" i="22"/>
  <c r="AF21" i="22" s="1"/>
  <c r="Q21" i="22"/>
  <c r="AC20" i="22"/>
  <c r="AC21" i="22" s="1"/>
  <c r="T20" i="22"/>
  <c r="T21" i="22" s="1"/>
  <c r="Z20" i="22"/>
  <c r="Z21" i="22" s="1"/>
  <c r="AD18" i="22"/>
  <c r="AD19" i="22" s="1"/>
  <c r="O19" i="22"/>
  <c r="AA18" i="22"/>
  <c r="AA19" i="22" s="1"/>
  <c r="R18" i="22"/>
  <c r="R19" i="22" s="1"/>
  <c r="X18" i="22"/>
  <c r="X19" i="22" s="1"/>
  <c r="AF18" i="22"/>
  <c r="AF19" i="22" s="1"/>
  <c r="Q19" i="22"/>
  <c r="AC18" i="22"/>
  <c r="AC19" i="22" s="1"/>
  <c r="T18" i="22"/>
  <c r="T19" i="22" s="1"/>
  <c r="Z18" i="22"/>
  <c r="Z19" i="22" s="1"/>
  <c r="R23" i="20"/>
  <c r="R24" i="20" s="1"/>
  <c r="O24" i="20"/>
  <c r="AD13" i="20"/>
  <c r="AD14" i="20" s="1"/>
  <c r="X27" i="20"/>
  <c r="X28" i="20" s="1"/>
  <c r="O28" i="20"/>
  <c r="V9" i="20"/>
  <c r="V10" i="20" s="1"/>
  <c r="M10" i="20"/>
  <c r="Y9" i="20"/>
  <c r="Y10" i="20" s="1"/>
  <c r="R17" i="20"/>
  <c r="R18" i="20" s="1"/>
  <c r="O14" i="20"/>
  <c r="AD27" i="20"/>
  <c r="AD28" i="20" s="1"/>
  <c r="AD17" i="20"/>
  <c r="AD18" i="20" s="1"/>
  <c r="R11" i="20"/>
  <c r="R12" i="20" s="1"/>
  <c r="O18" i="20"/>
  <c r="O12" i="20"/>
  <c r="AA21" i="20"/>
  <c r="AA22" i="20" s="1"/>
  <c r="AA17" i="20"/>
  <c r="AA18" i="20" s="1"/>
  <c r="AA11" i="20"/>
  <c r="AA12" i="20" s="1"/>
  <c r="Z23" i="20"/>
  <c r="Z24" i="20" s="1"/>
  <c r="AA13" i="20"/>
  <c r="AA14" i="20" s="1"/>
  <c r="W23" i="20"/>
  <c r="W24" i="20" s="1"/>
  <c r="Q23" i="20"/>
  <c r="Q24" i="20" s="1"/>
  <c r="X21" i="20"/>
  <c r="X22" i="20" s="1"/>
  <c r="R21" i="20"/>
  <c r="R22" i="20" s="1"/>
  <c r="O22" i="20"/>
  <c r="AB21" i="20"/>
  <c r="AB22" i="20" s="1"/>
  <c r="V21" i="20"/>
  <c r="V22" i="20" s="1"/>
  <c r="M22" i="20"/>
  <c r="Y21" i="20"/>
  <c r="Y22" i="20" s="1"/>
  <c r="P21" i="20"/>
  <c r="P22" i="20" s="1"/>
  <c r="AB17" i="20"/>
  <c r="AB18" i="20" s="1"/>
  <c r="V17" i="20"/>
  <c r="V18" i="20" s="1"/>
  <c r="M18" i="20"/>
  <c r="Y17" i="20"/>
  <c r="Y18" i="20" s="1"/>
  <c r="P17" i="20"/>
  <c r="P18" i="20" s="1"/>
  <c r="AB11" i="20"/>
  <c r="AB12" i="20" s="1"/>
  <c r="V11" i="20"/>
  <c r="V12" i="20" s="1"/>
  <c r="M12" i="20"/>
  <c r="Y11" i="20"/>
  <c r="Y12" i="20" s="1"/>
  <c r="P11" i="20"/>
  <c r="P12" i="20" s="1"/>
  <c r="N18" i="20"/>
  <c r="Z17" i="20"/>
  <c r="Z18" i="20" s="1"/>
  <c r="Q17" i="20"/>
  <c r="Q18" i="20" s="1"/>
  <c r="AC17" i="20"/>
  <c r="AC18" i="20" s="1"/>
  <c r="W17" i="20"/>
  <c r="W18" i="20" s="1"/>
  <c r="N12" i="20"/>
  <c r="Z11" i="20"/>
  <c r="Z12" i="20" s="1"/>
  <c r="Q11" i="20"/>
  <c r="Q12" i="20" s="1"/>
  <c r="AC11" i="20"/>
  <c r="AC12" i="20" s="1"/>
  <c r="W11" i="20"/>
  <c r="W12" i="20" s="1"/>
  <c r="AB23" i="20"/>
  <c r="AB24" i="20" s="1"/>
  <c r="V23" i="20"/>
  <c r="V24" i="20" s="1"/>
  <c r="M24" i="20"/>
  <c r="Y23" i="20"/>
  <c r="Y24" i="20" s="1"/>
  <c r="P23" i="20"/>
  <c r="P24" i="20" s="1"/>
  <c r="N14" i="20"/>
  <c r="Z13" i="20"/>
  <c r="Z14" i="20" s="1"/>
  <c r="Q13" i="20"/>
  <c r="Q14" i="20" s="1"/>
  <c r="AC13" i="20"/>
  <c r="AC14" i="20" s="1"/>
  <c r="W13" i="20"/>
  <c r="W14" i="20" s="1"/>
  <c r="N22" i="20"/>
  <c r="Z21" i="20"/>
  <c r="Z22" i="20" s="1"/>
  <c r="Q21" i="20"/>
  <c r="Q22" i="20" s="1"/>
  <c r="AC21" i="20"/>
  <c r="AC22" i="20" s="1"/>
  <c r="W21" i="20"/>
  <c r="W22" i="20" s="1"/>
  <c r="AB13" i="20"/>
  <c r="AB14" i="20" s="1"/>
  <c r="V13" i="20"/>
  <c r="V14" i="20" s="1"/>
  <c r="M14" i="20"/>
  <c r="Y13" i="20"/>
  <c r="Y14" i="20" s="1"/>
  <c r="P13" i="20"/>
  <c r="P14" i="20" s="1"/>
  <c r="AE18" i="22" l="1"/>
  <c r="AE19" i="22" s="1"/>
  <c r="V18" i="22"/>
  <c r="V19" i="22" s="1"/>
  <c r="Y18" i="22"/>
  <c r="Y19" i="22" s="1"/>
  <c r="AB18" i="22"/>
  <c r="AB19" i="22" s="1"/>
  <c r="P19" i="22"/>
</calcChain>
</file>

<file path=xl/comments1.xml><?xml version="1.0" encoding="utf-8"?>
<comments xmlns="http://schemas.openxmlformats.org/spreadsheetml/2006/main">
  <authors>
    <author>주연</author>
  </authors>
  <commentList>
    <comment ref="J11" authorId="0">
      <text>
        <r>
          <rPr>
            <sz val="9"/>
            <color indexed="81"/>
            <rFont val="돋움"/>
            <family val="3"/>
            <charset val="129"/>
          </rPr>
          <t>계약관리</t>
        </r>
        <r>
          <rPr>
            <sz val="9"/>
            <color indexed="81"/>
            <rFont val="Tahoma"/>
            <family val="2"/>
          </rPr>
          <t>=</t>
        </r>
        <r>
          <rPr>
            <sz val="9"/>
            <color indexed="81"/>
            <rFont val="돋움"/>
            <family val="3"/>
            <charset val="129"/>
          </rPr>
          <t>환산</t>
        </r>
        <r>
          <rPr>
            <sz val="9"/>
            <color indexed="81"/>
            <rFont val="Tahoma"/>
            <family val="2"/>
          </rPr>
          <t xml:space="preserve">P*7.5%
</t>
        </r>
        <r>
          <rPr>
            <sz val="9"/>
            <color indexed="81"/>
            <rFont val="돋움"/>
            <family val="3"/>
            <charset val="129"/>
          </rPr>
          <t>운영지원</t>
        </r>
        <r>
          <rPr>
            <sz val="9"/>
            <color indexed="81"/>
            <rFont val="Tahoma"/>
            <family val="2"/>
          </rPr>
          <t>=</t>
        </r>
        <r>
          <rPr>
            <sz val="9"/>
            <color indexed="81"/>
            <rFont val="돋움"/>
            <family val="3"/>
            <charset val="129"/>
          </rPr>
          <t>계약관리</t>
        </r>
        <r>
          <rPr>
            <sz val="9"/>
            <color indexed="81"/>
            <rFont val="Tahoma"/>
            <family val="2"/>
          </rPr>
          <t xml:space="preserve">*15%
</t>
        </r>
      </text>
    </comment>
    <comment ref="J23" authorId="0">
      <text>
        <r>
          <rPr>
            <sz val="9"/>
            <color indexed="81"/>
            <rFont val="돋움"/>
            <family val="3"/>
            <charset val="129"/>
          </rPr>
          <t>계약관리</t>
        </r>
        <r>
          <rPr>
            <sz val="9"/>
            <color indexed="81"/>
            <rFont val="Tahoma"/>
            <family val="2"/>
          </rPr>
          <t>=</t>
        </r>
        <r>
          <rPr>
            <sz val="9"/>
            <color indexed="81"/>
            <rFont val="돋움"/>
            <family val="3"/>
            <charset val="129"/>
          </rPr>
          <t>환산</t>
        </r>
        <r>
          <rPr>
            <sz val="9"/>
            <color indexed="81"/>
            <rFont val="Tahoma"/>
            <family val="2"/>
          </rPr>
          <t xml:space="preserve">P*7.5%
</t>
        </r>
        <r>
          <rPr>
            <sz val="9"/>
            <color indexed="81"/>
            <rFont val="돋움"/>
            <family val="3"/>
            <charset val="129"/>
          </rPr>
          <t>운영지원</t>
        </r>
        <r>
          <rPr>
            <sz val="9"/>
            <color indexed="81"/>
            <rFont val="Tahoma"/>
            <family val="2"/>
          </rPr>
          <t>=</t>
        </r>
        <r>
          <rPr>
            <sz val="9"/>
            <color indexed="81"/>
            <rFont val="돋움"/>
            <family val="3"/>
            <charset val="129"/>
          </rPr>
          <t>계약관리</t>
        </r>
        <r>
          <rPr>
            <sz val="9"/>
            <color indexed="81"/>
            <rFont val="Tahoma"/>
            <family val="2"/>
          </rPr>
          <t xml:space="preserve">*15%
</t>
        </r>
      </text>
    </comment>
  </commentList>
</comments>
</file>

<file path=xl/comments2.xml><?xml version="1.0" encoding="utf-8"?>
<comments xmlns="http://schemas.openxmlformats.org/spreadsheetml/2006/main">
  <authors>
    <author>주연</author>
  </authors>
  <commentList>
    <comment ref="D19" authorId="0">
      <text>
        <r>
          <rPr>
            <b/>
            <sz val="9"/>
            <color indexed="81"/>
            <rFont val="돋움"/>
            <family val="3"/>
            <charset val="129"/>
          </rPr>
          <t>환급형</t>
        </r>
        <r>
          <rPr>
            <b/>
            <sz val="9"/>
            <color indexed="81"/>
            <rFont val="Tahoma"/>
            <family val="2"/>
          </rPr>
          <t xml:space="preserve"> 121%</t>
        </r>
        <r>
          <rPr>
            <sz val="9"/>
            <color indexed="81"/>
            <rFont val="Tahoma"/>
            <family val="2"/>
          </rPr>
          <t xml:space="preserve">
</t>
        </r>
      </text>
    </comment>
    <comment ref="B28" authorId="0">
      <text>
        <r>
          <rPr>
            <b/>
            <sz val="9"/>
            <color indexed="81"/>
            <rFont val="돋움"/>
            <family val="3"/>
            <charset val="129"/>
          </rPr>
          <t>환산표에 있는 일시납 상품 대입 가능</t>
        </r>
      </text>
    </comment>
  </commentList>
</comments>
</file>

<file path=xl/comments3.xml><?xml version="1.0" encoding="utf-8"?>
<comments xmlns="http://schemas.openxmlformats.org/spreadsheetml/2006/main">
  <authors>
    <author>경영관리팀</author>
  </authors>
  <commentList>
    <comment ref="F4" authorId="0">
      <text>
        <r>
          <rPr>
            <b/>
            <sz val="9"/>
            <color indexed="81"/>
            <rFont val="돋움"/>
            <family val="3"/>
            <charset val="129"/>
          </rPr>
          <t>설계시</t>
        </r>
        <r>
          <rPr>
            <b/>
            <sz val="9"/>
            <color indexed="81"/>
            <rFont val="Tahoma"/>
            <family val="2"/>
          </rPr>
          <t xml:space="preserve"> FYC </t>
        </r>
        <r>
          <rPr>
            <b/>
            <sz val="9"/>
            <color indexed="81"/>
            <rFont val="돋움"/>
            <family val="3"/>
            <charset val="129"/>
          </rPr>
          <t>값</t>
        </r>
      </text>
    </comment>
  </commentList>
</comments>
</file>

<file path=xl/comments4.xml><?xml version="1.0" encoding="utf-8"?>
<comments xmlns="http://schemas.openxmlformats.org/spreadsheetml/2006/main">
  <authors>
    <author>경영관리팀</author>
  </authors>
  <commentList>
    <comment ref="K6" authorId="0">
      <text>
        <r>
          <rPr>
            <sz val="9"/>
            <color indexed="81"/>
            <rFont val="돋움"/>
            <family val="3"/>
            <charset val="129"/>
          </rPr>
          <t>가감율</t>
        </r>
        <r>
          <rPr>
            <sz val="9"/>
            <color indexed="81"/>
            <rFont val="Tahoma"/>
            <family val="2"/>
          </rPr>
          <t xml:space="preserve"> 98% </t>
        </r>
        <r>
          <rPr>
            <sz val="9"/>
            <color indexed="81"/>
            <rFont val="돋움"/>
            <family val="3"/>
            <charset val="129"/>
          </rPr>
          <t>적용</t>
        </r>
      </text>
    </comment>
    <comment ref="C28" authorId="0">
      <text>
        <r>
          <rPr>
            <sz val="9"/>
            <color indexed="81"/>
            <rFont val="돋움"/>
            <family val="3"/>
            <charset val="129"/>
          </rPr>
          <t>일시납수수료율</t>
        </r>
      </text>
    </comment>
    <comment ref="C30" authorId="0">
      <text>
        <r>
          <rPr>
            <sz val="9"/>
            <color indexed="81"/>
            <rFont val="돋움"/>
            <family val="3"/>
            <charset val="129"/>
          </rPr>
          <t>일시납수수료율</t>
        </r>
      </text>
    </comment>
  </commentList>
</comments>
</file>

<file path=xl/comments5.xml><?xml version="1.0" encoding="utf-8"?>
<comments xmlns="http://schemas.openxmlformats.org/spreadsheetml/2006/main">
  <authors>
    <author>주연</author>
  </authors>
  <commentList>
    <comment ref="C15" authorId="0">
      <text>
        <r>
          <rPr>
            <sz val="9"/>
            <color indexed="81"/>
            <rFont val="돋움"/>
            <family val="3"/>
            <charset val="129"/>
          </rPr>
          <t>납입기간 및 가입연령에 따른 환산율 적용</t>
        </r>
      </text>
    </comment>
    <comment ref="C17" authorId="0">
      <text>
        <r>
          <rPr>
            <sz val="9"/>
            <color indexed="81"/>
            <rFont val="돋움"/>
            <family val="3"/>
            <charset val="129"/>
          </rPr>
          <t>납입기간 및 가입연령에 따른 환산율 적용</t>
        </r>
      </text>
    </comment>
    <comment ref="F19" authorId="0">
      <text>
        <r>
          <rPr>
            <b/>
            <sz val="9"/>
            <color indexed="81"/>
            <rFont val="돋움"/>
            <family val="3"/>
            <charset val="129"/>
          </rPr>
          <t>리셋플러스</t>
        </r>
        <r>
          <rPr>
            <b/>
            <sz val="9"/>
            <color indexed="81"/>
            <rFont val="Tahoma"/>
            <family val="2"/>
          </rPr>
          <t xml:space="preserve"> </t>
        </r>
        <r>
          <rPr>
            <b/>
            <sz val="9"/>
            <color indexed="81"/>
            <rFont val="돋움"/>
            <family val="3"/>
            <charset val="129"/>
          </rPr>
          <t>변액연금</t>
        </r>
        <r>
          <rPr>
            <b/>
            <sz val="9"/>
            <color indexed="81"/>
            <rFont val="Tahoma"/>
            <family val="2"/>
          </rPr>
          <t xml:space="preserve">  10</t>
        </r>
        <r>
          <rPr>
            <b/>
            <sz val="9"/>
            <color indexed="81"/>
            <rFont val="돋움"/>
            <family val="3"/>
            <charset val="129"/>
          </rPr>
          <t>년납이상</t>
        </r>
        <r>
          <rPr>
            <b/>
            <sz val="9"/>
            <color indexed="81"/>
            <rFont val="Tahoma"/>
            <family val="2"/>
          </rPr>
          <t xml:space="preserve"> </t>
        </r>
        <r>
          <rPr>
            <b/>
            <sz val="9"/>
            <color indexed="81"/>
            <rFont val="돋움"/>
            <family val="3"/>
            <charset val="129"/>
          </rPr>
          <t>영수</t>
        </r>
        <r>
          <rPr>
            <b/>
            <sz val="9"/>
            <color indexed="81"/>
            <rFont val="Tahoma"/>
            <family val="2"/>
          </rPr>
          <t>P 100</t>
        </r>
        <r>
          <rPr>
            <b/>
            <sz val="9"/>
            <color indexed="81"/>
            <rFont val="돋움"/>
            <family val="3"/>
            <charset val="129"/>
          </rPr>
          <t>만원</t>
        </r>
        <r>
          <rPr>
            <b/>
            <sz val="9"/>
            <color indexed="81"/>
            <rFont val="Tahoma"/>
            <family val="2"/>
          </rPr>
          <t xml:space="preserve"> </t>
        </r>
        <r>
          <rPr>
            <b/>
            <sz val="9"/>
            <color indexed="81"/>
            <rFont val="돋움"/>
            <family val="3"/>
            <charset val="129"/>
          </rPr>
          <t>초과시</t>
        </r>
        <r>
          <rPr>
            <b/>
            <sz val="9"/>
            <color indexed="81"/>
            <rFont val="Tahoma"/>
            <family val="2"/>
          </rPr>
          <t xml:space="preserve"> 115%
</t>
        </r>
        <r>
          <rPr>
            <b/>
            <sz val="9"/>
            <color indexed="81"/>
            <rFont val="돋움"/>
            <family val="3"/>
            <charset val="129"/>
          </rPr>
          <t>골든라이프연금</t>
        </r>
        <r>
          <rPr>
            <b/>
            <sz val="9"/>
            <color indexed="81"/>
            <rFont val="Tahoma"/>
            <family val="2"/>
          </rPr>
          <t xml:space="preserve"> 10</t>
        </r>
        <r>
          <rPr>
            <b/>
            <sz val="9"/>
            <color indexed="81"/>
            <rFont val="돋움"/>
            <family val="3"/>
            <charset val="129"/>
          </rPr>
          <t>년납이상</t>
        </r>
        <r>
          <rPr>
            <b/>
            <sz val="9"/>
            <color indexed="81"/>
            <rFont val="Tahoma"/>
            <family val="2"/>
          </rPr>
          <t xml:space="preserve"> </t>
        </r>
        <r>
          <rPr>
            <b/>
            <sz val="9"/>
            <color indexed="81"/>
            <rFont val="돋움"/>
            <family val="3"/>
            <charset val="129"/>
          </rPr>
          <t>영수</t>
        </r>
        <r>
          <rPr>
            <b/>
            <sz val="9"/>
            <color indexed="81"/>
            <rFont val="Tahoma"/>
            <family val="2"/>
          </rPr>
          <t>P 500</t>
        </r>
        <r>
          <rPr>
            <b/>
            <sz val="9"/>
            <color indexed="81"/>
            <rFont val="돋움"/>
            <family val="3"/>
            <charset val="129"/>
          </rPr>
          <t>만원</t>
        </r>
        <r>
          <rPr>
            <b/>
            <sz val="9"/>
            <color indexed="81"/>
            <rFont val="Tahoma"/>
            <family val="2"/>
          </rPr>
          <t xml:space="preserve"> </t>
        </r>
        <r>
          <rPr>
            <b/>
            <sz val="9"/>
            <color indexed="81"/>
            <rFont val="돋움"/>
            <family val="3"/>
            <charset val="129"/>
          </rPr>
          <t>초과시</t>
        </r>
        <r>
          <rPr>
            <b/>
            <sz val="9"/>
            <color indexed="81"/>
            <rFont val="Tahoma"/>
            <family val="2"/>
          </rPr>
          <t xml:space="preserve">  115%</t>
        </r>
      </text>
    </comment>
    <comment ref="F23" authorId="0">
      <text>
        <r>
          <rPr>
            <b/>
            <sz val="9"/>
            <color indexed="81"/>
            <rFont val="돋움"/>
            <family val="3"/>
            <charset val="129"/>
          </rPr>
          <t>영수P 100만원 초과시 100%</t>
        </r>
      </text>
    </comment>
  </commentList>
</comments>
</file>

<file path=xl/comments6.xml><?xml version="1.0" encoding="utf-8"?>
<comments xmlns="http://schemas.openxmlformats.org/spreadsheetml/2006/main">
  <authors>
    <author>신영</author>
    <author>june</author>
  </authors>
  <commentList>
    <comment ref="E6" authorId="0">
      <text>
        <r>
          <rPr>
            <b/>
            <sz val="9"/>
            <color indexed="81"/>
            <rFont val="돋움"/>
            <family val="3"/>
            <charset val="129"/>
          </rPr>
          <t>총환산월초</t>
        </r>
      </text>
    </comment>
    <comment ref="B11" authorId="1">
      <text>
        <r>
          <rPr>
            <sz val="9"/>
            <color indexed="81"/>
            <rFont val="Tahoma"/>
            <family val="2"/>
          </rPr>
          <t xml:space="preserve">
</t>
        </r>
        <r>
          <rPr>
            <sz val="9"/>
            <color indexed="81"/>
            <rFont val="돋움"/>
            <family val="3"/>
            <charset val="129"/>
          </rPr>
          <t>세제적격연금</t>
        </r>
        <r>
          <rPr>
            <sz val="9"/>
            <color indexed="81"/>
            <rFont val="Tahoma"/>
            <family val="2"/>
          </rPr>
          <t xml:space="preserve"> </t>
        </r>
        <r>
          <rPr>
            <sz val="9"/>
            <color indexed="81"/>
            <rFont val="돋움"/>
            <family val="3"/>
            <charset val="129"/>
          </rPr>
          <t>상품</t>
        </r>
      </text>
    </comment>
  </commentList>
</comments>
</file>

<file path=xl/comments7.xml><?xml version="1.0" encoding="utf-8"?>
<comments xmlns="http://schemas.openxmlformats.org/spreadsheetml/2006/main">
  <authors>
    <author>경영관리팀</author>
    <author>주연</author>
  </authors>
  <commentList>
    <comment ref="C10" authorId="0">
      <text>
        <r>
          <rPr>
            <sz val="9"/>
            <color indexed="81"/>
            <rFont val="돋움"/>
            <family val="3"/>
            <charset val="129"/>
          </rPr>
          <t>천만당보험료</t>
        </r>
      </text>
    </comment>
    <comment ref="R11" authorId="0">
      <text>
        <r>
          <rPr>
            <b/>
            <sz val="9"/>
            <color indexed="81"/>
            <rFont val="돋움"/>
            <family val="3"/>
            <charset val="129"/>
          </rPr>
          <t>체감형에</t>
        </r>
        <r>
          <rPr>
            <b/>
            <sz val="9"/>
            <color indexed="81"/>
            <rFont val="Tahoma"/>
            <family val="2"/>
          </rPr>
          <t xml:space="preserve"> </t>
        </r>
        <r>
          <rPr>
            <b/>
            <sz val="9"/>
            <color indexed="81"/>
            <rFont val="돋움"/>
            <family val="3"/>
            <charset val="129"/>
          </rPr>
          <t>한함</t>
        </r>
        <r>
          <rPr>
            <sz val="9"/>
            <color indexed="81"/>
            <rFont val="Tahoma"/>
            <family val="2"/>
          </rPr>
          <t xml:space="preserve">
15</t>
        </r>
        <r>
          <rPr>
            <sz val="9"/>
            <color indexed="81"/>
            <rFont val="돋움"/>
            <family val="3"/>
            <charset val="129"/>
          </rPr>
          <t>년납</t>
        </r>
        <r>
          <rPr>
            <sz val="9"/>
            <color indexed="81"/>
            <rFont val="Tahoma"/>
            <family val="2"/>
          </rPr>
          <t xml:space="preserve"> </t>
        </r>
        <r>
          <rPr>
            <sz val="9"/>
            <color indexed="81"/>
            <rFont val="돋움"/>
            <family val="3"/>
            <charset val="129"/>
          </rPr>
          <t>미만</t>
        </r>
        <r>
          <rPr>
            <sz val="9"/>
            <color indexed="81"/>
            <rFont val="Tahoma"/>
            <family val="2"/>
          </rPr>
          <t xml:space="preserve"> </t>
        </r>
        <r>
          <rPr>
            <sz val="9"/>
            <color indexed="81"/>
            <rFont val="돋움"/>
            <family val="3"/>
            <charset val="129"/>
          </rPr>
          <t>없음</t>
        </r>
        <r>
          <rPr>
            <sz val="9"/>
            <color indexed="81"/>
            <rFont val="Tahoma"/>
            <family val="2"/>
          </rPr>
          <t xml:space="preserve">
15~19</t>
        </r>
        <r>
          <rPr>
            <sz val="9"/>
            <color indexed="81"/>
            <rFont val="돋움"/>
            <family val="3"/>
            <charset val="129"/>
          </rPr>
          <t>년납</t>
        </r>
        <r>
          <rPr>
            <sz val="9"/>
            <color indexed="81"/>
            <rFont val="Tahoma"/>
            <family val="2"/>
          </rPr>
          <t xml:space="preserve"> 7% </t>
        </r>
        <r>
          <rPr>
            <sz val="9"/>
            <color indexed="81"/>
            <rFont val="돋움"/>
            <family val="3"/>
            <charset val="129"/>
          </rPr>
          <t xml:space="preserve">적용
</t>
        </r>
        <r>
          <rPr>
            <sz val="9"/>
            <color indexed="81"/>
            <rFont val="Tahoma"/>
            <family val="2"/>
          </rPr>
          <t>20</t>
        </r>
        <r>
          <rPr>
            <sz val="9"/>
            <color indexed="81"/>
            <rFont val="돋움"/>
            <family val="3"/>
            <charset val="129"/>
          </rPr>
          <t>년납이상</t>
        </r>
        <r>
          <rPr>
            <sz val="9"/>
            <color indexed="81"/>
            <rFont val="Tahoma"/>
            <family val="2"/>
          </rPr>
          <t xml:space="preserve"> 7% </t>
        </r>
        <r>
          <rPr>
            <sz val="9"/>
            <color indexed="81"/>
            <rFont val="돋움"/>
            <family val="3"/>
            <charset val="129"/>
          </rPr>
          <t>적용</t>
        </r>
      </text>
    </comment>
    <comment ref="R13" authorId="0">
      <text>
        <r>
          <rPr>
            <sz val="9"/>
            <color indexed="81"/>
            <rFont val="돋움"/>
            <family val="3"/>
            <charset val="129"/>
          </rPr>
          <t>체증형</t>
        </r>
        <r>
          <rPr>
            <sz val="9"/>
            <color indexed="81"/>
            <rFont val="Tahoma"/>
            <family val="2"/>
          </rPr>
          <t xml:space="preserve">
15</t>
        </r>
        <r>
          <rPr>
            <sz val="9"/>
            <color indexed="81"/>
            <rFont val="돋움"/>
            <family val="3"/>
            <charset val="129"/>
          </rPr>
          <t>년납</t>
        </r>
        <r>
          <rPr>
            <sz val="9"/>
            <color indexed="81"/>
            <rFont val="Tahoma"/>
            <family val="2"/>
          </rPr>
          <t xml:space="preserve"> </t>
        </r>
        <r>
          <rPr>
            <sz val="9"/>
            <color indexed="81"/>
            <rFont val="돋움"/>
            <family val="3"/>
            <charset val="129"/>
          </rPr>
          <t>미만</t>
        </r>
        <r>
          <rPr>
            <sz val="9"/>
            <color indexed="81"/>
            <rFont val="Tahoma"/>
            <family val="2"/>
          </rPr>
          <t xml:space="preserve"> </t>
        </r>
        <r>
          <rPr>
            <sz val="9"/>
            <color indexed="81"/>
            <rFont val="돋움"/>
            <family val="3"/>
            <charset val="129"/>
          </rPr>
          <t>없음</t>
        </r>
        <r>
          <rPr>
            <sz val="9"/>
            <color indexed="81"/>
            <rFont val="Tahoma"/>
            <family val="2"/>
          </rPr>
          <t xml:space="preserve">
15~19</t>
        </r>
        <r>
          <rPr>
            <sz val="9"/>
            <color indexed="81"/>
            <rFont val="돋움"/>
            <family val="3"/>
            <charset val="129"/>
          </rPr>
          <t>년납</t>
        </r>
        <r>
          <rPr>
            <sz val="9"/>
            <color indexed="81"/>
            <rFont val="Tahoma"/>
            <family val="2"/>
          </rPr>
          <t xml:space="preserve"> 3.5% </t>
        </r>
        <r>
          <rPr>
            <sz val="9"/>
            <color indexed="81"/>
            <rFont val="돋움"/>
            <family val="3"/>
            <charset val="129"/>
          </rPr>
          <t xml:space="preserve">적용
</t>
        </r>
        <r>
          <rPr>
            <sz val="9"/>
            <color indexed="81"/>
            <rFont val="Tahoma"/>
            <family val="2"/>
          </rPr>
          <t>20</t>
        </r>
        <r>
          <rPr>
            <sz val="9"/>
            <color indexed="81"/>
            <rFont val="돋움"/>
            <family val="3"/>
            <charset val="129"/>
          </rPr>
          <t>년납이상</t>
        </r>
        <r>
          <rPr>
            <sz val="9"/>
            <color indexed="81"/>
            <rFont val="Tahoma"/>
            <family val="2"/>
          </rPr>
          <t xml:space="preserve"> 3.5% </t>
        </r>
        <r>
          <rPr>
            <sz val="9"/>
            <color indexed="81"/>
            <rFont val="돋움"/>
            <family val="3"/>
            <charset val="129"/>
          </rPr>
          <t>적용</t>
        </r>
      </text>
    </comment>
    <comment ref="R15" authorId="0">
      <text>
        <r>
          <rPr>
            <sz val="9"/>
            <color indexed="81"/>
            <rFont val="돋움"/>
            <family val="3"/>
            <charset val="129"/>
          </rPr>
          <t>일반형</t>
        </r>
        <r>
          <rPr>
            <sz val="9"/>
            <color indexed="81"/>
            <rFont val="Tahoma"/>
            <family val="2"/>
          </rPr>
          <t xml:space="preserve">
15</t>
        </r>
        <r>
          <rPr>
            <sz val="9"/>
            <color indexed="81"/>
            <rFont val="돋움"/>
            <family val="3"/>
            <charset val="129"/>
          </rPr>
          <t>년납</t>
        </r>
        <r>
          <rPr>
            <sz val="9"/>
            <color indexed="81"/>
            <rFont val="Tahoma"/>
            <family val="2"/>
          </rPr>
          <t xml:space="preserve"> </t>
        </r>
        <r>
          <rPr>
            <sz val="9"/>
            <color indexed="81"/>
            <rFont val="돋움"/>
            <family val="3"/>
            <charset val="129"/>
          </rPr>
          <t>미만</t>
        </r>
        <r>
          <rPr>
            <sz val="9"/>
            <color indexed="81"/>
            <rFont val="Tahoma"/>
            <family val="2"/>
          </rPr>
          <t xml:space="preserve"> </t>
        </r>
        <r>
          <rPr>
            <sz val="9"/>
            <color indexed="81"/>
            <rFont val="돋움"/>
            <family val="3"/>
            <charset val="129"/>
          </rPr>
          <t>없음</t>
        </r>
        <r>
          <rPr>
            <sz val="9"/>
            <color indexed="81"/>
            <rFont val="Tahoma"/>
            <family val="2"/>
          </rPr>
          <t xml:space="preserve">
15~19</t>
        </r>
        <r>
          <rPr>
            <sz val="9"/>
            <color indexed="81"/>
            <rFont val="돋움"/>
            <family val="3"/>
            <charset val="129"/>
          </rPr>
          <t>년납</t>
        </r>
        <r>
          <rPr>
            <sz val="9"/>
            <color indexed="81"/>
            <rFont val="Tahoma"/>
            <family val="2"/>
          </rPr>
          <t xml:space="preserve"> 3.5% </t>
        </r>
        <r>
          <rPr>
            <sz val="9"/>
            <color indexed="81"/>
            <rFont val="돋움"/>
            <family val="3"/>
            <charset val="129"/>
          </rPr>
          <t xml:space="preserve">적용
</t>
        </r>
        <r>
          <rPr>
            <sz val="9"/>
            <color indexed="81"/>
            <rFont val="Tahoma"/>
            <family val="2"/>
          </rPr>
          <t>20</t>
        </r>
        <r>
          <rPr>
            <sz val="9"/>
            <color indexed="81"/>
            <rFont val="돋움"/>
            <family val="3"/>
            <charset val="129"/>
          </rPr>
          <t>년납이상</t>
        </r>
        <r>
          <rPr>
            <sz val="9"/>
            <color indexed="81"/>
            <rFont val="Tahoma"/>
            <family val="2"/>
          </rPr>
          <t xml:space="preserve"> 3.5% </t>
        </r>
        <r>
          <rPr>
            <sz val="9"/>
            <color indexed="81"/>
            <rFont val="돋움"/>
            <family val="3"/>
            <charset val="129"/>
          </rPr>
          <t>적용</t>
        </r>
      </text>
    </comment>
    <comment ref="R19" authorId="0">
      <text>
        <r>
          <rPr>
            <sz val="9"/>
            <color indexed="81"/>
            <rFont val="돋움"/>
            <family val="3"/>
            <charset val="129"/>
          </rPr>
          <t>고급형</t>
        </r>
        <r>
          <rPr>
            <sz val="9"/>
            <color indexed="81"/>
            <rFont val="Tahoma"/>
            <family val="2"/>
          </rPr>
          <t>,</t>
        </r>
        <r>
          <rPr>
            <sz val="9"/>
            <color indexed="81"/>
            <rFont val="돋움"/>
            <family val="3"/>
            <charset val="129"/>
          </rPr>
          <t>실속형</t>
        </r>
        <r>
          <rPr>
            <sz val="9"/>
            <color indexed="81"/>
            <rFont val="Tahoma"/>
            <family val="2"/>
          </rPr>
          <t xml:space="preserve">
15</t>
        </r>
        <r>
          <rPr>
            <sz val="9"/>
            <color indexed="81"/>
            <rFont val="돋움"/>
            <family val="3"/>
            <charset val="129"/>
          </rPr>
          <t>년납</t>
        </r>
        <r>
          <rPr>
            <sz val="9"/>
            <color indexed="81"/>
            <rFont val="Tahoma"/>
            <family val="2"/>
          </rPr>
          <t xml:space="preserve"> </t>
        </r>
        <r>
          <rPr>
            <sz val="9"/>
            <color indexed="81"/>
            <rFont val="돋움"/>
            <family val="3"/>
            <charset val="129"/>
          </rPr>
          <t>미만</t>
        </r>
        <r>
          <rPr>
            <sz val="9"/>
            <color indexed="81"/>
            <rFont val="Tahoma"/>
            <family val="2"/>
          </rPr>
          <t xml:space="preserve"> </t>
        </r>
        <r>
          <rPr>
            <sz val="9"/>
            <color indexed="81"/>
            <rFont val="돋움"/>
            <family val="3"/>
            <charset val="129"/>
          </rPr>
          <t>없음</t>
        </r>
        <r>
          <rPr>
            <sz val="9"/>
            <color indexed="81"/>
            <rFont val="Tahoma"/>
            <family val="2"/>
          </rPr>
          <t xml:space="preserve">
15~19</t>
        </r>
        <r>
          <rPr>
            <sz val="9"/>
            <color indexed="81"/>
            <rFont val="돋움"/>
            <family val="3"/>
            <charset val="129"/>
          </rPr>
          <t>년납</t>
        </r>
        <r>
          <rPr>
            <sz val="9"/>
            <color indexed="81"/>
            <rFont val="Tahoma"/>
            <family val="2"/>
          </rPr>
          <t xml:space="preserve"> 3.5% </t>
        </r>
        <r>
          <rPr>
            <sz val="9"/>
            <color indexed="81"/>
            <rFont val="돋움"/>
            <family val="3"/>
            <charset val="129"/>
          </rPr>
          <t xml:space="preserve">적용
</t>
        </r>
        <r>
          <rPr>
            <sz val="9"/>
            <color indexed="81"/>
            <rFont val="Tahoma"/>
            <family val="2"/>
          </rPr>
          <t>20</t>
        </r>
        <r>
          <rPr>
            <sz val="9"/>
            <color indexed="81"/>
            <rFont val="돋움"/>
            <family val="3"/>
            <charset val="129"/>
          </rPr>
          <t>년납이상</t>
        </r>
        <r>
          <rPr>
            <sz val="9"/>
            <color indexed="81"/>
            <rFont val="Tahoma"/>
            <family val="2"/>
          </rPr>
          <t xml:space="preserve"> 3.5% </t>
        </r>
        <r>
          <rPr>
            <sz val="9"/>
            <color indexed="81"/>
            <rFont val="돋움"/>
            <family val="3"/>
            <charset val="129"/>
          </rPr>
          <t>적용</t>
        </r>
      </text>
    </comment>
    <comment ref="B31" authorId="1">
      <text>
        <r>
          <rPr>
            <b/>
            <sz val="9"/>
            <color indexed="81"/>
            <rFont val="돋움"/>
            <family val="3"/>
            <charset val="129"/>
          </rPr>
          <t>환산표에</t>
        </r>
        <r>
          <rPr>
            <b/>
            <sz val="9"/>
            <color indexed="81"/>
            <rFont val="Tahoma"/>
            <family val="2"/>
          </rPr>
          <t xml:space="preserve"> </t>
        </r>
        <r>
          <rPr>
            <b/>
            <sz val="9"/>
            <color indexed="81"/>
            <rFont val="돋움"/>
            <family val="3"/>
            <charset val="129"/>
          </rPr>
          <t>있는</t>
        </r>
        <r>
          <rPr>
            <b/>
            <sz val="9"/>
            <color indexed="81"/>
            <rFont val="Tahoma"/>
            <family val="2"/>
          </rPr>
          <t xml:space="preserve"> </t>
        </r>
        <r>
          <rPr>
            <b/>
            <sz val="9"/>
            <color indexed="81"/>
            <rFont val="돋움"/>
            <family val="3"/>
            <charset val="129"/>
          </rPr>
          <t>일시납</t>
        </r>
        <r>
          <rPr>
            <b/>
            <sz val="9"/>
            <color indexed="81"/>
            <rFont val="Tahoma"/>
            <family val="2"/>
          </rPr>
          <t xml:space="preserve"> </t>
        </r>
        <r>
          <rPr>
            <b/>
            <sz val="9"/>
            <color indexed="81"/>
            <rFont val="돋움"/>
            <family val="3"/>
            <charset val="129"/>
          </rPr>
          <t>상품</t>
        </r>
        <r>
          <rPr>
            <b/>
            <sz val="9"/>
            <color indexed="81"/>
            <rFont val="Tahoma"/>
            <family val="2"/>
          </rPr>
          <t xml:space="preserve"> </t>
        </r>
        <r>
          <rPr>
            <b/>
            <sz val="9"/>
            <color indexed="81"/>
            <rFont val="돋움"/>
            <family val="3"/>
            <charset val="129"/>
          </rPr>
          <t>대입</t>
        </r>
        <r>
          <rPr>
            <b/>
            <sz val="9"/>
            <color indexed="81"/>
            <rFont val="Tahoma"/>
            <family val="2"/>
          </rPr>
          <t xml:space="preserve"> </t>
        </r>
        <r>
          <rPr>
            <b/>
            <sz val="9"/>
            <color indexed="81"/>
            <rFont val="돋움"/>
            <family val="3"/>
            <charset val="129"/>
          </rPr>
          <t>가능</t>
        </r>
      </text>
    </comment>
    <comment ref="E31" authorId="1">
      <text>
        <r>
          <rPr>
            <b/>
            <sz val="9"/>
            <color indexed="81"/>
            <rFont val="돋움"/>
            <family val="3"/>
            <charset val="129"/>
          </rPr>
          <t>일시납지원비</t>
        </r>
        <r>
          <rPr>
            <b/>
            <sz val="9"/>
            <color indexed="81"/>
            <rFont val="Tahoma"/>
            <family val="2"/>
          </rPr>
          <t xml:space="preserve"> </t>
        </r>
        <r>
          <rPr>
            <b/>
            <sz val="9"/>
            <color indexed="81"/>
            <rFont val="돋움"/>
            <family val="3"/>
            <charset val="129"/>
          </rPr>
          <t xml:space="preserve">지급율
</t>
        </r>
        <r>
          <rPr>
            <b/>
            <sz val="9"/>
            <color indexed="81"/>
            <rFont val="Tahoma"/>
            <family val="2"/>
          </rPr>
          <t>(</t>
        </r>
        <r>
          <rPr>
            <b/>
            <sz val="9"/>
            <color indexed="81"/>
            <rFont val="돋움"/>
            <family val="3"/>
            <charset val="129"/>
          </rPr>
          <t>환산표에</t>
        </r>
        <r>
          <rPr>
            <b/>
            <sz val="9"/>
            <color indexed="81"/>
            <rFont val="Tahoma"/>
            <family val="2"/>
          </rPr>
          <t xml:space="preserve"> </t>
        </r>
        <r>
          <rPr>
            <b/>
            <sz val="9"/>
            <color indexed="81"/>
            <rFont val="돋움"/>
            <family val="3"/>
            <charset val="129"/>
          </rPr>
          <t>비고란</t>
        </r>
        <r>
          <rPr>
            <b/>
            <sz val="9"/>
            <color indexed="81"/>
            <rFont val="Tahoma"/>
            <family val="2"/>
          </rPr>
          <t>)</t>
        </r>
      </text>
    </comment>
  </commentList>
</comments>
</file>

<file path=xl/comments8.xml><?xml version="1.0" encoding="utf-8"?>
<comments xmlns="http://schemas.openxmlformats.org/spreadsheetml/2006/main">
  <authors>
    <author>최정식</author>
  </authors>
  <commentList>
    <comment ref="L7" authorId="0">
      <text>
        <r>
          <rPr>
            <sz val="11"/>
            <color indexed="81"/>
            <rFont val="Tahoma"/>
            <family val="2"/>
          </rPr>
          <t>16</t>
        </r>
        <r>
          <rPr>
            <sz val="11"/>
            <color indexed="81"/>
            <rFont val="돋움"/>
            <family val="3"/>
            <charset val="129"/>
          </rPr>
          <t>년납</t>
        </r>
        <r>
          <rPr>
            <sz val="11"/>
            <color indexed="81"/>
            <rFont val="Tahoma"/>
            <family val="2"/>
          </rPr>
          <t xml:space="preserve"> </t>
        </r>
        <r>
          <rPr>
            <sz val="11"/>
            <color indexed="81"/>
            <rFont val="돋움"/>
            <family val="3"/>
            <charset val="129"/>
          </rPr>
          <t>이상시만</t>
        </r>
        <r>
          <rPr>
            <sz val="11"/>
            <color indexed="81"/>
            <rFont val="Tahoma"/>
            <family val="2"/>
          </rPr>
          <t xml:space="preserve"> </t>
        </r>
        <r>
          <rPr>
            <sz val="11"/>
            <color indexed="81"/>
            <rFont val="돋움"/>
            <family val="3"/>
            <charset val="129"/>
          </rPr>
          <t>지급</t>
        </r>
        <r>
          <rPr>
            <b/>
            <sz val="11"/>
            <color indexed="81"/>
            <rFont val="Tahoma"/>
            <family val="2"/>
          </rPr>
          <t xml:space="preserve">
</t>
        </r>
      </text>
    </comment>
    <comment ref="L13" authorId="0">
      <text>
        <r>
          <rPr>
            <sz val="11"/>
            <color indexed="81"/>
            <rFont val="Tahoma"/>
            <family val="2"/>
          </rPr>
          <t>16</t>
        </r>
        <r>
          <rPr>
            <sz val="11"/>
            <color indexed="81"/>
            <rFont val="돋움"/>
            <family val="3"/>
            <charset val="129"/>
          </rPr>
          <t>년납</t>
        </r>
        <r>
          <rPr>
            <sz val="11"/>
            <color indexed="81"/>
            <rFont val="Tahoma"/>
            <family val="2"/>
          </rPr>
          <t xml:space="preserve"> </t>
        </r>
        <r>
          <rPr>
            <sz val="11"/>
            <color indexed="81"/>
            <rFont val="돋움"/>
            <family val="3"/>
            <charset val="129"/>
          </rPr>
          <t>이상시만</t>
        </r>
        <r>
          <rPr>
            <sz val="11"/>
            <color indexed="81"/>
            <rFont val="Tahoma"/>
            <family val="2"/>
          </rPr>
          <t xml:space="preserve"> </t>
        </r>
        <r>
          <rPr>
            <sz val="11"/>
            <color indexed="81"/>
            <rFont val="돋움"/>
            <family val="3"/>
            <charset val="129"/>
          </rPr>
          <t>지급</t>
        </r>
        <r>
          <rPr>
            <b/>
            <sz val="11"/>
            <color indexed="81"/>
            <rFont val="Tahoma"/>
            <family val="2"/>
          </rPr>
          <t xml:space="preserve">
</t>
        </r>
      </text>
    </comment>
  </commentList>
</comments>
</file>

<file path=xl/comments9.xml><?xml version="1.0" encoding="utf-8"?>
<comments xmlns="http://schemas.openxmlformats.org/spreadsheetml/2006/main">
  <authors>
    <author>이문영</author>
  </authors>
  <commentList>
    <comment ref="E24" authorId="0">
      <text>
        <r>
          <rPr>
            <b/>
            <sz val="9"/>
            <color indexed="81"/>
            <rFont val="Tahoma"/>
            <family val="2"/>
          </rPr>
          <t>25~ 60</t>
        </r>
        <r>
          <rPr>
            <b/>
            <sz val="9"/>
            <color indexed="81"/>
            <rFont val="돋움"/>
            <family val="3"/>
            <charset val="129"/>
          </rPr>
          <t>회</t>
        </r>
        <r>
          <rPr>
            <b/>
            <sz val="9"/>
            <color indexed="81"/>
            <rFont val="Tahoma"/>
            <family val="2"/>
          </rPr>
          <t xml:space="preserve"> </t>
        </r>
        <r>
          <rPr>
            <b/>
            <sz val="9"/>
            <color indexed="81"/>
            <rFont val="돋움"/>
            <family val="3"/>
            <charset val="129"/>
          </rPr>
          <t>지급</t>
        </r>
        <r>
          <rPr>
            <sz val="9"/>
            <color indexed="81"/>
            <rFont val="Tahoma"/>
            <family val="2"/>
          </rPr>
          <t xml:space="preserve">
</t>
        </r>
      </text>
    </comment>
    <comment ref="E26" authorId="0">
      <text>
        <r>
          <rPr>
            <b/>
            <sz val="9"/>
            <color indexed="81"/>
            <rFont val="Tahoma"/>
            <family val="2"/>
          </rPr>
          <t>25~ 60</t>
        </r>
        <r>
          <rPr>
            <b/>
            <sz val="9"/>
            <color indexed="81"/>
            <rFont val="돋움"/>
            <family val="3"/>
            <charset val="129"/>
          </rPr>
          <t>회</t>
        </r>
        <r>
          <rPr>
            <b/>
            <sz val="9"/>
            <color indexed="81"/>
            <rFont val="Tahoma"/>
            <family val="2"/>
          </rPr>
          <t xml:space="preserve"> </t>
        </r>
        <r>
          <rPr>
            <b/>
            <sz val="9"/>
            <color indexed="81"/>
            <rFont val="돋움"/>
            <family val="3"/>
            <charset val="129"/>
          </rPr>
          <t>지급</t>
        </r>
        <r>
          <rPr>
            <sz val="9"/>
            <color indexed="81"/>
            <rFont val="Tahoma"/>
            <family val="2"/>
          </rPr>
          <t xml:space="preserve">
</t>
        </r>
      </text>
    </comment>
    <comment ref="E28" authorId="0">
      <text>
        <r>
          <rPr>
            <b/>
            <sz val="9"/>
            <color indexed="81"/>
            <rFont val="Tahoma"/>
            <family val="2"/>
          </rPr>
          <t>25~ 60</t>
        </r>
        <r>
          <rPr>
            <b/>
            <sz val="9"/>
            <color indexed="81"/>
            <rFont val="돋움"/>
            <family val="3"/>
            <charset val="129"/>
          </rPr>
          <t>회</t>
        </r>
        <r>
          <rPr>
            <b/>
            <sz val="9"/>
            <color indexed="81"/>
            <rFont val="Tahoma"/>
            <family val="2"/>
          </rPr>
          <t xml:space="preserve"> </t>
        </r>
        <r>
          <rPr>
            <b/>
            <sz val="9"/>
            <color indexed="81"/>
            <rFont val="돋움"/>
            <family val="3"/>
            <charset val="129"/>
          </rPr>
          <t>지급</t>
        </r>
        <r>
          <rPr>
            <sz val="9"/>
            <color indexed="81"/>
            <rFont val="Tahoma"/>
            <family val="2"/>
          </rPr>
          <t xml:space="preserve">
</t>
        </r>
      </text>
    </comment>
  </commentList>
</comments>
</file>

<file path=xl/sharedStrings.xml><?xml version="1.0" encoding="utf-8"?>
<sst xmlns="http://schemas.openxmlformats.org/spreadsheetml/2006/main" count="2414" uniqueCount="1862">
  <si>
    <t>1. 주요 용어 설명</t>
  </si>
  <si>
    <t>S등급</t>
  </si>
  <si>
    <t>1등급</t>
  </si>
  <si>
    <t>2등급</t>
  </si>
  <si>
    <t>3등급</t>
  </si>
  <si>
    <t>4등급</t>
  </si>
  <si>
    <t>5등급</t>
  </si>
  <si>
    <t>4백만↑</t>
  </si>
  <si>
    <t>생명 보험 수수료 지급 기준</t>
    <phoneticPr fontId="17" type="noConversion"/>
  </si>
  <si>
    <t>프라임에셋 ㈜</t>
    <phoneticPr fontId="16" type="noConversion"/>
  </si>
  <si>
    <t>1. 보험사 연동 시스템 관련</t>
    <phoneticPr fontId="17" type="noConversion"/>
  </si>
  <si>
    <t xml:space="preserve"> ① 개념 : 해당 보험사의 수수료 지급 기준과 금액을 영업 조직에게 지급시 변경 적용없이 그대로 연계하여 적용함을 의미함</t>
    <phoneticPr fontId="17" type="noConversion"/>
  </si>
  <si>
    <t>2. OA 지원 관련</t>
    <phoneticPr fontId="17" type="noConversion"/>
  </si>
  <si>
    <t xml:space="preserve"> ① 개념 : OA란 Office Allowance의 약자로, 사무실 임차 지원과 관련한 생보사의 지원 수수료를 의미함</t>
    <phoneticPr fontId="17" type="noConversion"/>
  </si>
  <si>
    <t xml:space="preserve">              신규 또는 기존의 특정 조직에 대한 생보사 개별 임차 지원은 회사 운영 원칙(형평성)에 위배되어, 검토 및 시행은 불가함</t>
    <phoneticPr fontId="17" type="noConversion"/>
  </si>
  <si>
    <t>3. 환수 규정 관련</t>
    <phoneticPr fontId="17" type="noConversion"/>
  </si>
  <si>
    <t xml:space="preserve"> ① 개념 : 현재 생보사별 유지율 관리를 통한 전체 조직의 불이익을 막기 위해 미유지에 대한 환수는 전체 공통 기준으로 시행중임</t>
    <phoneticPr fontId="17" type="noConversion"/>
  </si>
  <si>
    <t xml:space="preserve">              보다 합리적이고 공평한 평가와 보상 시스템을 마련하여 시행 예정임</t>
    <phoneticPr fontId="17" type="noConversion"/>
  </si>
  <si>
    <t>4. 수수료 예측 관련</t>
    <phoneticPr fontId="17" type="noConversion"/>
  </si>
  <si>
    <t xml:space="preserve"> ① 개념 : 생보사별 개별 계약의 수수료 예측은 당사 특성상 각 생보사의 지급 기준에 대한 명확한 사전 이해가 필수적임</t>
    <phoneticPr fontId="17" type="noConversion"/>
  </si>
  <si>
    <t xml:space="preserve">              즉, 본 예시 자료는 각사의 대표 상품별 예시 기준에 따라 임의로 작성한 것에 불과하므로 실제 지급과는 차이가 발생할 수 밖에 없음</t>
    <phoneticPr fontId="17" type="noConversion"/>
  </si>
  <si>
    <t xml:space="preserve">              본사의 경영관리팀과 생보업무팀의 경우, 업무 특성상 개별 계약의 수수료를 확인해 드릴 수 없음을 양해 바람</t>
    <phoneticPr fontId="17" type="noConversion"/>
  </si>
  <si>
    <r>
      <t xml:space="preserve">              이는 </t>
    </r>
    <r>
      <rPr>
        <b/>
        <sz val="9"/>
        <color indexed="10"/>
        <rFont val="맑은 고딕"/>
        <family val="3"/>
        <charset val="129"/>
      </rPr>
      <t>특정 조직의 계약 미유지에 따른 유지율 감소와 이에 따른 전 조직의 수수료 불이익의 악순환을 예방</t>
    </r>
    <r>
      <rPr>
        <sz val="9"/>
        <rFont val="맑은 고딕"/>
        <family val="3"/>
        <charset val="129"/>
      </rPr>
      <t>하기 위한 조치이며, 향후 관리 시스템의 개선과 유지율 추이에 따라</t>
    </r>
    <phoneticPr fontId="17" type="noConversion"/>
  </si>
  <si>
    <r>
      <t xml:space="preserve"> ③ 비고 : </t>
    </r>
    <r>
      <rPr>
        <b/>
        <sz val="9"/>
        <color indexed="10"/>
        <rFont val="맑은 고딕"/>
        <family val="3"/>
        <charset val="129"/>
      </rPr>
      <t>수수료 문의는 보험기획실장 또는 해당 생보사 관리자(지점장)</t>
    </r>
    <r>
      <rPr>
        <sz val="9"/>
        <rFont val="맑은 고딕"/>
        <family val="3"/>
        <charset val="129"/>
      </rPr>
      <t>에게 해 주시기 바라며, 문의전 해당 보험사 지급 기준과 개별 계약에 대한 사전 이해를 바람</t>
    </r>
    <phoneticPr fontId="17" type="noConversion"/>
  </si>
  <si>
    <t>해당월 총 수금자원 대비 수금실적의 비율</t>
  </si>
  <si>
    <t>2개월납 : 초회P ÷ 2 / 3개월납 : 초회P ÷ 3</t>
  </si>
  <si>
    <t>6개월납 : 초회P ÷ 6 / 연납 : 초회P ÷ 12</t>
  </si>
  <si>
    <t>6등급</t>
  </si>
  <si>
    <t>7등급</t>
  </si>
  <si>
    <t>비월납의 경우 : 총환산월초 * 월납수수료율 * 비월납개월수</t>
  </si>
  <si>
    <t>환산P</t>
  </si>
  <si>
    <t>FYC(1차년)</t>
  </si>
  <si>
    <t>-</t>
    <phoneticPr fontId="16" type="noConversion"/>
  </si>
  <si>
    <t>2백만↑</t>
  </si>
  <si>
    <t>7백만↑</t>
  </si>
  <si>
    <t xml:space="preserve"> ② 비고 : 대부분의 생보사의 경우, 업적 구간별 차등 지급되는 성과 수수료의 차이보다 유지율에 따른 수수료 차이가 크므로 회사 전체의 유지율 관리를 위한 개별 Risk 관리가 중요함</t>
    <phoneticPr fontId="17" type="noConversion"/>
  </si>
  <si>
    <t xml:space="preserve"> ③ 비고 : 향후 생보 업적의 증가 등으로 인해 실제 발생 비용대비 지원 금액 초과시 전체 영업조직에 대해 초과분에 한해 추가 지급하는 방안에 대해서는 검토 가능하나,</t>
    <phoneticPr fontId="17" type="noConversion"/>
  </si>
  <si>
    <t xml:space="preserve"> ② 활용 : 예시 상품 외 상품에 대한 수수료 예측은 해당 상품 가입설계후의 실제 환산P 기입을 통해 가능하며, 예시 상품 또한 실제 환산P에 따라 수수료가 변동되므로 유의하시기 바람</t>
    <phoneticPr fontId="17" type="noConversion"/>
  </si>
  <si>
    <t xml:space="preserve">              즉, 업적 구간이나 유지율, 개별 계약의 실제 환산P등에 따라 월별/개별 계약별 차등 지급되는 보험사의 수수료가 당사 영업조직의 직급별 지급률에 연계되어 지급됨</t>
  </si>
  <si>
    <t>생산성비례 지급률 + 20%</t>
  </si>
  <si>
    <t>당월 정산P * 지급률
(2~13회 통산유지율 85%(12차월 이하자는 90%)미만시 부지급)</t>
  </si>
  <si>
    <t>지급률</t>
  </si>
  <si>
    <t>▶ 지급액 : 신계약 모집환산P * 지급률</t>
  </si>
  <si>
    <t>퀄리티지급률</t>
  </si>
  <si>
    <t>▶ 지급기준 : 직전 3개월 평균 정산P 및 유지율 실적에 따라 비례지급
▶ 지급액 : 계약관리수수료 * 지급률</t>
  </si>
  <si>
    <t>▶ 지급대상 : 각각 13회차, 25회차, 37회차까지 유지되고 있는 저축성 보험
▶ 지급방법 : 13,25,37회차 보험료 입금시, 초년도 환산P * 지급률</t>
  </si>
  <si>
    <t>▶ 당월 정산성적 * (정산성적 구간별 지급률 + 유지율별 가감율)</t>
  </si>
  <si>
    <t>▶ 정산성적 구간별 지급률</t>
  </si>
  <si>
    <t>당월 효율 성적 * 상품군별 지급률</t>
  </si>
  <si>
    <t>지급방법 : 7회차 보험료 입금시 - 월납보험료 * 지급률 * 7
13회차 보험료 입금시 - 월납보험료 * 지급률 * 6
14회차 이후 - 월납보험료 * 지급률(매월 보험료 입금시 지급)</t>
  </si>
  <si>
    <t>▶ 월납보험료 * 지급률</t>
  </si>
  <si>
    <t>기본 지급률</t>
  </si>
  <si>
    <t>▶ 지급액 : 당월 정산P * 구간별 지급률 * 유지율 가감</t>
  </si>
  <si>
    <t>▶ 당월 정산P 구간별 지급률</t>
  </si>
  <si>
    <t>▶ 유지율 차이에 따른 가감 지급률 : 산출금액 * 가감율 (업적 13차월 이상 GA)</t>
  </si>
  <si>
    <t>▶ 지급액 : 당월 총 신계약 관리 수수료 * 지급률</t>
  </si>
  <si>
    <t>▶ 지급률 : 직전 2개월(당월 포함) 평균 당월 정산보험료에 따라 차등 지급</t>
  </si>
  <si>
    <t xml:space="preserve">▶ 지급액 : 당월 NGAP * 지급률 </t>
  </si>
  <si>
    <t>지급기준 : (전보종) 유지계약 GAP * 지급률(2~36회)</t>
  </si>
  <si>
    <t xml:space="preserve"> ② 회차별 지급률 : 1차월은 고객 설계 수수료 항목으로, 2차월 이상은 계약 유지 수수료 항목으로 지급</t>
  </si>
  <si>
    <t>FYP × 상품별 1차년도 지급률 × PSF × PF</t>
  </si>
  <si>
    <t>RYP X 상품별 2차년도 이후 수수료 지급률
RYP : 2차년도 이후 보험료</t>
  </si>
  <si>
    <t>▶ 기준 : 분기별 FYC 합계액 * 성과보너스 지급률</t>
  </si>
  <si>
    <t>▶ 기준 : 월간 FYC * 관리수수료 지급률</t>
  </si>
  <si>
    <t>1차년
(익월포함)</t>
    <phoneticPr fontId="17" type="noConversion"/>
  </si>
  <si>
    <t>▶ 기준 : 13~36회차 계약관리수수료 * 지급률</t>
  </si>
  <si>
    <r>
      <rPr>
        <b/>
        <sz val="9"/>
        <color rgb="FF0000FF"/>
        <rFont val="맑은 고딕"/>
        <family val="3"/>
        <charset val="129"/>
      </rPr>
      <t>일시납</t>
    </r>
    <r>
      <rPr>
        <sz val="9"/>
        <color indexed="8"/>
        <rFont val="맑은 고딕"/>
        <family val="3"/>
        <charset val="129"/>
      </rPr>
      <t xml:space="preserve"> / 5천만이상</t>
    </r>
    <phoneticPr fontId="17" type="noConversion"/>
  </si>
  <si>
    <t>(무)KDB생활연금보험</t>
  </si>
  <si>
    <r>
      <t xml:space="preserve"> ② 적용 : 당사의 경우, 생보사별 OA 수수료는 </t>
    </r>
    <r>
      <rPr>
        <b/>
        <sz val="9"/>
        <color indexed="10"/>
        <rFont val="맑은 고딕"/>
        <family val="3"/>
        <charset val="129"/>
      </rPr>
      <t>사업단 운영의 재원으로 쓰여지므로 영업조직에게는 不지급</t>
    </r>
    <r>
      <rPr>
        <sz val="9"/>
        <rFont val="맑은 고딕"/>
        <family val="3"/>
        <charset val="129"/>
      </rPr>
      <t>하고 있으며, 향후에도 지속적인 사업단 확장을 위한 용도로 사용 예정임</t>
    </r>
    <phoneticPr fontId="17" type="noConversion"/>
  </si>
  <si>
    <t xml:space="preserve">              현재 생보 전체 업적 규모의 부족 및 통신, 기타 잡비등으로 인해 실제 발생 비용 대비 지원 금액이 부족한 상황이나, OA 외 모든 수수료는 차감없이 보장 지급하고 있음</t>
    <phoneticPr fontId="17" type="noConversion"/>
  </si>
  <si>
    <t>삭감율</t>
  </si>
  <si>
    <t>13~24회</t>
  </si>
  <si>
    <t>25~36회</t>
  </si>
  <si>
    <t>월납</t>
  </si>
  <si>
    <t>3월납</t>
  </si>
  <si>
    <t>6월납</t>
  </si>
  <si>
    <t>연납</t>
  </si>
  <si>
    <t>용어 정의</t>
    <phoneticPr fontId="17" type="noConversion"/>
  </si>
  <si>
    <t>지급 기준</t>
    <phoneticPr fontId="17" type="noConversion"/>
  </si>
  <si>
    <t>유지수수료</t>
    <phoneticPr fontId="17" type="noConversion"/>
  </si>
  <si>
    <t>계약관리수수료</t>
  </si>
  <si>
    <t>보장성</t>
  </si>
  <si>
    <t>상품명</t>
    <phoneticPr fontId="17" type="noConversion"/>
  </si>
  <si>
    <r>
      <rPr>
        <b/>
        <sz val="9"/>
        <color rgb="FFFF0000"/>
        <rFont val="맑은 고딕"/>
        <family val="3"/>
        <charset val="129"/>
      </rPr>
      <t>주계약</t>
    </r>
    <r>
      <rPr>
        <sz val="9"/>
        <rFont val="맑은 고딕"/>
        <family val="3"/>
        <charset val="129"/>
      </rPr>
      <t xml:space="preserve">
월납P</t>
    </r>
    <phoneticPr fontId="17" type="noConversion"/>
  </si>
  <si>
    <t>본사수수료</t>
    <phoneticPr fontId="17" type="noConversion"/>
  </si>
  <si>
    <t>본부장</t>
    <phoneticPr fontId="17" type="noConversion"/>
  </si>
  <si>
    <t>30만이상</t>
    <phoneticPr fontId="17" type="noConversion"/>
  </si>
  <si>
    <t>(무)Life Cycle 종신보험</t>
    <phoneticPr fontId="17" type="noConversion"/>
  </si>
  <si>
    <t>(무)메트라이프 정기보험</t>
    <phoneticPr fontId="17" type="noConversion"/>
  </si>
  <si>
    <t>(무)실버플랜 VUL Ⅴ</t>
    <phoneticPr fontId="16" type="noConversion"/>
  </si>
  <si>
    <t>-</t>
    <phoneticPr fontId="16" type="noConversion"/>
  </si>
  <si>
    <t>(무)바로받는 W 변액연금 IV</t>
    <phoneticPr fontId="16" type="noConversion"/>
  </si>
  <si>
    <r>
      <rPr>
        <b/>
        <sz val="9"/>
        <color rgb="FF0000FF"/>
        <rFont val="맑은 고딕"/>
        <family val="3"/>
        <charset val="129"/>
      </rPr>
      <t>일시납</t>
    </r>
    <r>
      <rPr>
        <sz val="9"/>
        <color indexed="8"/>
        <rFont val="맑은 고딕"/>
        <family val="3"/>
        <charset val="129"/>
      </rPr>
      <t xml:space="preserve"> / 5천만이상</t>
    </r>
    <phoneticPr fontId="17" type="noConversion"/>
  </si>
  <si>
    <t xml:space="preserve"> &lt; 세부 사항 안내 &gt;</t>
    <phoneticPr fontId="17" type="noConversion"/>
  </si>
  <si>
    <t>1. 작성 기준</t>
    <phoneticPr fontId="17" type="noConversion"/>
  </si>
  <si>
    <t xml:space="preserve"> ② 환산 기준 : 납기에 따른 주계약의 월납영수보험료를 기준으로 예시하였으며, 실제 설계시 보험료 및 특약별로 적용되는 환산이 다를 수 있으므로, </t>
    <phoneticPr fontId="17" type="noConversion"/>
  </si>
  <si>
    <t>2. 유지 수수료 익월 先지급 기준 : 전 종목 BC 항목에 대해 5개월 先지급(1차월 포함시 6개월 先지급임)</t>
    <phoneticPr fontId="17" type="noConversion"/>
  </si>
  <si>
    <t>4. 유지 수수료 지급 기준</t>
    <phoneticPr fontId="17" type="noConversion"/>
  </si>
  <si>
    <t>5. 유지율 적용 기준 : 18회차 IQA 유지율을 적용하며, 기준 미달시 차감 지급은 없으며 기준 상향시 추가 지급됨 ▶ PC 3항목 수수료에 연동하여 반영</t>
    <phoneticPr fontId="17" type="noConversion"/>
  </si>
  <si>
    <t xml:space="preserve">6. 비고 : 상기 자료는 예시이므로 매월 마감 업적, 유지율 및 개별 상품 설계시의 실제 환산 성적등에 따라 추가 또는 감소되어 지급됨 </t>
    <phoneticPr fontId="17" type="noConversion"/>
  </si>
  <si>
    <t>1. 업적 관련 용어 정의</t>
    <phoneticPr fontId="17" type="noConversion"/>
  </si>
  <si>
    <t>항  목</t>
    <phoneticPr fontId="17" type="noConversion"/>
  </si>
  <si>
    <t>용어 정의</t>
    <phoneticPr fontId="17" type="noConversion"/>
  </si>
  <si>
    <t>비  고</t>
    <phoneticPr fontId="17" type="noConversion"/>
  </si>
  <si>
    <t>SC(Sales Credit)</t>
    <phoneticPr fontId="17" type="noConversion"/>
  </si>
  <si>
    <t>SC = AFYP * 상품별 Commission Rate(%)</t>
    <phoneticPr fontId="17" type="noConversion"/>
  </si>
  <si>
    <t>산출 예시 : 변액종신 월납 20만원 ▶ 20만*60%*12 = 144만</t>
    <phoneticPr fontId="17" type="noConversion"/>
  </si>
  <si>
    <t>(변액 종신의 Commission Rate는 60%)</t>
    <phoneticPr fontId="17" type="noConversion"/>
  </si>
  <si>
    <t>AFYP</t>
    <phoneticPr fontId="17" type="noConversion"/>
  </si>
  <si>
    <t>AFYP : 납입보험료 * 납방별 계수</t>
    <phoneticPr fontId="17" type="noConversion"/>
  </si>
  <si>
    <t>납입 방법이 순수 월납인 계약의 초회보험료</t>
    <phoneticPr fontId="17" type="noConversion"/>
  </si>
  <si>
    <t>납방별 계수 : 월납 - 12, 3개월납 - 4, 6개월납 - 2</t>
    <phoneticPr fontId="17" type="noConversion"/>
  </si>
  <si>
    <t>NSC(Net Sales Credit)</t>
    <phoneticPr fontId="17" type="noConversion"/>
  </si>
  <si>
    <t>(모집 SC + 부활 SC) - 환수 SC</t>
    <phoneticPr fontId="17" type="noConversion"/>
  </si>
  <si>
    <t>3월납 + 6월납 + 년납 + 일시납</t>
    <phoneticPr fontId="17" type="noConversion"/>
  </si>
  <si>
    <t>타사의 정산 성적과 동일 개념임</t>
    <phoneticPr fontId="17" type="noConversion"/>
  </si>
  <si>
    <t>2. 효율 관련 용어 정의</t>
    <phoneticPr fontId="17" type="noConversion"/>
  </si>
  <si>
    <t>18회 IQA 유지율</t>
    <phoneticPr fontId="17" type="noConversion"/>
  </si>
  <si>
    <t>2~18회까지의 확정 모집 SC 대비 유지 SC의 비율</t>
    <phoneticPr fontId="17" type="noConversion"/>
  </si>
  <si>
    <t>영업 차월</t>
    <phoneticPr fontId="17" type="noConversion"/>
  </si>
  <si>
    <t>7~12</t>
    <phoneticPr fontId="17" type="noConversion"/>
  </si>
  <si>
    <t>13~18</t>
    <phoneticPr fontId="17" type="noConversion"/>
  </si>
  <si>
    <t>19차월↑</t>
    <phoneticPr fontId="17" type="noConversion"/>
  </si>
  <si>
    <t>▶ IQA 유지율 = 2~18회 유지 SC의 합계 / 2~18회 모집 SC의 합계 * 100</t>
    <phoneticPr fontId="17" type="noConversion"/>
  </si>
  <si>
    <t>기준 유지율</t>
    <phoneticPr fontId="17" type="noConversion"/>
  </si>
  <si>
    <t>승환 계약</t>
    <phoneticPr fontId="17" type="noConversion"/>
  </si>
  <si>
    <t>3. 수수료 항목 및 지급 기준</t>
    <phoneticPr fontId="17" type="noConversion"/>
  </si>
  <si>
    <t>세 부  사 항</t>
    <phoneticPr fontId="17" type="noConversion"/>
  </si>
  <si>
    <t>당월NSC</t>
    <phoneticPr fontId="17" type="noConversion"/>
  </si>
  <si>
    <t>미만</t>
    <phoneticPr fontId="17" type="noConversion"/>
  </si>
  <si>
    <t>▶ 지급액 : 당월 NSC * 당월 업적구간별 차등 지급</t>
    <phoneticPr fontId="17" type="noConversion"/>
  </si>
  <si>
    <t>▶ 기준 유지율에 따른 가산율</t>
    <phoneticPr fontId="17" type="noConversion"/>
  </si>
  <si>
    <t>세부 기준</t>
    <phoneticPr fontId="17" type="noConversion"/>
  </si>
  <si>
    <t>유지율</t>
    <phoneticPr fontId="17" type="noConversion"/>
  </si>
  <si>
    <t>70%↓</t>
    <phoneticPr fontId="17" type="noConversion"/>
  </si>
  <si>
    <t>가산율</t>
    <phoneticPr fontId="17" type="noConversion"/>
  </si>
  <si>
    <t>1. 업적 관련 용어 정의</t>
    <phoneticPr fontId="17" type="noConversion"/>
  </si>
  <si>
    <t>항  목</t>
    <phoneticPr fontId="17" type="noConversion"/>
  </si>
  <si>
    <t>용어 정의</t>
    <phoneticPr fontId="17" type="noConversion"/>
  </si>
  <si>
    <t>비  고</t>
    <phoneticPr fontId="17" type="noConversion"/>
  </si>
  <si>
    <t>납입초회보험료(납초P)</t>
    <phoneticPr fontId="17" type="noConversion"/>
  </si>
  <si>
    <t>납입 방법별 초회보험료의 합계로 순수월납P + 非월납P(일시납 포함)</t>
    <phoneticPr fontId="17" type="noConversion"/>
  </si>
  <si>
    <t>월납환산초회P 산출방법</t>
    <phoneticPr fontId="17" type="noConversion"/>
  </si>
  <si>
    <t>비월납계약</t>
    <phoneticPr fontId="17" type="noConversion"/>
  </si>
  <si>
    <t>아래 기준에 따라 월납환산으로 산출함</t>
    <phoneticPr fontId="17" type="noConversion"/>
  </si>
  <si>
    <t>일시납의 경우, 교육보험과 기타 상품으로 이원화하여 산출</t>
    <phoneticPr fontId="17" type="noConversion"/>
  </si>
  <si>
    <t>기타 상품의 경우, 보험기간별로 아래와 같이 산출함</t>
    <phoneticPr fontId="17" type="noConversion"/>
  </si>
  <si>
    <t>2년(초회P÷20)/3년(초회P÷30)/4년(초회P÷40)/5년이상 (초회P÷50)</t>
    <phoneticPr fontId="17" type="noConversion"/>
  </si>
  <si>
    <t>월납기준보험료</t>
    <phoneticPr fontId="17" type="noConversion"/>
  </si>
  <si>
    <t>납입방법별 초회보험료를 월납기준으로 환산한 보험료</t>
    <phoneticPr fontId="17" type="noConversion"/>
  </si>
  <si>
    <t>교육보험의 경우, 초회P ÷ 30 (보험기간과 무관)</t>
    <phoneticPr fontId="17" type="noConversion"/>
  </si>
  <si>
    <t>2. 효율 관련 용어 정의</t>
    <phoneticPr fontId="17" type="noConversion"/>
  </si>
  <si>
    <t>용 도   및   기 타</t>
    <phoneticPr fontId="17" type="noConversion"/>
  </si>
  <si>
    <t>수금율</t>
    <phoneticPr fontId="17" type="noConversion"/>
  </si>
  <si>
    <t>실수금액(건) / 요수금액(건) * 100</t>
    <phoneticPr fontId="17" type="noConversion"/>
  </si>
  <si>
    <t>선납 및 부활실적은 요수금 및 실수금에 포함</t>
    <phoneticPr fontId="17" type="noConversion"/>
  </si>
  <si>
    <t>유지율</t>
    <phoneticPr fontId="17" type="noConversion"/>
  </si>
  <si>
    <t>유지계약(액.보험료.건수) / 신계약(액.보험료.건수) * 100</t>
    <phoneticPr fontId="17" type="noConversion"/>
  </si>
  <si>
    <t>신계약실적집계시 책임보상,무효·해지,취소,품보계약 포함</t>
    <phoneticPr fontId="17" type="noConversion"/>
  </si>
  <si>
    <t>3. Overriding 등급 체계</t>
    <phoneticPr fontId="17" type="noConversion"/>
  </si>
  <si>
    <t>등급 판정 기준 (분기 평가 &amp; 익분기 적용)</t>
    <phoneticPr fontId="17" type="noConversion"/>
  </si>
  <si>
    <t>직전분기 월평균 NGAP</t>
    <phoneticPr fontId="17" type="noConversion"/>
  </si>
  <si>
    <t>60백만↑</t>
    <phoneticPr fontId="17" type="noConversion"/>
  </si>
  <si>
    <t>40백만↑</t>
    <phoneticPr fontId="17" type="noConversion"/>
  </si>
  <si>
    <t>30백만↑</t>
    <phoneticPr fontId="17" type="noConversion"/>
  </si>
  <si>
    <t>20백만↑</t>
    <phoneticPr fontId="17" type="noConversion"/>
  </si>
  <si>
    <t>10백만↑</t>
    <phoneticPr fontId="17" type="noConversion"/>
  </si>
  <si>
    <t>5백만↑</t>
    <phoneticPr fontId="17" type="noConversion"/>
  </si>
  <si>
    <t>1.5백만↑</t>
    <phoneticPr fontId="17" type="noConversion"/>
  </si>
  <si>
    <t>대상업적월</t>
    <phoneticPr fontId="17" type="noConversion"/>
  </si>
  <si>
    <t>1~3월</t>
    <phoneticPr fontId="17" type="noConversion"/>
  </si>
  <si>
    <t>4~6월</t>
    <phoneticPr fontId="17" type="noConversion"/>
  </si>
  <si>
    <t>7~9월</t>
    <phoneticPr fontId="17" type="noConversion"/>
  </si>
  <si>
    <t>10~12월</t>
    <phoneticPr fontId="17" type="noConversion"/>
  </si>
  <si>
    <t>등급</t>
    <phoneticPr fontId="17" type="noConversion"/>
  </si>
  <si>
    <t>1등급</t>
    <phoneticPr fontId="17" type="noConversion"/>
  </si>
  <si>
    <t>2등급</t>
    <phoneticPr fontId="17" type="noConversion"/>
  </si>
  <si>
    <t>등급판정월</t>
    <phoneticPr fontId="17" type="noConversion"/>
  </si>
  <si>
    <t>4월</t>
    <phoneticPr fontId="17" type="noConversion"/>
  </si>
  <si>
    <t>7월</t>
    <phoneticPr fontId="17" type="noConversion"/>
  </si>
  <si>
    <t>10월</t>
    <phoneticPr fontId="17" type="noConversion"/>
  </si>
  <si>
    <t>1월</t>
    <phoneticPr fontId="17" type="noConversion"/>
  </si>
  <si>
    <t>비고</t>
    <phoneticPr fontId="17" type="noConversion"/>
  </si>
  <si>
    <t>▶ 매분기 평가를 통해 익분기 지원됨 (우측 기준 참고)</t>
    <phoneticPr fontId="17" type="noConversion"/>
  </si>
  <si>
    <t>등급적용월</t>
    <phoneticPr fontId="17" type="noConversion"/>
  </si>
  <si>
    <t>환산성적(GAP)</t>
    <phoneticPr fontId="17" type="noConversion"/>
  </si>
  <si>
    <t>상품별 월납기준보험료 * 상품별 환산율(주계약 및 특약별로 상이함)</t>
    <phoneticPr fontId="17" type="noConversion"/>
  </si>
  <si>
    <t>고객 설계, 계약 유지 서비스 수수료의 지급 기준</t>
    <phoneticPr fontId="17" type="noConversion"/>
  </si>
  <si>
    <t>조정GAP(CGAP)</t>
    <phoneticPr fontId="17" type="noConversion"/>
  </si>
  <si>
    <t>환산성적에 교보 정책에 따라 가중치를 둔 실적 ▶ GAP * AV(Adjusted Value)</t>
    <phoneticPr fontId="17" type="noConversion"/>
  </si>
  <si>
    <t>AV : 종신,CI,정기 1.1 / 연금,기타 1.0 / 저축 0.8 (상품정책에 따라 변경 가능)</t>
    <phoneticPr fontId="17" type="noConversion"/>
  </si>
  <si>
    <t>정산성적(NGAP)</t>
    <phoneticPr fontId="17" type="noConversion"/>
  </si>
  <si>
    <t>당월 모집 환산월초 - 환수계약 + 부활계약</t>
    <phoneticPr fontId="17" type="noConversion"/>
  </si>
  <si>
    <t>▶ NGAP = 신계약 CGAP - 환수 CGAP + 부활 CGAP</t>
    <phoneticPr fontId="17" type="noConversion"/>
  </si>
  <si>
    <t>공통사항</t>
    <phoneticPr fontId="16" type="noConversion"/>
  </si>
  <si>
    <t>승환</t>
    <phoneticPr fontId="17" type="noConversion"/>
  </si>
  <si>
    <t>부당추정모집</t>
    <phoneticPr fontId="17" type="noConversion"/>
  </si>
  <si>
    <t>계 산 식</t>
    <phoneticPr fontId="17" type="noConversion"/>
  </si>
  <si>
    <t>지급 기준</t>
    <phoneticPr fontId="17" type="noConversion"/>
  </si>
  <si>
    <t>고객 설계 Commission</t>
    <phoneticPr fontId="17" type="noConversion"/>
  </si>
  <si>
    <t>계약 유지 Commission</t>
    <phoneticPr fontId="17" type="noConversion"/>
  </si>
  <si>
    <t>환산P</t>
    <phoneticPr fontId="17" type="noConversion"/>
  </si>
  <si>
    <t>조정P</t>
    <phoneticPr fontId="17" type="noConversion"/>
  </si>
  <si>
    <t>계약 유지 수수료</t>
    <phoneticPr fontId="17" type="noConversion"/>
  </si>
  <si>
    <t>팀장</t>
    <phoneticPr fontId="17" type="noConversion"/>
  </si>
  <si>
    <t>위촉FC</t>
    <phoneticPr fontId="17" type="noConversion"/>
  </si>
  <si>
    <t>기준</t>
    <phoneticPr fontId="17" type="noConversion"/>
  </si>
  <si>
    <t>환산율</t>
    <phoneticPr fontId="17" type="noConversion"/>
  </si>
  <si>
    <t>GAP</t>
    <phoneticPr fontId="17" type="noConversion"/>
  </si>
  <si>
    <t>CGAP</t>
    <phoneticPr fontId="17" type="noConversion"/>
  </si>
  <si>
    <t>성과</t>
    <phoneticPr fontId="17" type="noConversion"/>
  </si>
  <si>
    <t>고객설계</t>
    <phoneticPr fontId="17" type="noConversion"/>
  </si>
  <si>
    <t>1차년</t>
    <phoneticPr fontId="17" type="noConversion"/>
  </si>
  <si>
    <t>2차년</t>
    <phoneticPr fontId="17" type="noConversion"/>
  </si>
  <si>
    <t>3차년</t>
    <phoneticPr fontId="16" type="noConversion"/>
  </si>
  <si>
    <t>익월</t>
    <phoneticPr fontId="17" type="noConversion"/>
  </si>
  <si>
    <t>1차년
(익월포함)</t>
    <phoneticPr fontId="17" type="noConversion"/>
  </si>
  <si>
    <t>총계</t>
    <phoneticPr fontId="17" type="noConversion"/>
  </si>
  <si>
    <t>익월</t>
    <phoneticPr fontId="17" type="noConversion"/>
  </si>
  <si>
    <t>1차년
(익월포함)</t>
    <phoneticPr fontId="17" type="noConversion"/>
  </si>
  <si>
    <t>총계</t>
    <phoneticPr fontId="17" type="noConversion"/>
  </si>
  <si>
    <t>익월</t>
    <phoneticPr fontId="17" type="noConversion"/>
  </si>
  <si>
    <t>총계</t>
    <phoneticPr fontId="17" type="noConversion"/>
  </si>
  <si>
    <t>(무)우리아이교육보험</t>
    <phoneticPr fontId="17" type="noConversion"/>
  </si>
  <si>
    <t>12년납</t>
    <phoneticPr fontId="17" type="noConversion"/>
  </si>
  <si>
    <t>더드림 (무)교보변액연금보험 (1종)</t>
    <phoneticPr fontId="16" type="noConversion"/>
  </si>
  <si>
    <t>10년납(100만이상)</t>
    <phoneticPr fontId="17" type="noConversion"/>
  </si>
  <si>
    <t>연금저축교보연금</t>
    <phoneticPr fontId="17" type="noConversion"/>
  </si>
  <si>
    <t>10년납</t>
    <phoneticPr fontId="17" type="noConversion"/>
  </si>
  <si>
    <t>더드림 (무)교보연금보험</t>
    <phoneticPr fontId="16" type="noConversion"/>
  </si>
  <si>
    <t>10년납(100만이상)</t>
    <phoneticPr fontId="17" type="noConversion"/>
  </si>
  <si>
    <t>빅플러스저축보험</t>
    <phoneticPr fontId="17" type="noConversion"/>
  </si>
  <si>
    <t>더든든한(무)교보통합CI보험</t>
    <phoneticPr fontId="17" type="noConversion"/>
  </si>
  <si>
    <t>(무)교보베스트플랜큰사랑플러스CI보험</t>
    <phoneticPr fontId="17" type="noConversion"/>
  </si>
  <si>
    <t>더든든한(무)교보변액유니버셜통합종신보험(2종)</t>
    <phoneticPr fontId="17" type="noConversion"/>
  </si>
  <si>
    <t>20년납↑</t>
    <phoneticPr fontId="16" type="noConversion"/>
  </si>
  <si>
    <t>웰스연금보험/바로받는 연금보험</t>
    <phoneticPr fontId="16" type="noConversion"/>
  </si>
  <si>
    <t>일시납</t>
    <phoneticPr fontId="16" type="noConversion"/>
  </si>
  <si>
    <t>교보빅플러스저축(일시납)</t>
    <phoneticPr fontId="16" type="noConversion"/>
  </si>
  <si>
    <t>일시납</t>
    <phoneticPr fontId="17" type="noConversion"/>
  </si>
  <si>
    <t xml:space="preserve"> &lt; 세부 사항 안내 &gt;</t>
    <phoneticPr fontId="17" type="noConversion"/>
  </si>
  <si>
    <t>1. 작성 기준</t>
    <phoneticPr fontId="17" type="noConversion"/>
  </si>
  <si>
    <t xml:space="preserve"> ② 유지율 및 기타 조건등은 실제 지급 기준과 연동하여 적용됨</t>
    <phoneticPr fontId="17" type="noConversion"/>
  </si>
  <si>
    <t xml:space="preserve"> ③ 환산 기준 : 납기에 따른 주계약의 월납영수보험료를 기준으로 예시하였으며, 실제 설계시 보험료 및 특약별로 적용되는 환산이 다를 수 있으므로, </t>
    <phoneticPr fontId="17" type="noConversion"/>
  </si>
  <si>
    <r>
      <t xml:space="preserve">2. 계약유지 수수료 익월 先지급 기준 : 상품군에 상관 없이 </t>
    </r>
    <r>
      <rPr>
        <sz val="9"/>
        <color rgb="FFFF0000"/>
        <rFont val="맑은 고딕"/>
        <family val="3"/>
        <charset val="129"/>
      </rPr>
      <t>8</t>
    </r>
    <r>
      <rPr>
        <b/>
        <sz val="9"/>
        <color indexed="10"/>
        <rFont val="맑은 고딕"/>
        <family val="3"/>
        <charset val="129"/>
      </rPr>
      <t>개월 先지급으로 지급</t>
    </r>
    <r>
      <rPr>
        <sz val="9"/>
        <rFont val="맑은 고딕"/>
        <family val="3"/>
        <charset val="129"/>
      </rPr>
      <t>함</t>
    </r>
    <phoneticPr fontId="17" type="noConversion"/>
  </si>
  <si>
    <t>4. 유지 수수료 지급 기준</t>
    <phoneticPr fontId="17" type="noConversion"/>
  </si>
  <si>
    <t xml:space="preserve"> ① 상품군별 지급 횟수 : 전종목 36회까지 지급</t>
    <phoneticPr fontId="17" type="noConversion"/>
  </si>
  <si>
    <t>항  목</t>
    <phoneticPr fontId="17" type="noConversion"/>
  </si>
  <si>
    <t xml:space="preserve">5. 비고 : 상기 자료는 예시이므로 매월 마감 업적, 유지율 및 개별 상품 설계시의 실제 환산P등에 따라 추가 또는 감소되어 지급됨 </t>
    <phoneticPr fontId="17" type="noConversion"/>
  </si>
  <si>
    <t>20년납↑</t>
    <phoneticPr fontId="17" type="noConversion"/>
  </si>
  <si>
    <t>20년납↑</t>
    <phoneticPr fontId="17" type="noConversion"/>
  </si>
  <si>
    <t>승환계약</t>
    <phoneticPr fontId="17" type="noConversion"/>
  </si>
  <si>
    <t>2. 수수료 항목 및 지급 기준</t>
    <phoneticPr fontId="17" type="noConversion"/>
  </si>
  <si>
    <t>비  고</t>
    <phoneticPr fontId="17" type="noConversion"/>
  </si>
  <si>
    <t>월납초회보험료(월초P)</t>
    <phoneticPr fontId="17" type="noConversion"/>
  </si>
  <si>
    <t>납입 방법이 순수 월납인 계약의 초회 보험료</t>
    <phoneticPr fontId="17" type="noConversion"/>
  </si>
  <si>
    <t>FYC</t>
    <phoneticPr fontId="17" type="noConversion"/>
  </si>
  <si>
    <t>초년도 수수료</t>
    <phoneticPr fontId="17" type="noConversion"/>
  </si>
  <si>
    <t>FYP : 초년도 보험료, PSF : 상품별 주계약 가입금액에 따른 환산율
PF : 19회차 IQA 유지율에 따른 환산율</t>
    <phoneticPr fontId="31" type="noConversion"/>
  </si>
  <si>
    <t>RYC</t>
    <phoneticPr fontId="17" type="noConversion"/>
  </si>
  <si>
    <t>유지수수료로 2차년도 이후에 지급되는 수수료 (3차년도까지 지급)</t>
    <phoneticPr fontId="17" type="noConversion"/>
  </si>
  <si>
    <t>세 부 사 항</t>
    <phoneticPr fontId="17" type="noConversion"/>
  </si>
  <si>
    <t>모집수수료</t>
    <phoneticPr fontId="17" type="noConversion"/>
  </si>
  <si>
    <t xml:space="preserve"> FYC 100% 해당액 지급 &gt; 1차년도 지급 수수료</t>
    <phoneticPr fontId="17" type="noConversion"/>
  </si>
  <si>
    <t>모집, 유지수수료 분할 지급</t>
    <phoneticPr fontId="31" type="noConversion"/>
  </si>
  <si>
    <t>RYC 100% 해당액 지급 &gt; 2,3차년도 지급 수수료</t>
    <phoneticPr fontId="17" type="noConversion"/>
  </si>
  <si>
    <t>성과보너스
(Production Bonus)</t>
    <phoneticPr fontId="17" type="noConversion"/>
  </si>
  <si>
    <t>▶ 1~3분기 :  각 분기별 성과보너스의 75% 지급</t>
    <phoneticPr fontId="17" type="noConversion"/>
  </si>
  <si>
    <t>통산 유지율</t>
    <phoneticPr fontId="17" type="noConversion"/>
  </si>
  <si>
    <t>70%↓</t>
    <phoneticPr fontId="17" type="noConversion"/>
  </si>
  <si>
    <t>70% ↑</t>
    <phoneticPr fontId="17" type="noConversion"/>
  </si>
  <si>
    <t xml:space="preserve">75% ↑
</t>
    <phoneticPr fontId="17" type="noConversion"/>
  </si>
  <si>
    <t>80%↑</t>
    <phoneticPr fontId="17" type="noConversion"/>
  </si>
  <si>
    <t>▶ 4분기 :  4분기 성과보너스 100% + 각 분기 유보액 전액 지급</t>
    <phoneticPr fontId="17" type="noConversion"/>
  </si>
  <si>
    <t>분기별 FYC 합계</t>
    <phoneticPr fontId="17" type="noConversion"/>
  </si>
  <si>
    <t>- 단, VUL과 UL 상품의 추가납입P와 단체보험/일시납/CEO LT건은 不지급</t>
    <phoneticPr fontId="17" type="noConversion"/>
  </si>
  <si>
    <t>(400만 이상)</t>
    <phoneticPr fontId="17" type="noConversion"/>
  </si>
  <si>
    <t>관리수수료
(Direct Override Commission)</t>
    <phoneticPr fontId="17" type="noConversion"/>
  </si>
  <si>
    <t>* 기타 지급 세부 사항 *</t>
    <phoneticPr fontId="17" type="noConversion"/>
  </si>
  <si>
    <t>65%↓</t>
    <phoneticPr fontId="16" type="noConversion"/>
  </si>
  <si>
    <t>65%↑</t>
    <phoneticPr fontId="16" type="noConversion"/>
  </si>
  <si>
    <t>70%↑</t>
    <phoneticPr fontId="16" type="noConversion"/>
  </si>
  <si>
    <t>75%↑</t>
    <phoneticPr fontId="16" type="noConversion"/>
  </si>
  <si>
    <t>일시납 상품인 (무)프레스티지 변액유니버셜은 8%
골든 타임 연금보험 20%, CEO 정기 보험은 25% 지급</t>
    <phoneticPr fontId="17" type="noConversion"/>
  </si>
  <si>
    <t>월별 FYC 합계</t>
    <phoneticPr fontId="17" type="noConversion"/>
  </si>
  <si>
    <t>(600만 이상)</t>
    <phoneticPr fontId="17" type="noConversion"/>
  </si>
  <si>
    <t>(800만이상)</t>
    <phoneticPr fontId="17" type="noConversion"/>
  </si>
  <si>
    <t>신계약 성립 후 13차월 이후 보험료 입금으로 발생하는 DC</t>
  </si>
  <si>
    <t>당월 정산성적 규모에 따라 지급률 차등적용, 2~13회 통산유지율에 따라 가감율 적용</t>
  </si>
  <si>
    <t>초회환산성적 * 지급률 * 가감율</t>
  </si>
  <si>
    <t>70백만↑</t>
  </si>
  <si>
    <t>50백만↑</t>
  </si>
  <si>
    <t>30백만↑</t>
  </si>
  <si>
    <t>10백만↑</t>
  </si>
  <si>
    <t>16년납이상</t>
  </si>
  <si>
    <t>3. 성적 관련 용어 정의</t>
    <phoneticPr fontId="17" type="noConversion"/>
  </si>
  <si>
    <t>성과 Commission 수수료의 지급 기준</t>
    <phoneticPr fontId="17" type="noConversion"/>
  </si>
  <si>
    <t>지급기준 : (전보종) 성립계약 GAP * 21% (1회)</t>
    <phoneticPr fontId="17" type="noConversion"/>
  </si>
  <si>
    <t>13~24회 : GAP * 13% * 12회 = 총 156%</t>
    <phoneticPr fontId="16" type="noConversion"/>
  </si>
  <si>
    <t>25~36회 : GAP * 10.5% * 12회 = 총 126%</t>
    <phoneticPr fontId="16" type="noConversion"/>
  </si>
  <si>
    <t>4. 승환규정</t>
    <phoneticPr fontId="17" type="noConversion"/>
  </si>
  <si>
    <t>5. 수수료 항목 및 지급 기준</t>
    <phoneticPr fontId="17" type="noConversion"/>
  </si>
  <si>
    <t xml:space="preserve">30백만↑ 245% / 50백만↑ 265% </t>
    <phoneticPr fontId="17" type="noConversion"/>
  </si>
  <si>
    <t>3. 수수료 항목별 익월 지급 기준 : 성과, 고객설계, 계약 유지 ▶ 총 3개 항목</t>
    <phoneticPr fontId="17" type="noConversion"/>
  </si>
  <si>
    <t>3. 승환규정</t>
  </si>
  <si>
    <t>1. 작성 기준</t>
    <phoneticPr fontId="17" type="noConversion"/>
  </si>
  <si>
    <r>
      <t xml:space="preserve">8개월선급
</t>
    </r>
    <r>
      <rPr>
        <sz val="9"/>
        <color rgb="FF0000FF"/>
        <rFont val="맑은 고딕"/>
        <family val="3"/>
        <charset val="129"/>
      </rPr>
      <t>(2-9회)</t>
    </r>
    <phoneticPr fontId="17" type="noConversion"/>
  </si>
  <si>
    <r>
      <t>2~12회 : GAP * 21% * 11회 = 총 231%</t>
    </r>
    <r>
      <rPr>
        <b/>
        <sz val="9"/>
        <color rgb="FFFF0000"/>
        <rFont val="맑은 고딕"/>
        <family val="3"/>
        <charset val="129"/>
      </rPr>
      <t xml:space="preserve"> (2-9회선지급)</t>
    </r>
    <phoneticPr fontId="16" type="noConversion"/>
  </si>
  <si>
    <t>1. 업적 관련 용어 정의</t>
    <phoneticPr fontId="17" type="noConversion"/>
  </si>
  <si>
    <t>항  목</t>
    <phoneticPr fontId="17" type="noConversion"/>
  </si>
  <si>
    <t>용어 정의</t>
    <phoneticPr fontId="17" type="noConversion"/>
  </si>
  <si>
    <t>비  고</t>
    <phoneticPr fontId="17" type="noConversion"/>
  </si>
  <si>
    <t>일반지점장</t>
  </si>
  <si>
    <t>-</t>
    <phoneticPr fontId="16" type="noConversion"/>
  </si>
  <si>
    <t>** 수수료 규정이나 테이블 예시구간 변경 외에도, 상품의 환산율이 변경될 시 테이블 금액 및 수수료 실제 지급액은 달라질 수 있으니 이점 참고하시어 활용 바랍니다.</t>
    <phoneticPr fontId="99" type="noConversion"/>
  </si>
  <si>
    <t>2. 효율 관련 용어 정의</t>
    <phoneticPr fontId="17" type="noConversion"/>
  </si>
  <si>
    <t>4. 수수료 항목 및 지급 기준</t>
    <phoneticPr fontId="17" type="noConversion"/>
  </si>
  <si>
    <t>세 부 사 항</t>
    <phoneticPr fontId="17" type="noConversion"/>
  </si>
  <si>
    <t>지급 기준</t>
    <phoneticPr fontId="17" type="noConversion"/>
  </si>
  <si>
    <t>비월납계약</t>
    <phoneticPr fontId="17" type="noConversion"/>
  </si>
  <si>
    <t>아래 기준에 따라 환산보험료로 산출함</t>
    <phoneticPr fontId="17" type="noConversion"/>
  </si>
  <si>
    <t>일시납 산출 방법</t>
    <phoneticPr fontId="17" type="noConversion"/>
  </si>
  <si>
    <t>월납 - 월납P * 12 * 상품별 1차년 환산율 / 3월납 - 3월납P * 4 * 상품별 1차년 환산율</t>
    <phoneticPr fontId="17" type="noConversion"/>
  </si>
  <si>
    <t xml:space="preserve"> - 보장성 보험 : 일시납p * 상품별 일시납 환산율</t>
    <phoneticPr fontId="17" type="noConversion"/>
  </si>
  <si>
    <t>6월납 - 6월납P * 2 * 상품별 1차년 환산율 / 연납 - 연납P * 1 * 상품별 1차년 환산율</t>
    <phoneticPr fontId="17" type="noConversion"/>
  </si>
  <si>
    <t xml:space="preserve"> - 연금보험등 저축성 보험 : 환산보험료 미계상, 수수료만 지급</t>
    <phoneticPr fontId="17" type="noConversion"/>
  </si>
  <si>
    <t>수금율</t>
    <phoneticPr fontId="17" type="noConversion"/>
  </si>
  <si>
    <t>실수금액(건) / 요수금액(건) * 100</t>
    <phoneticPr fontId="17" type="noConversion"/>
  </si>
  <si>
    <t>유지율</t>
    <phoneticPr fontId="17" type="noConversion"/>
  </si>
  <si>
    <t>대상 계약중 유지 계약의 총 환산P / 대상 계약의 총 환산P * 100</t>
    <phoneticPr fontId="17" type="noConversion"/>
  </si>
  <si>
    <t>기준유지율(IQA유지율) : 18회차이상 85%</t>
    <phoneticPr fontId="16" type="noConversion"/>
  </si>
  <si>
    <t>3. 성적 관련 용어 정의</t>
    <phoneticPr fontId="17" type="noConversion"/>
  </si>
  <si>
    <t>용 도   및   기 타</t>
    <phoneticPr fontId="17" type="noConversion"/>
  </si>
  <si>
    <t>환산성적(환산P)</t>
    <phoneticPr fontId="17" type="noConversion"/>
  </si>
  <si>
    <t>상품별 월납기준보험료 * 상품별 환산율(주계약 및 특약별로 상이함)</t>
    <phoneticPr fontId="17" type="noConversion"/>
  </si>
  <si>
    <t>정산P, 신계약관리수수료, 유지율 산출의 기초</t>
    <phoneticPr fontId="17" type="noConversion"/>
  </si>
  <si>
    <t>정산성적(정산P)</t>
    <phoneticPr fontId="17" type="noConversion"/>
  </si>
  <si>
    <t>당월 신계약 환산P - (실효, 해약, 철회, 반송, 해지, 무효계약의 환산P)</t>
    <phoneticPr fontId="17" type="noConversion"/>
  </si>
  <si>
    <t>제 수수료 산출의 기초</t>
    <phoneticPr fontId="17" type="noConversion"/>
  </si>
  <si>
    <t>+ (부활 계약 ± 계약변경 계약의 환산P)</t>
    <phoneticPr fontId="17" type="noConversion"/>
  </si>
  <si>
    <t>정산성적 세부 산출 기준</t>
    <phoneticPr fontId="17" type="noConversion"/>
  </si>
  <si>
    <t xml:space="preserve">   &lt; 미유지 사유별 정산성적 반영 기준 &gt;</t>
    <phoneticPr fontId="17" type="noConversion"/>
  </si>
  <si>
    <t xml:space="preserve">   - 실효, 해약 계약 : 실효, 해약 계약의 환산보험료 * (24 - 월납환산 납입개월수) / 24</t>
    <phoneticPr fontId="17" type="noConversion"/>
  </si>
  <si>
    <t xml:space="preserve">   - 철회, 반송, 해지, 무효 계약 : 유지차월에 관계없이 기 계상된 환산보험료의 100% 환수</t>
    <phoneticPr fontId="17" type="noConversion"/>
  </si>
  <si>
    <t xml:space="preserve">   - 부활 계약 : 기 환수된 환산보험료를 부활 당월에 재계상후 미지급 신계약 관리수수료를 일시에 지급</t>
    <phoneticPr fontId="17" type="noConversion"/>
  </si>
  <si>
    <t xml:space="preserve">   - 계약 변경 : 계약 변경에 따른 환산보험료 가감</t>
    <phoneticPr fontId="17" type="noConversion"/>
  </si>
  <si>
    <t>승환계약</t>
    <phoneticPr fontId="99" type="noConversion"/>
  </si>
  <si>
    <t>신계약 관리 수수료</t>
    <phoneticPr fontId="17" type="noConversion"/>
  </si>
  <si>
    <t>보험료 입금시마다 상품별 환산율에 따라 지급</t>
    <phoneticPr fontId="17" type="noConversion"/>
  </si>
  <si>
    <t>전 종목에 대해 6개월 先지급으로 운영중</t>
    <phoneticPr fontId="17" type="noConversion"/>
  </si>
  <si>
    <t>판매 촉진 수수료</t>
    <phoneticPr fontId="17" type="noConversion"/>
  </si>
  <si>
    <t xml:space="preserve">10백만↑ 76% / 30백만↑ 80% / 40백만↑ 84% / 70백만↑ 88% / </t>
    <phoneticPr fontId="17" type="noConversion"/>
  </si>
  <si>
    <t>유지차</t>
    <phoneticPr fontId="17" type="noConversion"/>
  </si>
  <si>
    <t>7%↑</t>
    <phoneticPr fontId="17" type="noConversion"/>
  </si>
  <si>
    <t>5%↑</t>
    <phoneticPr fontId="17" type="noConversion"/>
  </si>
  <si>
    <t>3%↑</t>
    <phoneticPr fontId="17" type="noConversion"/>
  </si>
  <si>
    <t>0%↑</t>
    <phoneticPr fontId="17" type="noConversion"/>
  </si>
  <si>
    <t>-5%↑</t>
    <phoneticPr fontId="17" type="noConversion"/>
  </si>
  <si>
    <t>-10%↑</t>
    <phoneticPr fontId="17" type="noConversion"/>
  </si>
  <si>
    <r>
      <t xml:space="preserve">100백만↑ 90% / 150백만↑ 95% / </t>
    </r>
    <r>
      <rPr>
        <b/>
        <sz val="9"/>
        <color rgb="FFFF0000"/>
        <rFont val="맑은 고딕"/>
        <family val="3"/>
        <charset val="129"/>
      </rPr>
      <t>200백만↑ 100%</t>
    </r>
    <phoneticPr fontId="17" type="noConversion"/>
  </si>
  <si>
    <t>가감율</t>
    <phoneticPr fontId="17" type="noConversion"/>
  </si>
  <si>
    <t>단, 유지차 -10%↑시는 수수료 不지급됨</t>
    <phoneticPr fontId="17" type="noConversion"/>
  </si>
  <si>
    <t>성과 보너스</t>
    <phoneticPr fontId="17" type="noConversion"/>
  </si>
  <si>
    <t>▶ 지급 대상 : 업적 13차월 이상 및 유지율 지표 달성 GA</t>
    <phoneticPr fontId="17" type="noConversion"/>
  </si>
  <si>
    <t>▶ 직전 2개월 정산P 구간별 지급률</t>
    <phoneticPr fontId="99" type="noConversion"/>
  </si>
  <si>
    <r>
      <rPr>
        <sz val="9"/>
        <rFont val="맑은 고딕"/>
        <family val="3"/>
        <charset val="129"/>
      </rPr>
      <t>30백만↑ 16%</t>
    </r>
    <r>
      <rPr>
        <sz val="9"/>
        <color theme="1"/>
        <rFont val="맑은 고딕"/>
        <family val="3"/>
        <charset val="129"/>
      </rPr>
      <t xml:space="preserve"> /</t>
    </r>
    <r>
      <rPr>
        <sz val="9"/>
        <rFont val="맑은 고딕"/>
        <family val="3"/>
        <charset val="129"/>
      </rPr>
      <t xml:space="preserve"> </t>
    </r>
    <r>
      <rPr>
        <b/>
        <sz val="9"/>
        <color rgb="FF0000FF"/>
        <rFont val="맑은 고딕"/>
        <family val="3"/>
        <charset val="129"/>
      </rPr>
      <t>40백만↑ 17%</t>
    </r>
    <r>
      <rPr>
        <sz val="9"/>
        <color theme="1"/>
        <rFont val="맑은 고딕"/>
        <family val="3"/>
        <charset val="129"/>
      </rPr>
      <t xml:space="preserve"> / 70백만↑ 18% / 100백만↑ 19%</t>
    </r>
    <phoneticPr fontId="17" type="noConversion"/>
  </si>
  <si>
    <t>일반지점장</t>
    <phoneticPr fontId="17" type="noConversion"/>
  </si>
  <si>
    <t>인증지점장</t>
    <phoneticPr fontId="17" type="noConversion"/>
  </si>
  <si>
    <t xml:space="preserve">              직급별 테이블 예시는 본부장, 일반지점장, 팀장, FC 기준으로 작성되었으며, 이외의 직급(지급률)의 경우는 해당 지급률을 직접 반영하여 확인 바람</t>
    <phoneticPr fontId="34" type="noConversion"/>
  </si>
  <si>
    <t>상품명</t>
    <phoneticPr fontId="17" type="noConversion"/>
  </si>
  <si>
    <r>
      <rPr>
        <b/>
        <sz val="9"/>
        <color rgb="FFFF0000"/>
        <rFont val="맑은 고딕"/>
        <family val="3"/>
        <charset val="129"/>
      </rPr>
      <t>주계약</t>
    </r>
    <r>
      <rPr>
        <sz val="9"/>
        <rFont val="맑은 고딕"/>
        <family val="3"/>
        <charset val="129"/>
      </rPr>
      <t xml:space="preserve">
월납P</t>
    </r>
    <phoneticPr fontId="17" type="noConversion"/>
  </si>
  <si>
    <t>Com. Rate</t>
    <phoneticPr fontId="17" type="noConversion"/>
  </si>
  <si>
    <t>SC(환산)</t>
    <phoneticPr fontId="16" type="noConversion"/>
  </si>
  <si>
    <t>PB</t>
    <phoneticPr fontId="17" type="noConversion"/>
  </si>
  <si>
    <t>PC(익월)</t>
    <phoneticPr fontId="17" type="noConversion"/>
  </si>
  <si>
    <t>PC(2개월후)</t>
    <phoneticPr fontId="17" type="noConversion"/>
  </si>
  <si>
    <t>BC</t>
    <phoneticPr fontId="17" type="noConversion"/>
  </si>
  <si>
    <t>본사수수료</t>
    <phoneticPr fontId="17" type="noConversion"/>
  </si>
  <si>
    <t>본부장</t>
    <phoneticPr fontId="17" type="noConversion"/>
  </si>
  <si>
    <t>일반지점장</t>
    <phoneticPr fontId="17" type="noConversion"/>
  </si>
  <si>
    <t>팀장</t>
    <phoneticPr fontId="17" type="noConversion"/>
  </si>
  <si>
    <t>위촉FC</t>
    <phoneticPr fontId="17" type="noConversion"/>
  </si>
  <si>
    <t>기준</t>
    <phoneticPr fontId="17" type="noConversion"/>
  </si>
  <si>
    <t>환산율</t>
    <phoneticPr fontId="17" type="noConversion"/>
  </si>
  <si>
    <t>총량</t>
    <phoneticPr fontId="17" type="noConversion"/>
  </si>
  <si>
    <t>1회
(2~6회先)</t>
    <phoneticPr fontId="17" type="noConversion"/>
  </si>
  <si>
    <t>1차년합계</t>
    <phoneticPr fontId="17" type="noConversion"/>
  </si>
  <si>
    <t>2차년도</t>
    <phoneticPr fontId="17" type="noConversion"/>
  </si>
  <si>
    <t>3차년도</t>
    <phoneticPr fontId="17" type="noConversion"/>
  </si>
  <si>
    <t>익월</t>
    <phoneticPr fontId="17" type="noConversion"/>
  </si>
  <si>
    <t>1차년
(익월포함)</t>
    <phoneticPr fontId="17" type="noConversion"/>
  </si>
  <si>
    <t>총계</t>
    <phoneticPr fontId="17" type="noConversion"/>
  </si>
  <si>
    <t>(무)실버플랜 VUL Ⅴ</t>
    <phoneticPr fontId="17" type="noConversion"/>
  </si>
  <si>
    <t>30만이상</t>
    <phoneticPr fontId="17" type="noConversion"/>
  </si>
  <si>
    <t>20년납이상</t>
    <phoneticPr fontId="17" type="noConversion"/>
  </si>
  <si>
    <t>(무)키즈플랜 VUL IX</t>
    <phoneticPr fontId="17" type="noConversion"/>
  </si>
  <si>
    <t>6년납이상</t>
    <phoneticPr fontId="17" type="noConversion"/>
  </si>
  <si>
    <t>3. 수수료 항목별 익월 지급 기준 : Production Bonus , Base Commission(6개월분), Partnership Commission ▶ 총 3개 항목이며 아래 기준으로 예시함</t>
    <phoneticPr fontId="17" type="noConversion"/>
  </si>
  <si>
    <t xml:space="preserve"> ① 상품군별 지급 횟수 : 상품군에 상관 없이 전 종목 3차년도까지 지급하며, 6개월 선지급으로 비례수수료는 7~36회까지 지급됨</t>
    <phoneticPr fontId="17" type="noConversion"/>
  </si>
  <si>
    <t xml:space="preserve"> ① 최저 보장제 미적용 : 정산실적, 유지율 및 기타 조건은 실제 지급 기준과 연동하여 적용 </t>
    <phoneticPr fontId="17" type="noConversion"/>
  </si>
  <si>
    <t xml:space="preserve">▶ 지급액 : SC * 155%(총량) / 총량을 1차년도 60%, 2차년도 20%, 3차년도 20%로 나누어 지급 </t>
    <phoneticPr fontId="17" type="noConversion"/>
  </si>
  <si>
    <r>
      <t xml:space="preserve">    즉, </t>
    </r>
    <r>
      <rPr>
        <b/>
        <sz val="9"/>
        <color indexed="12"/>
        <rFont val="맑은 고딕"/>
        <family val="3"/>
        <charset val="129"/>
      </rPr>
      <t>1차년도 :</t>
    </r>
    <r>
      <rPr>
        <sz val="9"/>
        <color indexed="12"/>
        <rFont val="맑은 고딕"/>
        <family val="3"/>
        <charset val="129"/>
      </rPr>
      <t xml:space="preserve"> SC * 155% * 60%를 8.3%씩 1차월(1~6차월先), 7~12회 각월 지급(12차월 8.7%),</t>
    </r>
    <phoneticPr fontId="16" type="noConversion"/>
  </si>
  <si>
    <r>
      <t xml:space="preserve">        </t>
    </r>
    <r>
      <rPr>
        <b/>
        <sz val="9"/>
        <color indexed="12"/>
        <rFont val="맑은 고딕"/>
        <family val="3"/>
        <charset val="129"/>
      </rPr>
      <t>2~3차년도 :</t>
    </r>
    <r>
      <rPr>
        <sz val="9"/>
        <color indexed="12"/>
        <rFont val="맑은 고딕"/>
        <family val="3"/>
        <charset val="129"/>
      </rPr>
      <t xml:space="preserve"> SC * 155% * 40%를 24개월로 나누어 매달 지급 </t>
    </r>
    <phoneticPr fontId="16" type="noConversion"/>
  </si>
  <si>
    <t>▶ 지급 방식 : 익월 先지급 (1회 지급)</t>
    <phoneticPr fontId="17" type="noConversion"/>
  </si>
  <si>
    <t>100백만↑</t>
    <phoneticPr fontId="17" type="noConversion"/>
  </si>
  <si>
    <t>0%이상</t>
    <phoneticPr fontId="34" type="noConversion"/>
  </si>
  <si>
    <t>-5%이상</t>
    <phoneticPr fontId="17" type="noConversion"/>
  </si>
  <si>
    <t>초회는 6개월 선지급으로 6회분(SC의 약46%)이 지급됨</t>
    <phoneticPr fontId="16" type="noConversion"/>
  </si>
  <si>
    <t>▶ NSC구간별 지급율</t>
    <phoneticPr fontId="17" type="noConversion"/>
  </si>
  <si>
    <t>당월NSC</t>
    <phoneticPr fontId="17" type="noConversion"/>
  </si>
  <si>
    <t>지급율</t>
    <phoneticPr fontId="17" type="noConversion"/>
  </si>
  <si>
    <t>▶ 지급 방식 : 6개월 先지급 (유지는 7차월부터 지급하며 36차월 까지 지급됨)</t>
    <phoneticPr fontId="17" type="noConversion"/>
  </si>
  <si>
    <t>35백만↑</t>
  </si>
  <si>
    <t>25백만↑</t>
  </si>
  <si>
    <t>15백만↑</t>
  </si>
  <si>
    <t>7백만미만</t>
  </si>
  <si>
    <t>ZERO 제외</t>
  </si>
  <si>
    <t>상품명</t>
    <phoneticPr fontId="17" type="noConversion"/>
  </si>
  <si>
    <r>
      <rPr>
        <b/>
        <sz val="9"/>
        <color rgb="FFFF0000"/>
        <rFont val="맑은 고딕"/>
        <family val="3"/>
        <charset val="129"/>
      </rPr>
      <t>주계약</t>
    </r>
    <r>
      <rPr>
        <sz val="9"/>
        <rFont val="맑은 고딕"/>
        <family val="3"/>
        <charset val="129"/>
      </rPr>
      <t xml:space="preserve">
월납P</t>
    </r>
    <phoneticPr fontId="17" type="noConversion"/>
  </si>
  <si>
    <t>환산P</t>
    <phoneticPr fontId="17" type="noConversion"/>
  </si>
  <si>
    <t>본부장</t>
    <phoneticPr fontId="17" type="noConversion"/>
  </si>
  <si>
    <t>일반지점장</t>
    <phoneticPr fontId="17" type="noConversion"/>
  </si>
  <si>
    <t>팀장</t>
    <phoneticPr fontId="17" type="noConversion"/>
  </si>
  <si>
    <t>익월</t>
    <phoneticPr fontId="17" type="noConversion"/>
  </si>
  <si>
    <t>1차년
(익월포함)</t>
    <phoneticPr fontId="17" type="noConversion"/>
  </si>
  <si>
    <t>총계</t>
    <phoneticPr fontId="17" type="noConversion"/>
  </si>
  <si>
    <t xml:space="preserve"> &lt; 세부 사항 안내 &gt;</t>
    <phoneticPr fontId="17" type="noConversion"/>
  </si>
  <si>
    <t xml:space="preserve"> ② 환산 기준 : 납기에 따른 주계약의 월납영수보험료를 기준으로 예시하였으며, 실제 설계시 보험료 및 특약별로 적용되는 환산이 다를 수 있으므로, </t>
    <phoneticPr fontId="17" type="noConversion"/>
  </si>
  <si>
    <t>3. 수수료 항목별 선지급 기준</t>
    <phoneticPr fontId="17" type="noConversion"/>
  </si>
  <si>
    <t xml:space="preserve"> ① 先지급 항목 : 신계약 관리(6개월 선지급)</t>
    <phoneticPr fontId="17" type="noConversion"/>
  </si>
  <si>
    <t>인증지점장</t>
    <phoneticPr fontId="17" type="noConversion"/>
  </si>
  <si>
    <t>1. 업적 관련 용어 정의</t>
    <phoneticPr fontId="17" type="noConversion"/>
  </si>
  <si>
    <t>항  목</t>
    <phoneticPr fontId="17" type="noConversion"/>
  </si>
  <si>
    <t>용어 정의</t>
    <phoneticPr fontId="17" type="noConversion"/>
  </si>
  <si>
    <t>비  고</t>
    <phoneticPr fontId="17" type="noConversion"/>
  </si>
  <si>
    <t>환산성적</t>
    <phoneticPr fontId="17" type="noConversion"/>
  </si>
  <si>
    <t>정산성적</t>
    <phoneticPr fontId="17" type="noConversion"/>
  </si>
  <si>
    <t>위촉FC</t>
    <phoneticPr fontId="17" type="noConversion"/>
  </si>
  <si>
    <t>상품군</t>
    <phoneticPr fontId="109" type="noConversion"/>
  </si>
  <si>
    <t>기준</t>
    <phoneticPr fontId="17" type="noConversion"/>
  </si>
  <si>
    <t>환산율</t>
    <phoneticPr fontId="17" type="noConversion"/>
  </si>
  <si>
    <t>납입초회보험료(납초P)</t>
    <phoneticPr fontId="17" type="noConversion"/>
  </si>
  <si>
    <t>납입 방법별 초회보험료의 합계로 순수월납P + 非월납P(일시납 포함)</t>
    <phoneticPr fontId="17" type="noConversion"/>
  </si>
  <si>
    <t>월납초회보험료(월초P)</t>
    <phoneticPr fontId="17" type="noConversion"/>
  </si>
  <si>
    <t>납입 방법이 순수 월납인 계약의 초회 보험료</t>
    <phoneticPr fontId="17" type="noConversion"/>
  </si>
  <si>
    <t>납입 방법이 순수 월납인 계약의 초회보험료</t>
    <phoneticPr fontId="17" type="noConversion"/>
  </si>
  <si>
    <t>비월납</t>
    <phoneticPr fontId="17" type="noConversion"/>
  </si>
  <si>
    <t>3월납 + 6월납 + 년납 + 일시납</t>
    <phoneticPr fontId="17" type="noConversion"/>
  </si>
  <si>
    <t>월납기준보험료</t>
    <phoneticPr fontId="17" type="noConversion"/>
  </si>
  <si>
    <t>납입방법별 초회보험료를 월납기준으로 환산한 보험료</t>
    <phoneticPr fontId="17" type="noConversion"/>
  </si>
  <si>
    <t>환산율 : 3월납 34% / 6월납 18% / 년납 9% / 일시납 2%</t>
    <phoneticPr fontId="17" type="noConversion"/>
  </si>
  <si>
    <t>▶ 납입초회 보험료 * 납입방법별 환산율</t>
    <phoneticPr fontId="17" type="noConversion"/>
  </si>
  <si>
    <t>2. 효율 관련 용어 정의</t>
    <phoneticPr fontId="17" type="noConversion"/>
  </si>
  <si>
    <t>용   도</t>
    <phoneticPr fontId="17" type="noConversion"/>
  </si>
  <si>
    <t>회차 유지율</t>
    <phoneticPr fontId="17" type="noConversion"/>
  </si>
  <si>
    <t>특정회차에 산출되는 총 모집성적 대비 총 유지성적의 비율</t>
    <phoneticPr fontId="17" type="noConversion"/>
  </si>
  <si>
    <t>응당유지율 : 보험료 납입 해당월 기준</t>
    <phoneticPr fontId="17" type="noConversion"/>
  </si>
  <si>
    <t>▶ 철회, 반송, 해지, 무효, 사망보험금 지급 계약은 산출 대상에서 제외</t>
    <phoneticPr fontId="17" type="noConversion"/>
  </si>
  <si>
    <t>확정유지율 : 보험료 납입 유예월 기준</t>
    <phoneticPr fontId="17" type="noConversion"/>
  </si>
  <si>
    <t>표준 유지율</t>
    <phoneticPr fontId="17" type="noConversion"/>
  </si>
  <si>
    <t>25회 IQA 유지율 85%를 기준으로 운영</t>
    <phoneticPr fontId="17" type="noConversion"/>
  </si>
  <si>
    <t>성과수수료 평가시 적용</t>
    <phoneticPr fontId="17" type="noConversion"/>
  </si>
  <si>
    <t>▶ 영업 개시 차월 : 27차월이상 85%</t>
    <phoneticPr fontId="17" type="noConversion"/>
  </si>
  <si>
    <t>표준 IQA 유지율</t>
    <phoneticPr fontId="17" type="noConversion"/>
  </si>
  <si>
    <t>2~25회까지의 총 모집성적 계 대비 총 유지성적</t>
    <phoneticPr fontId="17" type="noConversion"/>
  </si>
  <si>
    <t>▶ IQA 유지율 = 2~25회 총 유지성적 / 2~25회 총 모집성적 * 100</t>
    <phoneticPr fontId="17" type="noConversion"/>
  </si>
  <si>
    <t>수금율</t>
    <phoneticPr fontId="17" type="noConversion"/>
  </si>
  <si>
    <t>해당월 총 수금자원 대비 수금실적의 비율</t>
    <phoneticPr fontId="17" type="noConversion"/>
  </si>
  <si>
    <t>▶ 수금율 = 수금실적/수금자원 * 100</t>
    <phoneticPr fontId="17" type="noConversion"/>
  </si>
  <si>
    <t>3. 성적 관련 용어 정의</t>
    <phoneticPr fontId="17" type="noConversion"/>
  </si>
  <si>
    <t>용 도   및   기 타</t>
    <phoneticPr fontId="17" type="noConversion"/>
  </si>
  <si>
    <t>상품별 월납기준보험료 * 상품별 환산율(주계약 및 특약별로 상이함)</t>
    <phoneticPr fontId="17" type="noConversion"/>
  </si>
  <si>
    <t>정산성적 평가시 적용</t>
    <phoneticPr fontId="17" type="noConversion"/>
  </si>
  <si>
    <t>당월 환산성적 - 미유지/해지/승환 환산성적 + 부활 환산성적</t>
    <phoneticPr fontId="17" type="noConversion"/>
  </si>
  <si>
    <t>▶ 미유지 환산성적 : 미유지계약 환산성적 * 상품군별 미유지 환수율</t>
    <phoneticPr fontId="17" type="noConversion"/>
  </si>
  <si>
    <t>상품군별 미유지 환수율 : 종신과 일반으로 구분 적용</t>
    <phoneticPr fontId="17" type="noConversion"/>
  </si>
  <si>
    <t>▶ 미유지계약 환산성적 : 전월 해약 및 감액, 당월 실효, 반송, 철회의 환산성적</t>
    <phoneticPr fontId="17" type="noConversion"/>
  </si>
  <si>
    <t>철회는 매월 18일 확정분까지 반영됨</t>
    <phoneticPr fontId="17" type="noConversion"/>
  </si>
  <si>
    <t>효율성적</t>
    <phoneticPr fontId="17" type="noConversion"/>
  </si>
  <si>
    <t>(상품별 월납기준 보험료 * 상품별 효율성적율) - 승환 효율성적</t>
    <phoneticPr fontId="17" type="noConversion"/>
  </si>
  <si>
    <t>계약관리 수수료 평가시 적용</t>
    <phoneticPr fontId="17" type="noConversion"/>
  </si>
  <si>
    <t>▶ 계약 건별 효율 성적 : 주보험 및 특약별로 부여된 성적</t>
    <phoneticPr fontId="17" type="noConversion"/>
  </si>
  <si>
    <t>승환계약</t>
    <phoneticPr fontId="16" type="noConversion"/>
  </si>
  <si>
    <t>4. 수수료 항목 및 지급 기준</t>
    <phoneticPr fontId="17" type="noConversion"/>
  </si>
  <si>
    <t>세 부 사 항</t>
    <phoneticPr fontId="17" type="noConversion"/>
  </si>
  <si>
    <t>지급 기준</t>
    <phoneticPr fontId="17" type="noConversion"/>
  </si>
  <si>
    <t>성과 수수료</t>
    <phoneticPr fontId="17" type="noConversion"/>
  </si>
  <si>
    <t xml:space="preserve">  ▶ 가산율 : 25회 IQA 유지율 기준 85%이상 5%</t>
    <phoneticPr fontId="17" type="noConversion"/>
  </si>
  <si>
    <r>
      <t>3백만↓ 255% /</t>
    </r>
    <r>
      <rPr>
        <b/>
        <sz val="9"/>
        <color rgb="FF0000FF"/>
        <rFont val="맑은 고딕"/>
        <family val="3"/>
        <charset val="129"/>
      </rPr>
      <t xml:space="preserve"> </t>
    </r>
    <r>
      <rPr>
        <sz val="9"/>
        <rFont val="맑은 고딕"/>
        <family val="3"/>
        <charset val="129"/>
      </rPr>
      <t>3백만↑ 360% / 5백만↑ 380%</t>
    </r>
    <r>
      <rPr>
        <b/>
        <sz val="9"/>
        <color rgb="FF0000FF"/>
        <rFont val="맑은 고딕"/>
        <family val="3"/>
        <charset val="129"/>
      </rPr>
      <t xml:space="preserve">
</t>
    </r>
    <r>
      <rPr>
        <sz val="9"/>
        <rFont val="맑은 고딕"/>
        <family val="3"/>
        <charset val="129"/>
      </rPr>
      <t>7백만↑ 400% / 1천만↑ 415% / 15백만↑ 420%</t>
    </r>
    <r>
      <rPr>
        <b/>
        <sz val="9"/>
        <color indexed="12"/>
        <rFont val="맑은 고딕"/>
        <family val="3"/>
        <charset val="129"/>
      </rPr>
      <t xml:space="preserve"> </t>
    </r>
    <r>
      <rPr>
        <sz val="9"/>
        <rFont val="맑은 고딕"/>
        <family val="3"/>
        <charset val="129"/>
      </rPr>
      <t>/ 2천만↑ 425%</t>
    </r>
    <phoneticPr fontId="17" type="noConversion"/>
  </si>
  <si>
    <t xml:space="preserve">  ▶ 가감율 : 25회 IQA 유지율 기준 70%미만 -5%</t>
    <phoneticPr fontId="17" type="noConversion"/>
  </si>
  <si>
    <r>
      <rPr>
        <b/>
        <u/>
        <sz val="11"/>
        <color rgb="FF0000FF"/>
        <rFont val="맑은 고딕"/>
        <family val="3"/>
        <charset val="129"/>
      </rPr>
      <t>프라임 특별 지급구간 적용,</t>
    </r>
    <r>
      <rPr>
        <b/>
        <u/>
        <sz val="11"/>
        <color rgb="FFFF0000"/>
        <rFont val="맑은 고딕"/>
        <family val="3"/>
        <charset val="129"/>
      </rPr>
      <t xml:space="preserve"> 450% 보장지급</t>
    </r>
    <phoneticPr fontId="16" type="noConversion"/>
  </si>
  <si>
    <t>계약관리 수수료</t>
    <phoneticPr fontId="17" type="noConversion"/>
  </si>
  <si>
    <t>▶ 상품군별 지급률 : 종신 23% / 보장성 , 연금 21% / 기타 19%</t>
    <phoneticPr fontId="16" type="noConversion"/>
  </si>
  <si>
    <t>유지수수료</t>
    <phoneticPr fontId="17" type="noConversion"/>
  </si>
  <si>
    <t>저축성(연금포함) 상품에 한해 지급</t>
    <phoneticPr fontId="17" type="noConversion"/>
  </si>
  <si>
    <t>"변액적립보험 진심의차이"
수수료규정</t>
    <phoneticPr fontId="17" type="noConversion"/>
  </si>
  <si>
    <r>
      <t xml:space="preserve">유지수수료만 지급 / 매월 입금보험료에 월지급성적을 곱하여 산출, 유지회차 내 지급(최대 84회차 입금까지)
▶지급기준 :  입금보험료 * 월지급성적 * </t>
    </r>
    <r>
      <rPr>
        <sz val="9"/>
        <color rgb="FFFF0000"/>
        <rFont val="맑은 고딕"/>
        <family val="3"/>
        <charset val="129"/>
      </rPr>
      <t>지급율(130%)</t>
    </r>
    <r>
      <rPr>
        <sz val="9"/>
        <rFont val="맑은 고딕"/>
        <family val="3"/>
        <charset val="129"/>
      </rPr>
      <t xml:space="preserve">
(월지급성적은 환산율표에서 확인)</t>
    </r>
    <phoneticPr fontId="99" type="noConversion"/>
  </si>
  <si>
    <t>1. 업적 관련 용어 정의</t>
    <phoneticPr fontId="17" type="noConversion"/>
  </si>
  <si>
    <t>항  목</t>
    <phoneticPr fontId="17" type="noConversion"/>
  </si>
  <si>
    <t>용어 정의</t>
    <phoneticPr fontId="17" type="noConversion"/>
  </si>
  <si>
    <t>비고</t>
    <phoneticPr fontId="16" type="noConversion"/>
  </si>
  <si>
    <t>월납초회보험료</t>
    <phoneticPr fontId="17" type="noConversion"/>
  </si>
  <si>
    <t>신계약의 납입 방법중 월납인 경우의 초회 보험료</t>
    <phoneticPr fontId="17" type="noConversion"/>
  </si>
  <si>
    <t>월납기준보험료</t>
    <phoneticPr fontId="17" type="noConversion"/>
  </si>
  <si>
    <t>초회보험료를 월납기준으로 환산한 신계약 성적</t>
    <phoneticPr fontId="17" type="noConversion"/>
  </si>
  <si>
    <t>환산초회(환산P)</t>
    <phoneticPr fontId="17" type="noConversion"/>
  </si>
  <si>
    <t>신계약 건별 월납기준보험료 * 상품별 환산율(주계약 및 특약별로 상이함)</t>
    <phoneticPr fontId="17" type="noConversion"/>
  </si>
  <si>
    <t>정산초회(정산P)</t>
    <phoneticPr fontId="17" type="noConversion"/>
  </si>
  <si>
    <t>(환산초회P - 미유지 환수 - 기타 성적 환수 + 부활환산초회)</t>
    <phoneticPr fontId="17" type="noConversion"/>
  </si>
  <si>
    <t>2. 수수료 관련 기타 기준</t>
    <phoneticPr fontId="17" type="noConversion"/>
  </si>
  <si>
    <t>승환 계약</t>
    <phoneticPr fontId="17" type="noConversion"/>
  </si>
  <si>
    <t>▶타영업채널의 기존계약을 실효, 해약(감액포함), 해지한 후에 동일계약자 또는 동일 피보험자로 ±6개월 이내에 재가입한 신계약
▶ 대상범위 : FC↔GA채널간 : 기존계약신계약이 모두 본인모집계약일 경우 적용 / DM↔GA채널간 : 본인모집여부 상관없이 모든계약에 적용 /
                원계약이 36회차 이내 승환 적용 / 희망가득, 행복플랜, 라이프플랜재테크, 꿈이있는재테크 상품은 60회차 이내 승환 적용(품보, 민원해지는 회차무관)</t>
    <phoneticPr fontId="16" type="noConversion"/>
  </si>
  <si>
    <t>3. 수수료 항목 및 지급 기준</t>
    <phoneticPr fontId="17" type="noConversion"/>
  </si>
  <si>
    <t>세 부  사 항</t>
    <phoneticPr fontId="17" type="noConversion"/>
  </si>
  <si>
    <t>비  고</t>
    <phoneticPr fontId="17" type="noConversion"/>
  </si>
  <si>
    <t>지 급 회 차</t>
    <phoneticPr fontId="17" type="noConversion"/>
  </si>
  <si>
    <t>모집수수료</t>
    <phoneticPr fontId="17" type="noConversion"/>
  </si>
  <si>
    <t>▶ 기준 : 상품별 환산초회P *  20% (월납)</t>
    <phoneticPr fontId="16" type="noConversion"/>
  </si>
  <si>
    <t>비월납 및 일시납의 경우 별도 지급률 적용</t>
    <phoneticPr fontId="16" type="noConversion"/>
  </si>
  <si>
    <t>1회</t>
    <phoneticPr fontId="16" type="noConversion"/>
  </si>
  <si>
    <t>계약관리수수료</t>
    <phoneticPr fontId="17" type="noConversion"/>
  </si>
  <si>
    <t>▶ 기준 : 2~36회차 입금환산초회P * 상품별 지급률 * 납방별 지급계수</t>
    <phoneticPr fontId="16" type="noConversion"/>
  </si>
  <si>
    <r>
      <t xml:space="preserve">▶ </t>
    </r>
    <r>
      <rPr>
        <sz val="9"/>
        <color rgb="FF0000FF"/>
        <rFont val="맑은 고딕"/>
        <family val="3"/>
        <charset val="129"/>
      </rPr>
      <t>2~9회 총 8회 익월 선지급모집수수료로 지급</t>
    </r>
    <r>
      <rPr>
        <sz val="9"/>
        <rFont val="맑은 고딕"/>
        <family val="3"/>
        <charset val="129"/>
      </rPr>
      <t xml:space="preserve">
▶</t>
    </r>
    <r>
      <rPr>
        <b/>
        <sz val="9"/>
        <rFont val="맑은 고딕"/>
        <family val="3"/>
        <charset val="129"/>
      </rPr>
      <t xml:space="preserve"> 2~24회 연체건은 지급률의 80% 지급</t>
    </r>
    <r>
      <rPr>
        <sz val="9"/>
        <rFont val="맑은 고딕"/>
        <family val="3"/>
        <charset val="129"/>
      </rPr>
      <t xml:space="preserve">
▶ </t>
    </r>
    <r>
      <rPr>
        <b/>
        <sz val="9"/>
        <color rgb="FFFF0000"/>
        <rFont val="맑은 고딕"/>
        <family val="3"/>
        <charset val="129"/>
      </rPr>
      <t>카드납(실제 수금방법 기준) : 산출수수료의 70% 지급</t>
    </r>
    <r>
      <rPr>
        <sz val="9"/>
        <rFont val="맑은 고딕"/>
        <family val="3"/>
        <charset val="129"/>
      </rPr>
      <t xml:space="preserve">
▶ 보험금 지급건, 납입 면제건, 해촉자 미이관건은 수수료 不지급
▶ 선납건 지급 : 해당월 도래시에 해당 보험료로 인정 지급
▶ 부활건 지급 : 부활보험료중 해당월분은 해당 보험료로 기타는 연체보험료로 적용 지급
▶ 비월납 지급 : 월납 해당회차분 지급</t>
    </r>
    <phoneticPr fontId="17" type="noConversion"/>
  </si>
  <si>
    <t>35회</t>
    <phoneticPr fontId="16" type="noConversion"/>
  </si>
  <si>
    <t>회차</t>
    <phoneticPr fontId="16" type="noConversion"/>
  </si>
  <si>
    <t>종신</t>
    <phoneticPr fontId="16" type="noConversion"/>
  </si>
  <si>
    <t>보장</t>
    <phoneticPr fontId="16" type="noConversion"/>
  </si>
  <si>
    <t>연금/저축/VUL</t>
    <phoneticPr fontId="17" type="noConversion"/>
  </si>
  <si>
    <t>지급계수</t>
    <phoneticPr fontId="16" type="noConversion"/>
  </si>
  <si>
    <t>2~12회</t>
    <phoneticPr fontId="16" type="noConversion"/>
  </si>
  <si>
    <t>1월납 : 1
3월납 : 3
6월납 : 6
년납 : 12</t>
    <phoneticPr fontId="16" type="noConversion"/>
  </si>
  <si>
    <t>13~24회</t>
    <phoneticPr fontId="16" type="noConversion"/>
  </si>
  <si>
    <t>25~36회</t>
    <phoneticPr fontId="16" type="noConversion"/>
  </si>
  <si>
    <t>유지보너스수수료</t>
    <phoneticPr fontId="17" type="noConversion"/>
  </si>
  <si>
    <t>▶ 지급대상 : 정산초회P 1백만 이상시만 지급
▶ 통산유지율 산출은 규정 적용 후 모집분 계약부터 산출</t>
    <phoneticPr fontId="17" type="noConversion"/>
  </si>
  <si>
    <t>24회</t>
    <phoneticPr fontId="16" type="noConversion"/>
  </si>
  <si>
    <t>구분</t>
    <phoneticPr fontId="16" type="noConversion"/>
  </si>
  <si>
    <t>2~18회 통산유지율</t>
    <phoneticPr fontId="16" type="noConversion"/>
  </si>
  <si>
    <t>지급률</t>
    <phoneticPr fontId="16" type="noConversion"/>
  </si>
  <si>
    <t>성과수수료</t>
    <phoneticPr fontId="17" type="noConversion"/>
  </si>
  <si>
    <t xml:space="preserve">▶ 기준 : 정산초회P * 구간별 지급률 * 가삭감율 </t>
    <phoneticPr fontId="16" type="noConversion"/>
  </si>
  <si>
    <t>정산P 구간</t>
    <phoneticPr fontId="17" type="noConversion"/>
  </si>
  <si>
    <t>130백만↑</t>
    <phoneticPr fontId="17" type="noConversion"/>
  </si>
  <si>
    <t>100백만↑</t>
    <phoneticPr fontId="17" type="noConversion"/>
  </si>
  <si>
    <t>50백만↑</t>
    <phoneticPr fontId="17" type="noConversion"/>
  </si>
  <si>
    <t>30백만↑</t>
    <phoneticPr fontId="17" type="noConversion"/>
  </si>
  <si>
    <t>20백만↑</t>
    <phoneticPr fontId="17" type="noConversion"/>
  </si>
  <si>
    <t>10백만↑</t>
    <phoneticPr fontId="17" type="noConversion"/>
  </si>
  <si>
    <t>가삭감율 (2~13회차 통산유지율 지표(89%) 달성도에 따라 차등적용)</t>
    <phoneticPr fontId="16" type="noConversion"/>
  </si>
  <si>
    <t>지표대비</t>
    <phoneticPr fontId="17" type="noConversion"/>
  </si>
  <si>
    <t>지표이상</t>
    <phoneticPr fontId="17" type="noConversion"/>
  </si>
  <si>
    <t>0~-3%</t>
    <phoneticPr fontId="17" type="noConversion"/>
  </si>
  <si>
    <t>-3~-5%</t>
    <phoneticPr fontId="17" type="noConversion"/>
  </si>
  <si>
    <t>-5~-10%</t>
    <phoneticPr fontId="17" type="noConversion"/>
  </si>
  <si>
    <t>-10~-15%</t>
    <phoneticPr fontId="16" type="noConversion"/>
  </si>
  <si>
    <t>가삭감율</t>
    <phoneticPr fontId="17" type="noConversion"/>
  </si>
  <si>
    <t>(2~13 IQA) / 지표</t>
    <phoneticPr fontId="17" type="noConversion"/>
  </si>
  <si>
    <t>성과
수수료</t>
    <phoneticPr fontId="17" type="noConversion"/>
  </si>
  <si>
    <t>모집
수수료</t>
    <phoneticPr fontId="17" type="noConversion"/>
  </si>
  <si>
    <t>계약관리수수료</t>
    <phoneticPr fontId="17" type="noConversion"/>
  </si>
  <si>
    <t>유지
보너스</t>
    <phoneticPr fontId="17" type="noConversion"/>
  </si>
  <si>
    <t>10~12회</t>
    <phoneticPr fontId="17" type="noConversion"/>
  </si>
  <si>
    <t>13~24회</t>
    <phoneticPr fontId="17" type="noConversion"/>
  </si>
  <si>
    <t>25~36회</t>
    <phoneticPr fontId="17" type="noConversion"/>
  </si>
  <si>
    <t>13~36회</t>
    <phoneticPr fontId="16" type="noConversion"/>
  </si>
  <si>
    <t>보장</t>
    <phoneticPr fontId="109" type="noConversion"/>
  </si>
  <si>
    <t>홈케어암Ⅱ (15년갱신형/순수보장형)</t>
    <phoneticPr fontId="16" type="noConversion"/>
  </si>
  <si>
    <t>기준계약2천5백만/30~39세</t>
    <phoneticPr fontId="17" type="noConversion"/>
  </si>
  <si>
    <t>꿈나무자녀사랑</t>
    <phoneticPr fontId="16" type="noConversion"/>
  </si>
  <si>
    <t>20년납이상/1, 2형</t>
    <phoneticPr fontId="17" type="noConversion"/>
  </si>
  <si>
    <t>NEW하나로종합보장</t>
    <phoneticPr fontId="16" type="noConversion"/>
  </si>
  <si>
    <t>20년납이상</t>
    <phoneticPr fontId="17" type="noConversion"/>
  </si>
  <si>
    <t>종신/CI</t>
    <phoneticPr fontId="16" type="noConversion"/>
  </si>
  <si>
    <t>프리스타일 통합종신</t>
    <phoneticPr fontId="17" type="noConversion"/>
  </si>
  <si>
    <t>20년납이상/30~34세</t>
    <phoneticPr fontId="17" type="noConversion"/>
  </si>
  <si>
    <t>프리스타일 통합 CI</t>
    <phoneticPr fontId="17" type="noConversion"/>
  </si>
  <si>
    <t>연금</t>
    <phoneticPr fontId="16" type="noConversion"/>
  </si>
  <si>
    <t>리셋플러스변액연금/골든라이프연금</t>
    <phoneticPr fontId="16" type="noConversion"/>
  </si>
  <si>
    <t>10년납이상</t>
    <phoneticPr fontId="17" type="noConversion"/>
  </si>
  <si>
    <t>저축</t>
    <phoneticPr fontId="16" type="noConversion"/>
  </si>
  <si>
    <t>리셋플러스VUL</t>
    <phoneticPr fontId="16" type="noConversion"/>
  </si>
  <si>
    <t>기준계약 10백만</t>
    <phoneticPr fontId="17" type="noConversion"/>
  </si>
  <si>
    <t>라이프플랜재테크 (적립형/수익형)</t>
    <phoneticPr fontId="16" type="noConversion"/>
  </si>
  <si>
    <t>12년납</t>
    <phoneticPr fontId="31" type="noConversion"/>
  </si>
  <si>
    <t>일시납</t>
    <phoneticPr fontId="16" type="noConversion"/>
  </si>
  <si>
    <t>골든라이프연금</t>
    <phoneticPr fontId="16" type="noConversion"/>
  </si>
  <si>
    <t>비월납</t>
    <phoneticPr fontId="16" type="noConversion"/>
  </si>
  <si>
    <t>일시납</t>
    <phoneticPr fontId="31" type="noConversion"/>
  </si>
  <si>
    <t xml:space="preserve"> &lt; 세부 사항 안내 &gt;</t>
    <phoneticPr fontId="17" type="noConversion"/>
  </si>
  <si>
    <t>1. 작성 기준</t>
    <phoneticPr fontId="17" type="noConversion"/>
  </si>
  <si>
    <t xml:space="preserve"> ② 환산 기준 : 납기에 따른 주계약의 월납영수보험료를 기준으로 예시하였으며, 실제 설계시 보험료 및 특약별로 적용되는 환산이 다를 수 있으므로, </t>
    <phoneticPr fontId="17" type="noConversion"/>
  </si>
  <si>
    <t>2. 계약관리수수료 익월 先지급 기준 : 8개월 先지급</t>
    <phoneticPr fontId="17" type="noConversion"/>
  </si>
  <si>
    <t>3. 수수료 항목별 익월 지급 기준 : 성과 수수료, 모집수수료, 선지급계약관리수수료 ▶ 총 3개 항목</t>
    <phoneticPr fontId="17" type="noConversion"/>
  </si>
  <si>
    <t xml:space="preserve">4. 비고 : 상기 자료는 예시이므로 매월 마감 업적, 유지율 및 개별 상품 설계시의 실제 환산P등에 따라 추가 또는 감소되어 지급됨 </t>
    <phoneticPr fontId="17" type="noConversion"/>
  </si>
  <si>
    <t>인증지점장</t>
    <phoneticPr fontId="17" type="noConversion"/>
  </si>
  <si>
    <t>성과 Commission</t>
    <phoneticPr fontId="17" type="noConversion"/>
  </si>
  <si>
    <t>▶ 당월 NGAP 구간별 지급률</t>
    <phoneticPr fontId="34" type="noConversion"/>
  </si>
  <si>
    <t>2~9회
(익월선지급)</t>
    <phoneticPr fontId="16" type="noConversion"/>
  </si>
  <si>
    <t xml:space="preserve"> ① 최저보장제 적용 : 성과수수료는 정산P 1억3천구간으로 최저보장하며, 유지율 및 기타 조건등은 실제 지급 기준과 연동하여 적용됨</t>
    <phoneticPr fontId="17" type="noConversion"/>
  </si>
  <si>
    <t xml:space="preserve">                                 예시 기준은 총환산월초 5천만원 이상 , 유지율 82% 이상 구간으로 예시함</t>
    <phoneticPr fontId="17" type="noConversion"/>
  </si>
  <si>
    <t>50백만이상</t>
    <phoneticPr fontId="17" type="noConversion"/>
  </si>
  <si>
    <t>20백만이상</t>
    <phoneticPr fontId="17" type="noConversion"/>
  </si>
  <si>
    <r>
      <t xml:space="preserve">▶ 지급 방식 : 당월 산출액의 50% 를 지급 , 잔여액은 2개월 후 지급
▶ 유지율 적용 : 전월 18회 IQA 유지율과 직전 3개월 통산 18회 IQA 유지율중 유리한 지표
▶ 지급액 : 당월NSC*NSC구간별지급율*유지가감율
</t>
    </r>
    <r>
      <rPr>
        <b/>
        <sz val="9"/>
        <color rgb="FF0000FF"/>
        <rFont val="맑은 고딕"/>
        <family val="3"/>
        <charset val="129"/>
      </rPr>
      <t xml:space="preserve">
  테이블 예시는 NSC 5천만 이상 , 유지율 82% 이상 구간으로 예시함</t>
    </r>
    <phoneticPr fontId="17" type="noConversion"/>
  </si>
  <si>
    <t xml:space="preserve"> ▶ PB : 당월 NSC(정산실적)의 50% / BC : 6차월분(상품별 환산 성적에 따라 차등) / PC(유지율 우대) : NSC의 10.5%로 예시</t>
    <phoneticPr fontId="17" type="noConversion"/>
  </si>
  <si>
    <t>10백만이상</t>
    <phoneticPr fontId="17" type="noConversion"/>
  </si>
  <si>
    <t>+3%이상</t>
    <phoneticPr fontId="34" type="noConversion"/>
  </si>
  <si>
    <t>PB
(Production Bonus)</t>
    <phoneticPr fontId="17" type="noConversion"/>
  </si>
  <si>
    <t>PC
(Partnership Commission)</t>
    <phoneticPr fontId="17" type="noConversion"/>
  </si>
  <si>
    <t>BC
(Base Commission)</t>
    <phoneticPr fontId="17" type="noConversion"/>
  </si>
  <si>
    <t xml:space="preserve">VUL </t>
    <phoneticPr fontId="17" type="noConversion"/>
  </si>
  <si>
    <t>THE 좋은 변액유니버셜보험</t>
    <phoneticPr fontId="17" type="noConversion"/>
  </si>
  <si>
    <t>업적월 기준으로 3개월 전후 사이에, 동일 계약자 또는 피보험자 명의의 기존 계약 실효, 해약, 감액된 경우는 성적 및 수수료 100% 차감</t>
    <phoneticPr fontId="17" type="noConversion"/>
  </si>
  <si>
    <t>해지, 또는 납입회차 24회차 이전 계약을 해약 후 업적월 기준으로 3개월 전후 사이에  동일 계약자 또는 피보험자 명의의 신계약 가입시 성적 및 수수료 100% 차감</t>
    <phoneticPr fontId="16" type="noConversion"/>
  </si>
  <si>
    <t>승환계약으로 판정시 성적 및 수수료 100% 차감</t>
    <phoneticPr fontId="16" type="noConversion"/>
  </si>
  <si>
    <t>동일 계약자 또는 동일 피보험자로 성립된 신계약 (기존계약 해약 후 6개월이내 신계약이 성립되거나 신계약 성립 후 6개월이내 기존계약이 해약된 경우에 한함)
승환계약을 판명시 성적 및 수수료 100% 차감</t>
    <phoneticPr fontId="99" type="noConversion"/>
  </si>
  <si>
    <t>기존계약의 실효,해약,감액 후 업적월 기준으로 6개월 전후 사이에  동일 계약자 또는 피보험자 명의로 동일 상품군 신계약 가입시 성적 및 수수료 100% 환수</t>
    <phoneticPr fontId="16" type="noConversion"/>
  </si>
  <si>
    <t>신계약 가입월도 전,후 3개월이내 기존 보험계약(24개월이내)이 해지 등 소멸된 경우의 신계약</t>
    <phoneticPr fontId="17" type="noConversion"/>
  </si>
  <si>
    <t>승환(대체)계약 및 부당추정계약으로 판명시 성적 및 수수료 100% 차감</t>
    <phoneticPr fontId="34" type="noConversion"/>
  </si>
  <si>
    <t xml:space="preserve">모든 계약의 마감전,후 청약철회, 무효(해지)처리월 및 전,후 1개월이내 타 모집자로 재가입되는 신계약 </t>
    <phoneticPr fontId="16" type="noConversion"/>
  </si>
  <si>
    <r>
      <rPr>
        <b/>
        <sz val="9"/>
        <color rgb="FF0000FF"/>
        <rFont val="맑은 고딕"/>
        <family val="3"/>
        <charset val="129"/>
      </rPr>
      <t>4백만미만 140%</t>
    </r>
    <r>
      <rPr>
        <sz val="9"/>
        <rFont val="맑은 고딕"/>
        <family val="3"/>
        <charset val="129"/>
      </rPr>
      <t xml:space="preserve"> /</t>
    </r>
    <r>
      <rPr>
        <b/>
        <sz val="9"/>
        <color rgb="FF0000FF"/>
        <rFont val="맑은 고딕"/>
        <family val="3"/>
        <charset val="129"/>
      </rPr>
      <t xml:space="preserve"> </t>
    </r>
    <r>
      <rPr>
        <sz val="9"/>
        <rFont val="맑은 고딕"/>
        <family val="3"/>
        <charset val="129"/>
      </rPr>
      <t>4백만↑ 170%</t>
    </r>
    <r>
      <rPr>
        <b/>
        <sz val="9"/>
        <color rgb="FF0000FF"/>
        <rFont val="맑은 고딕"/>
        <family val="3"/>
        <charset val="129"/>
      </rPr>
      <t xml:space="preserve"> </t>
    </r>
    <r>
      <rPr>
        <sz val="9"/>
        <rFont val="맑은 고딕"/>
        <family val="3"/>
        <charset val="129"/>
      </rPr>
      <t>/ 10백만↑ 200% / 20백만↑ 220%</t>
    </r>
    <phoneticPr fontId="17" type="noConversion"/>
  </si>
  <si>
    <t xml:space="preserve">   관련 환산율 자료는 &lt;팜스 공지사항 → 일반공지&gt; 에서 "환산"검색하여 확인하실 수 있습니다.</t>
    <phoneticPr fontId="99" type="noConversion"/>
  </si>
  <si>
    <t xml:space="preserve"> ① 최저 보장제 미적용 : 성과 Commission 은 NGAP 4백만 미만구간 140%로 예시하며 ,유지율 및 기타 조건등은 실제 지급 기준과 연동하여 적용됨</t>
    <phoneticPr fontId="34" type="noConversion"/>
  </si>
  <si>
    <t>(무)스마트/라이프/VIP플랜VUL종신</t>
    <phoneticPr fontId="17" type="noConversion"/>
  </si>
  <si>
    <t>(무)미리받는 변액 종신보험</t>
    <phoneticPr fontId="17" type="noConversion"/>
  </si>
  <si>
    <t>20년납이상</t>
    <phoneticPr fontId="17" type="noConversion"/>
  </si>
  <si>
    <t>※ (무)하이Start연금보험 : 환산성적 없음 -&gt; 수수료규정 : 월납보험료 * 1.9%(3년납)  /  2.0%(5년납)  /  2.1%(7년납)  /  3.0%(10년납↑) , 지급기간 : Min(납기,7년)</t>
  </si>
  <si>
    <t>1. 성적 관련 용어 정의</t>
    <phoneticPr fontId="17" type="noConversion"/>
  </si>
  <si>
    <t>항  목</t>
    <phoneticPr fontId="17" type="noConversion"/>
  </si>
  <si>
    <t>용어 정의</t>
    <phoneticPr fontId="17" type="noConversion"/>
  </si>
  <si>
    <t>비  고</t>
    <phoneticPr fontId="17" type="noConversion"/>
  </si>
  <si>
    <t>환산보험료(환산)</t>
    <phoneticPr fontId="17" type="noConversion"/>
  </si>
  <si>
    <t>신계약 성적에 대한 상품별 비교지표를 설정하기 위하여 
월납기준 보험료를 예정 신계약비 규모에 비례하여 환산한 금액</t>
    <phoneticPr fontId="17" type="noConversion"/>
  </si>
  <si>
    <t>용도 : 유지율, 정산 산출, 계약관리 수수료 지급기준</t>
    <phoneticPr fontId="16" type="noConversion"/>
  </si>
  <si>
    <t>정산보험료(정산)</t>
    <phoneticPr fontId="17" type="noConversion"/>
  </si>
  <si>
    <t>수수료 지급기준 : 초년도 모집환산P - 환수환산P - 부활환산P - 승환 )</t>
    <phoneticPr fontId="17" type="noConversion"/>
  </si>
  <si>
    <t>2. 2~13회 통산유지율에 따른 생산성 비례 가삭감 비율(성과수수료)</t>
    <phoneticPr fontId="17" type="noConversion"/>
  </si>
  <si>
    <t>가삭감 지급액</t>
    <phoneticPr fontId="16" type="noConversion"/>
  </si>
  <si>
    <t>+10%</t>
    <phoneticPr fontId="16" type="noConversion"/>
  </si>
  <si>
    <t>-10%</t>
    <phoneticPr fontId="16" type="noConversion"/>
  </si>
  <si>
    <t>-30%</t>
    <phoneticPr fontId="16" type="noConversion"/>
  </si>
  <si>
    <t>유지율</t>
    <phoneticPr fontId="16" type="noConversion"/>
  </si>
  <si>
    <t>12차월 이하</t>
    <phoneticPr fontId="16" type="noConversion"/>
  </si>
  <si>
    <t>90%이상</t>
    <phoneticPr fontId="16" type="noConversion"/>
  </si>
  <si>
    <t>85%이상</t>
    <phoneticPr fontId="16" type="noConversion"/>
  </si>
  <si>
    <t>80%이상</t>
    <phoneticPr fontId="16" type="noConversion"/>
  </si>
  <si>
    <t>75%이상</t>
    <phoneticPr fontId="16" type="noConversion"/>
  </si>
  <si>
    <t>13차월 이상</t>
    <phoneticPr fontId="16" type="noConversion"/>
  </si>
  <si>
    <t>70%이상</t>
    <phoneticPr fontId="16" type="noConversion"/>
  </si>
  <si>
    <t>3. 상품구분</t>
    <phoneticPr fontId="17" type="noConversion"/>
  </si>
  <si>
    <t>단기(저축성)상품</t>
    <phoneticPr fontId="16" type="noConversion"/>
  </si>
  <si>
    <t>신한재테크UP저축, 신한 BIG플러스저축, 신한든든연금II, 신한아이사랑연금II, 신한BIG LIFE변액연금II, 신한아이사랑변액연금II, 3대질병납입면제변액연금, 신한참연금저축 등 저축성 상품(상품추가/삭제될 수 있음)</t>
    <phoneticPr fontId="16" type="noConversion"/>
  </si>
  <si>
    <t>중장기상품</t>
    <phoneticPr fontId="99" type="noConversion"/>
  </si>
  <si>
    <t>단기(저축성) 상품을 제외한 전상품</t>
    <phoneticPr fontId="99" type="noConversion"/>
  </si>
  <si>
    <t>금융형상픔</t>
    <phoneticPr fontId="16" type="noConversion"/>
  </si>
  <si>
    <t>단기(저축성) 상품 거치형(일시납)의 총칭</t>
    <phoneticPr fontId="99" type="noConversion"/>
  </si>
  <si>
    <t>4. 승환규정</t>
    <phoneticPr fontId="17" type="noConversion"/>
  </si>
  <si>
    <t>규정</t>
    <phoneticPr fontId="17" type="noConversion"/>
  </si>
  <si>
    <t>승환</t>
    <phoneticPr fontId="17" type="noConversion"/>
  </si>
  <si>
    <t>신계약 가입월 전/후 6개월이내, 동일한 계약자나 피보험자의 보험계약이 미유지 된 경우 : 성적 및 수수료 100% 차감</t>
    <phoneticPr fontId="17" type="noConversion"/>
  </si>
  <si>
    <t>불건전계약</t>
    <phoneticPr fontId="17" type="noConversion"/>
  </si>
  <si>
    <t>동일 계약자나 피보험자를 대상으로 청약철회, 품질보증해지, 민원해지 당월포함 전후 3개월 내 체결한 신계약 : 성적 및 수수료 100% 차감 / 판정시점 : 신계약 성립 4차월 이후</t>
    <phoneticPr fontId="16" type="noConversion"/>
  </si>
  <si>
    <t>5. 수수료 항목 및 지급 기준</t>
    <phoneticPr fontId="17" type="noConversion"/>
  </si>
  <si>
    <t>계 산 식</t>
    <phoneticPr fontId="17" type="noConversion"/>
  </si>
  <si>
    <t>지급 기준</t>
    <phoneticPr fontId="17" type="noConversion"/>
  </si>
  <si>
    <t>성과수수료</t>
    <phoneticPr fontId="17" type="noConversion"/>
  </si>
  <si>
    <t>▶ 지급액 : 당월 정산P * (생산성비례*보장성상품 점유율 차등) * (2~13회 통산유지율 가삭감)
※2~13회 통산유지율 70%(12차월 이하자는 75%)미만시 부지급</t>
    <phoneticPr fontId="17" type="noConversion"/>
  </si>
  <si>
    <t>당월정산P</t>
    <phoneticPr fontId="16" type="noConversion"/>
  </si>
  <si>
    <t>1백만↑</t>
    <phoneticPr fontId="16" type="noConversion"/>
  </si>
  <si>
    <t>10백만↑</t>
    <phoneticPr fontId="16" type="noConversion"/>
  </si>
  <si>
    <t>20백만↑</t>
    <phoneticPr fontId="16" type="noConversion"/>
  </si>
  <si>
    <t>30백만↑</t>
    <phoneticPr fontId="16" type="noConversion"/>
  </si>
  <si>
    <t>생산성비례율</t>
    <phoneticPr fontId="16" type="noConversion"/>
  </si>
  <si>
    <t xml:space="preserve">  ▶ 종신보험 우대 : 당월 종신보험 정산P * 60%</t>
    <phoneticPr fontId="99" type="noConversion"/>
  </si>
  <si>
    <t>고능율 우대수수료</t>
    <phoneticPr fontId="17" type="noConversion"/>
  </si>
  <si>
    <t>정산P</t>
    <phoneticPr fontId="16" type="noConversion"/>
  </si>
  <si>
    <t>10백만 초과</t>
    <phoneticPr fontId="16" type="noConversion"/>
  </si>
  <si>
    <t>30백만 초과</t>
    <phoneticPr fontId="16" type="noConversion"/>
  </si>
  <si>
    <t>50백만 초과</t>
    <phoneticPr fontId="16" type="noConversion"/>
  </si>
  <si>
    <t>초과분 10%</t>
    <phoneticPr fontId="16" type="noConversion"/>
  </si>
  <si>
    <t>2백만 + 초과분 30%</t>
    <phoneticPr fontId="16" type="noConversion"/>
  </si>
  <si>
    <t>8백만 + 초과분 50%</t>
    <phoneticPr fontId="16" type="noConversion"/>
  </si>
  <si>
    <t>모집수수료</t>
    <phoneticPr fontId="17" type="noConversion"/>
  </si>
  <si>
    <t>구분</t>
    <phoneticPr fontId="16" type="noConversion"/>
  </si>
  <si>
    <t>▶비월납의 경우 해당회차 계약관리수수료 미발생</t>
    <phoneticPr fontId="16" type="noConversion"/>
  </si>
  <si>
    <t>보장성</t>
    <phoneticPr fontId="16" type="noConversion"/>
  </si>
  <si>
    <t>▶일시납 수수료 :  보장성보험 - 초년도환산P * 360% / 저축성보험 - 납초P * 2.5% (단, 즉시연금은 1.5%)</t>
    <phoneticPr fontId="99" type="noConversion"/>
  </si>
  <si>
    <t>저축성</t>
    <phoneticPr fontId="99" type="noConversion"/>
  </si>
  <si>
    <t>계약관리 수수료</t>
    <phoneticPr fontId="17" type="noConversion"/>
  </si>
  <si>
    <r>
      <t xml:space="preserve">▶ 종신 : 환산P * 지급률 , </t>
    </r>
    <r>
      <rPr>
        <sz val="9"/>
        <color rgb="FFFF0000"/>
        <rFont val="맑은 고딕"/>
        <family val="3"/>
        <charset val="129"/>
      </rPr>
      <t>2회~6회 익월 선지급</t>
    </r>
    <r>
      <rPr>
        <sz val="9"/>
        <rFont val="맑은 고딕"/>
        <family val="3"/>
        <charset val="129"/>
      </rPr>
      <t xml:space="preserve">
▶ 종신 외 지급액 : (2회이후)환산P * 지급률
(비월납의 경우는 월납기준 지급회차임,
</t>
    </r>
    <r>
      <rPr>
        <sz val="9"/>
        <color rgb="FFFF0000"/>
        <rFont val="맑은 고딕"/>
        <family val="3"/>
        <charset val="129"/>
      </rPr>
      <t>연체시 산출액의 80% 지급,</t>
    </r>
    <r>
      <rPr>
        <sz val="9"/>
        <rFont val="맑은 고딕"/>
        <family val="3"/>
        <charset val="129"/>
      </rPr>
      <t xml:space="preserve">
수금 미이관시 산출액의 80% 지급,
타법인대리점 모집계약 제외)</t>
    </r>
    <phoneticPr fontId="99" type="noConversion"/>
  </si>
  <si>
    <t>종신보험</t>
    <phoneticPr fontId="99" type="noConversion"/>
  </si>
  <si>
    <t>기타보장성</t>
    <phoneticPr fontId="99" type="noConversion"/>
  </si>
  <si>
    <t>초년도</t>
    <phoneticPr fontId="99" type="noConversion"/>
  </si>
  <si>
    <t>1회</t>
    <phoneticPr fontId="99" type="noConversion"/>
  </si>
  <si>
    <t>-</t>
    <phoneticPr fontId="99" type="noConversion"/>
  </si>
  <si>
    <t>2~6회</t>
    <phoneticPr fontId="99" type="noConversion"/>
  </si>
  <si>
    <t>7~12회</t>
    <phoneticPr fontId="99" type="noConversion"/>
  </si>
  <si>
    <t>2차년도</t>
    <phoneticPr fontId="99" type="noConversion"/>
  </si>
  <si>
    <t>13~24회</t>
    <phoneticPr fontId="99" type="noConversion"/>
  </si>
  <si>
    <t>3차년도</t>
    <phoneticPr fontId="99" type="noConversion"/>
  </si>
  <si>
    <t>25~36회</t>
    <phoneticPr fontId="99" type="noConversion"/>
  </si>
  <si>
    <t>퀄리티 수수료</t>
    <phoneticPr fontId="17" type="noConversion"/>
  </si>
  <si>
    <t>▶ 지급방법 :  13~36회 보험료 입금시 지급 (VUL, 저축상품은 13~24회까지 지급)
▶ 지급액 : 회차별 환산P * 지급률 * 유지율 가삭감비율
※유지율요건 : 2~25회 통산유지율에 따른 차등지급
※타대리점 모집계약 제외</t>
    <phoneticPr fontId="99" type="noConversion"/>
  </si>
  <si>
    <t>13~24회차</t>
    <phoneticPr fontId="16" type="noConversion"/>
  </si>
  <si>
    <t>26~36회차</t>
    <phoneticPr fontId="16" type="noConversion"/>
  </si>
  <si>
    <t>2차년환산P * 43%</t>
    <phoneticPr fontId="99" type="noConversion"/>
  </si>
  <si>
    <t>3차년환산P * 50%</t>
    <phoneticPr fontId="99" type="noConversion"/>
  </si>
  <si>
    <t>종신</t>
    <phoneticPr fontId="16" type="noConversion"/>
  </si>
  <si>
    <t>2차년환산P * 100%</t>
    <phoneticPr fontId="99" type="noConversion"/>
  </si>
  <si>
    <t>연금</t>
    <phoneticPr fontId="16" type="noConversion"/>
  </si>
  <si>
    <t>2차년환산P * 20%</t>
    <phoneticPr fontId="99" type="noConversion"/>
  </si>
  <si>
    <t>3차년환산P * 25%</t>
    <phoneticPr fontId="99" type="noConversion"/>
  </si>
  <si>
    <t>VUL , 저축</t>
    <phoneticPr fontId="16" type="noConversion"/>
  </si>
  <si>
    <t>2차년환산P * 10%</t>
    <phoneticPr fontId="99" type="noConversion"/>
  </si>
  <si>
    <t>-</t>
    <phoneticPr fontId="16" type="noConversion"/>
  </si>
  <si>
    <t>가삭감지급액</t>
    <phoneticPr fontId="16" type="noConversion"/>
  </si>
  <si>
    <t>산출액*100%</t>
    <phoneticPr fontId="16" type="noConversion"/>
  </si>
  <si>
    <t>부지급</t>
    <phoneticPr fontId="16" type="noConversion"/>
  </si>
  <si>
    <t>24차월이하</t>
    <phoneticPr fontId="16" type="noConversion"/>
  </si>
  <si>
    <t>75%미만</t>
    <phoneticPr fontId="16" type="noConversion"/>
  </si>
  <si>
    <t>25차월이상</t>
    <phoneticPr fontId="16" type="noConversion"/>
  </si>
  <si>
    <t>70%미만</t>
    <phoneticPr fontId="16" type="noConversion"/>
  </si>
  <si>
    <t>생산성유지율보너스 
수수료</t>
    <phoneticPr fontId="16" type="noConversion"/>
  </si>
  <si>
    <t>정산P 30백만↑</t>
    <phoneticPr fontId="16" type="noConversion"/>
  </si>
  <si>
    <t>7백만↑</t>
    <phoneticPr fontId="16" type="noConversion"/>
  </si>
  <si>
    <t>4백만↑</t>
    <phoneticPr fontId="16" type="noConversion"/>
  </si>
  <si>
    <t>1~12차월
(대리점차월)</t>
    <phoneticPr fontId="16" type="noConversion"/>
  </si>
  <si>
    <t>2~13회통산 90%</t>
    <phoneticPr fontId="16" type="noConversion"/>
  </si>
  <si>
    <t>계약관리수수료 * 58%</t>
    <phoneticPr fontId="16" type="noConversion"/>
  </si>
  <si>
    <t>2~13회통산 85%↑</t>
    <phoneticPr fontId="16" type="noConversion"/>
  </si>
  <si>
    <t>13차월이상</t>
    <phoneticPr fontId="16" type="noConversion"/>
  </si>
  <si>
    <t>2~25회통산 85%</t>
    <phoneticPr fontId="16" type="noConversion"/>
  </si>
  <si>
    <t>2~25회통산 80%↑</t>
    <phoneticPr fontId="16" type="noConversion"/>
  </si>
  <si>
    <t>파트너수수료</t>
    <phoneticPr fontId="17" type="noConversion"/>
  </si>
  <si>
    <t>13회차</t>
    <phoneticPr fontId="16" type="noConversion"/>
  </si>
  <si>
    <t>25회차</t>
    <phoneticPr fontId="16" type="noConversion"/>
  </si>
  <si>
    <t>37회차</t>
    <phoneticPr fontId="16" type="noConversion"/>
  </si>
  <si>
    <t>상품명</t>
    <phoneticPr fontId="17" type="noConversion"/>
  </si>
  <si>
    <r>
      <rPr>
        <b/>
        <sz val="9"/>
        <color rgb="FFFF0000"/>
        <rFont val="맑은 고딕"/>
        <family val="3"/>
        <charset val="129"/>
      </rPr>
      <t>주계약</t>
    </r>
    <r>
      <rPr>
        <sz val="9"/>
        <rFont val="맑은 고딕"/>
        <family val="3"/>
        <charset val="129"/>
      </rPr>
      <t xml:space="preserve">
월납P</t>
    </r>
    <phoneticPr fontId="17" type="noConversion"/>
  </si>
  <si>
    <t>환산P</t>
    <phoneticPr fontId="17" type="noConversion"/>
  </si>
  <si>
    <t>계약 유지 수수료</t>
    <phoneticPr fontId="17" type="noConversion"/>
  </si>
  <si>
    <t>퀄리티수수료</t>
    <phoneticPr fontId="16" type="noConversion"/>
  </si>
  <si>
    <t>생산성유지율보너스</t>
    <phoneticPr fontId="16" type="noConversion"/>
  </si>
  <si>
    <t>파트너 수수료</t>
    <phoneticPr fontId="16" type="noConversion"/>
  </si>
  <si>
    <t>본사수수료</t>
    <phoneticPr fontId="17" type="noConversion"/>
  </si>
  <si>
    <t>본부장</t>
    <phoneticPr fontId="17" type="noConversion"/>
  </si>
  <si>
    <t>인증지점장</t>
    <phoneticPr fontId="17" type="noConversion"/>
  </si>
  <si>
    <t>일반지점장</t>
    <phoneticPr fontId="17" type="noConversion"/>
  </si>
  <si>
    <t>팀장</t>
    <phoneticPr fontId="17" type="noConversion"/>
  </si>
  <si>
    <t>위촉FC</t>
    <phoneticPr fontId="17" type="noConversion"/>
  </si>
  <si>
    <t>기준</t>
    <phoneticPr fontId="17" type="noConversion"/>
  </si>
  <si>
    <t>1차년환산</t>
    <phoneticPr fontId="16" type="noConversion"/>
  </si>
  <si>
    <t>2차년환산</t>
    <phoneticPr fontId="16" type="noConversion"/>
  </si>
  <si>
    <t>3차년환산</t>
    <phoneticPr fontId="17" type="noConversion"/>
  </si>
  <si>
    <t>1차년</t>
    <phoneticPr fontId="17" type="noConversion"/>
  </si>
  <si>
    <t>2차년</t>
    <phoneticPr fontId="17" type="noConversion"/>
  </si>
  <si>
    <t>3차년</t>
    <phoneticPr fontId="17" type="noConversion"/>
  </si>
  <si>
    <t>성과</t>
    <phoneticPr fontId="17" type="noConversion"/>
  </si>
  <si>
    <t>모집
수수료</t>
    <phoneticPr fontId="16" type="noConversion"/>
  </si>
  <si>
    <t>2~6회</t>
    <phoneticPr fontId="17" type="noConversion"/>
  </si>
  <si>
    <t>7~12회</t>
    <phoneticPr fontId="17" type="noConversion"/>
  </si>
  <si>
    <t>25~36회</t>
    <phoneticPr fontId="16" type="noConversion"/>
  </si>
  <si>
    <t>13~24회</t>
    <phoneticPr fontId="17" type="noConversion"/>
  </si>
  <si>
    <t>13회</t>
    <phoneticPr fontId="16" type="noConversion"/>
  </si>
  <si>
    <t>25회</t>
    <phoneticPr fontId="16" type="noConversion"/>
  </si>
  <si>
    <t>37회</t>
    <phoneticPr fontId="16" type="noConversion"/>
  </si>
  <si>
    <t>익월</t>
    <phoneticPr fontId="17" type="noConversion"/>
  </si>
  <si>
    <t>1차년
(익월포함)</t>
    <phoneticPr fontId="17" type="noConversion"/>
  </si>
  <si>
    <t>총계</t>
    <phoneticPr fontId="17" type="noConversion"/>
  </si>
  <si>
    <t>신한 저축플러스연금보험(연금)</t>
    <phoneticPr fontId="17" type="noConversion"/>
  </si>
  <si>
    <t>10년납</t>
    <phoneticPr fontId="17" type="noConversion"/>
  </si>
  <si>
    <t>신한 빅라이프 종신보험(종신)</t>
    <phoneticPr fontId="17" type="noConversion"/>
  </si>
  <si>
    <t>20년납</t>
    <phoneticPr fontId="17" type="noConversion"/>
  </si>
  <si>
    <t>신한아이사랑 연금보험III(연금)</t>
    <phoneticPr fontId="17" type="noConversion"/>
  </si>
  <si>
    <t>3대질병 납입면제되는 변액연금보험(연금)</t>
    <phoneticPr fontId="17" type="noConversion"/>
  </si>
  <si>
    <t>10년납</t>
    <phoneticPr fontId="16" type="noConversion"/>
  </si>
  <si>
    <t>아이사랑 Big II(100%환급형)(보장)</t>
    <phoneticPr fontId="17" type="noConversion"/>
  </si>
  <si>
    <t>신한 Big플러스 저축보험(저축)</t>
    <phoneticPr fontId="17" type="noConversion"/>
  </si>
  <si>
    <t>12년납</t>
    <phoneticPr fontId="17" type="noConversion"/>
  </si>
  <si>
    <t>신한참연금저축보험(연금)</t>
    <phoneticPr fontId="17" type="noConversion"/>
  </si>
  <si>
    <t>7년납 이상</t>
    <phoneticPr fontId="17" type="noConversion"/>
  </si>
  <si>
    <r>
      <t>신한 Big플러스 저축보험</t>
    </r>
    <r>
      <rPr>
        <b/>
        <sz val="9"/>
        <color rgb="FF0000FF"/>
        <rFont val="맑은 고딕"/>
        <family val="3"/>
        <charset val="129"/>
      </rPr>
      <t>(일시납)</t>
    </r>
    <phoneticPr fontId="99" type="noConversion"/>
  </si>
  <si>
    <t>일시납</t>
    <phoneticPr fontId="17" type="noConversion"/>
  </si>
  <si>
    <t xml:space="preserve"> &lt; 세부 사항 안내 &gt;</t>
    <phoneticPr fontId="17" type="noConversion"/>
  </si>
  <si>
    <t>1. 작성 기준</t>
    <phoneticPr fontId="17" type="noConversion"/>
  </si>
  <si>
    <t xml:space="preserve"> ① 최저 보장제 적용 : 성과수수료에 한하여 정산P 30백만원 구간을 보장지급함 / 단, 통산유지율 가삭감 비율은 매달 유지율에 연동함</t>
    <phoneticPr fontId="17" type="noConversion"/>
  </si>
  <si>
    <t xml:space="preserve"> ② 성과수수료는 정산P 30백만원, 그외 모든 수수료자료는 정산P 10백만원 기준으로 예시함. 실 지급은 업적, 유지율 및 기타 제조건에 따라 연동하여 지급함</t>
    <phoneticPr fontId="17" type="noConversion"/>
  </si>
  <si>
    <t xml:space="preserve"> ③ 환산 기준 : 납기에 따른 주계약의 월납영수보험료를 기준으로 예시하였으며, 실제 설계시 보험료 및 특약별로 적용되는 환산이 다를 수 있으므로, </t>
    <phoneticPr fontId="17" type="noConversion"/>
  </si>
  <si>
    <t>④생산성유지율 보너스 : 정산P 30백만원 기준 보장지급</t>
    <phoneticPr fontId="99" type="noConversion"/>
  </si>
  <si>
    <t>▶ 테이블 예시 기준 :  주계약기준, 보험료 100만원 이상 기준</t>
    <phoneticPr fontId="17" type="noConversion"/>
  </si>
  <si>
    <t>2. 계약관리수수료 : 연체시 산출액의 80% 지급</t>
    <phoneticPr fontId="17" type="noConversion"/>
  </si>
  <si>
    <t>3. 유지율 적용 기준 : 성과수수료, 고능율우대수수료,퀄리티수수료, 생산성유지율보너스수수료 항목에 한하여 유지율 연동</t>
    <phoneticPr fontId="17" type="noConversion"/>
  </si>
  <si>
    <t xml:space="preserve">4. 비고 : 상기 자료는 예시이므로 매월 마감 업적, 유지율 및 개별 상품 설계시의 실제 환산P등에 따라 추가 또는 감소되어 지급됨 </t>
    <phoneticPr fontId="17" type="noConversion"/>
  </si>
  <si>
    <t>11백만 미만</t>
  </si>
  <si>
    <t>22백만↑</t>
  </si>
  <si>
    <t>45백만↑</t>
  </si>
  <si>
    <t>68백만↑</t>
  </si>
  <si>
    <t>115백만↑</t>
  </si>
  <si>
    <t>165백만↑</t>
  </si>
  <si>
    <t>235백만↑</t>
  </si>
  <si>
    <t>90%↑</t>
  </si>
  <si>
    <t>87.5%↑</t>
  </si>
  <si>
    <t>85%↑</t>
  </si>
  <si>
    <t>82.5%↑</t>
  </si>
  <si>
    <t>14년 9월 생보사별수수료테이블 변동사항(전월대비)</t>
    <phoneticPr fontId="17" type="noConversion"/>
  </si>
  <si>
    <r>
      <rPr>
        <b/>
        <sz val="9"/>
        <color rgb="FFFF0000"/>
        <rFont val="맑은 고딕"/>
        <family val="3"/>
        <charset val="129"/>
      </rPr>
      <t>주계약</t>
    </r>
    <r>
      <rPr>
        <sz val="9"/>
        <rFont val="맑은 고딕"/>
        <family val="3"/>
        <charset val="129"/>
      </rPr>
      <t xml:space="preserve">
월납P</t>
    </r>
    <phoneticPr fontId="17" type="noConversion"/>
  </si>
  <si>
    <t>본부장</t>
    <phoneticPr fontId="17" type="noConversion"/>
  </si>
  <si>
    <t>총계</t>
    <phoneticPr fontId="17" type="noConversion"/>
  </si>
  <si>
    <t>익월</t>
    <phoneticPr fontId="17" type="noConversion"/>
  </si>
  <si>
    <t>1년납</t>
  </si>
  <si>
    <t>보장</t>
  </si>
  <si>
    <t>12년납이상</t>
  </si>
  <si>
    <t>환산P</t>
    <phoneticPr fontId="17" type="noConversion"/>
  </si>
  <si>
    <t>신계약 관리 수수료</t>
    <phoneticPr fontId="17" type="noConversion"/>
  </si>
  <si>
    <t>판매촉진 수수료
(익월)</t>
    <phoneticPr fontId="17" type="noConversion"/>
  </si>
  <si>
    <t>성과 보너스</t>
    <phoneticPr fontId="17" type="noConversion"/>
  </si>
  <si>
    <t>본사수수료</t>
    <phoneticPr fontId="17" type="noConversion"/>
  </si>
  <si>
    <t>FC</t>
    <phoneticPr fontId="17" type="noConversion"/>
  </si>
  <si>
    <t>기준</t>
    <phoneticPr fontId="16" type="noConversion"/>
  </si>
  <si>
    <t>1차년
환산율</t>
    <phoneticPr fontId="17" type="noConversion"/>
  </si>
  <si>
    <t>2차년
환산율</t>
    <phoneticPr fontId="17" type="noConversion"/>
  </si>
  <si>
    <t>3차년
환산율</t>
    <phoneticPr fontId="17" type="noConversion"/>
  </si>
  <si>
    <t>1차년</t>
    <phoneticPr fontId="17" type="noConversion"/>
  </si>
  <si>
    <t>2차년</t>
    <phoneticPr fontId="17" type="noConversion"/>
  </si>
  <si>
    <t>3차년</t>
    <phoneticPr fontId="17" type="noConversion"/>
  </si>
  <si>
    <t>익월
(2~6회先)</t>
    <phoneticPr fontId="17" type="noConversion"/>
  </si>
  <si>
    <t>1차년합</t>
    <phoneticPr fontId="17" type="noConversion"/>
  </si>
  <si>
    <t>2차년합</t>
    <phoneticPr fontId="17" type="noConversion"/>
  </si>
  <si>
    <t>3차년합</t>
    <phoneticPr fontId="17" type="noConversion"/>
  </si>
  <si>
    <t>총</t>
    <phoneticPr fontId="17" type="noConversion"/>
  </si>
  <si>
    <t>1차년
(익월포함)</t>
    <phoneticPr fontId="17" type="noConversion"/>
  </si>
  <si>
    <t>(무) The TOP 변액유니버셜더블종신</t>
    <phoneticPr fontId="17" type="noConversion"/>
  </si>
  <si>
    <t>20년납이상(50%/11,000이상)</t>
    <phoneticPr fontId="16" type="noConversion"/>
  </si>
  <si>
    <t>(무) The smart 유니버셜 더블종신</t>
    <phoneticPr fontId="17" type="noConversion"/>
  </si>
  <si>
    <t>20년납이상(50%/9,000미만)</t>
    <phoneticPr fontId="16" type="noConversion"/>
  </si>
  <si>
    <t>(무) 연금Plus 변액적립보험</t>
    <phoneticPr fontId="17" type="noConversion"/>
  </si>
  <si>
    <t>12년납이상 (50만원 미만)</t>
    <phoneticPr fontId="16" type="noConversion"/>
  </si>
  <si>
    <t>(무) 내생애든든연금보험</t>
    <phoneticPr fontId="99" type="noConversion"/>
  </si>
  <si>
    <t>10년납이상(50만원이상)</t>
    <phoneticPr fontId="16" type="noConversion"/>
  </si>
  <si>
    <t>(무) 내생애든든연금보험</t>
    <phoneticPr fontId="99" type="noConversion"/>
  </si>
  <si>
    <t>-</t>
    <phoneticPr fontId="16" type="noConversion"/>
  </si>
  <si>
    <t>-</t>
    <phoneticPr fontId="99" type="noConversion"/>
  </si>
  <si>
    <t>일시납</t>
    <phoneticPr fontId="16" type="noConversion"/>
  </si>
  <si>
    <t xml:space="preserve"> ① 최저 보장제 : 보장 내용은 정산P 2억원 구간에 대한 판매촉진 수수료 항목만 해당함 / 즉, 유지율 및 기타 조건등은 실제 지급 기준과 연동하여 적용됨</t>
    <phoneticPr fontId="17" type="noConversion"/>
  </si>
  <si>
    <r>
      <t xml:space="preserve">2. 유지 수수료 익월 先지급 기준 : 상품군에 상관 없이 </t>
    </r>
    <r>
      <rPr>
        <b/>
        <sz val="9"/>
        <color indexed="10"/>
        <rFont val="맑은 고딕"/>
        <family val="3"/>
        <charset val="129"/>
      </rPr>
      <t>5개월 先지급</t>
    </r>
    <r>
      <rPr>
        <b/>
        <sz val="9"/>
        <color rgb="FFFF0000"/>
        <rFont val="맑은 고딕"/>
        <family val="3"/>
        <charset val="129"/>
      </rPr>
      <t>(1차월 포함시 6개월 선지급임)</t>
    </r>
    <phoneticPr fontId="17" type="noConversion"/>
  </si>
  <si>
    <t xml:space="preserve"> ② 익월지급수수료항목 - 전 종목 유지수수료(신계약관리수수료) 6개월 선지급 + 판매 촉진 + 성과 보너스</t>
    <phoneticPr fontId="17" type="noConversion"/>
  </si>
  <si>
    <t>4. 유지율 적용 기준 : 18회차 IQA 유지율이 기준이며, 수수료 항목중 판매촉진 수수료와 성과 보너스 항목이 유지율에 연동하여 지급됨</t>
    <phoneticPr fontId="17" type="noConversion"/>
  </si>
  <si>
    <t>저축 / 12년납↑</t>
    <phoneticPr fontId="17" type="noConversion"/>
  </si>
  <si>
    <t>-</t>
    <phoneticPr fontId="16" type="noConversion"/>
  </si>
  <si>
    <t xml:space="preserve"> &lt; 세부 사항 안내 &gt;</t>
    <phoneticPr fontId="17" type="noConversion"/>
  </si>
  <si>
    <t>1. 작성 기준</t>
    <phoneticPr fontId="17" type="noConversion"/>
  </si>
  <si>
    <t>일시납</t>
    <phoneticPr fontId="16" type="noConversion"/>
  </si>
  <si>
    <t>상품명</t>
    <phoneticPr fontId="17" type="noConversion"/>
  </si>
  <si>
    <t>지급횟수</t>
    <phoneticPr fontId="17" type="noConversion"/>
  </si>
  <si>
    <t>기준</t>
    <phoneticPr fontId="17" type="noConversion"/>
  </si>
  <si>
    <t>성과수수료</t>
    <phoneticPr fontId="17" type="noConversion"/>
  </si>
  <si>
    <t>계약관리(19%∼23%)</t>
    <phoneticPr fontId="17" type="noConversion"/>
  </si>
  <si>
    <t>유지수수료(영수P*지급률)</t>
    <phoneticPr fontId="17" type="noConversion"/>
  </si>
  <si>
    <t>본사수수료</t>
    <phoneticPr fontId="17" type="noConversion"/>
  </si>
  <si>
    <t>본부장</t>
    <phoneticPr fontId="17" type="noConversion"/>
  </si>
  <si>
    <t>인증지점장</t>
    <phoneticPr fontId="17" type="noConversion"/>
  </si>
  <si>
    <t>일반지점장</t>
    <phoneticPr fontId="17" type="noConversion"/>
  </si>
  <si>
    <t>팀장</t>
    <phoneticPr fontId="17" type="noConversion"/>
  </si>
  <si>
    <t>위촉FC</t>
    <phoneticPr fontId="17" type="noConversion"/>
  </si>
  <si>
    <t>기준</t>
    <phoneticPr fontId="16" type="noConversion"/>
  </si>
  <si>
    <t>환산</t>
    <phoneticPr fontId="17" type="noConversion"/>
  </si>
  <si>
    <t>효율</t>
    <phoneticPr fontId="17" type="noConversion"/>
  </si>
  <si>
    <t>유지</t>
    <phoneticPr fontId="17" type="noConversion"/>
  </si>
  <si>
    <t>계약 /Over</t>
    <phoneticPr fontId="17" type="noConversion"/>
  </si>
  <si>
    <r>
      <rPr>
        <b/>
        <sz val="9"/>
        <color rgb="FFFF0000"/>
        <rFont val="맑은 고딕"/>
        <family val="3"/>
        <charset val="129"/>
      </rPr>
      <t>주계약</t>
    </r>
    <r>
      <rPr>
        <sz val="9"/>
        <rFont val="맑은 고딕"/>
        <family val="3"/>
        <charset val="129"/>
      </rPr>
      <t xml:space="preserve">
월납P</t>
    </r>
    <phoneticPr fontId="17" type="noConversion"/>
  </si>
  <si>
    <t>환산P</t>
    <phoneticPr fontId="17" type="noConversion"/>
  </si>
  <si>
    <t>효율P</t>
    <phoneticPr fontId="17" type="noConversion"/>
  </si>
  <si>
    <t>1회</t>
    <phoneticPr fontId="17" type="noConversion"/>
  </si>
  <si>
    <t>초년도</t>
    <phoneticPr fontId="17" type="noConversion"/>
  </si>
  <si>
    <t>2차년</t>
    <phoneticPr fontId="17" type="noConversion"/>
  </si>
  <si>
    <t>익월</t>
    <phoneticPr fontId="17" type="noConversion"/>
  </si>
  <si>
    <t>1차년</t>
    <phoneticPr fontId="17" type="noConversion"/>
  </si>
  <si>
    <t>3차년</t>
    <phoneticPr fontId="17" type="noConversion"/>
  </si>
  <si>
    <t>1차년
(익월포함)</t>
    <phoneticPr fontId="17" type="noConversion"/>
  </si>
  <si>
    <t>총계</t>
    <phoneticPr fontId="17" type="noConversion"/>
  </si>
  <si>
    <t>파워스텝업변액연금보험(무)1404</t>
    <phoneticPr fontId="16" type="noConversion"/>
  </si>
  <si>
    <t>10년납</t>
    <phoneticPr fontId="16" type="noConversion"/>
  </si>
  <si>
    <t>미래에셋생명연금보험(무)1404</t>
    <phoneticPr fontId="16" type="noConversion"/>
  </si>
  <si>
    <t>연금전환되는 종신보험(무)1404</t>
    <phoneticPr fontId="16" type="noConversion"/>
  </si>
  <si>
    <t>-</t>
    <phoneticPr fontId="16" type="noConversion"/>
  </si>
  <si>
    <t>20년납</t>
    <phoneticPr fontId="16" type="noConversion"/>
  </si>
  <si>
    <t>파워Rich저축보험(무)1404</t>
    <phoneticPr fontId="16" type="noConversion"/>
  </si>
  <si>
    <t>12년납</t>
    <phoneticPr fontId="16" type="noConversion"/>
  </si>
  <si>
    <t>예방하자암보험(무)1404_ 순수보장형</t>
    <phoneticPr fontId="99" type="noConversion"/>
  </si>
  <si>
    <t>-</t>
    <phoneticPr fontId="99" type="noConversion"/>
  </si>
  <si>
    <t>미래에셋생명변액적립보험(무)1404 진심의차이</t>
    <phoneticPr fontId="16" type="noConversion"/>
  </si>
  <si>
    <t>3년납</t>
    <phoneticPr fontId="99" type="noConversion"/>
  </si>
  <si>
    <t>미래에셋 통합종신보험1404</t>
    <phoneticPr fontId="99" type="noConversion"/>
  </si>
  <si>
    <t>미래에셋 즉시연금보험(무)1304</t>
    <phoneticPr fontId="16" type="noConversion"/>
  </si>
  <si>
    <t xml:space="preserve"> ① 최저 보장제 적용 : 성과수수료는  프라임 특별 지급구간 450%를 최저보장함 (유지율연동하여 -5%삭감가능 :  유지율 70% 미달시 성과수수료 445% 보장)</t>
    <phoneticPr fontId="17" type="noConversion"/>
  </si>
  <si>
    <t>2. 수수료 항목별 익월 지급 기준 : 성과 수수료 , 계약 관리 수수료 ▶ 총 2개 항목</t>
    <phoneticPr fontId="17" type="noConversion"/>
  </si>
  <si>
    <t xml:space="preserve"> ▶ 성과 수수료 - 정산P의 450%(프라임지급구간) +  계약관리 수수료 (효율P의 19% ~ 23%)</t>
    <phoneticPr fontId="17" type="noConversion"/>
  </si>
  <si>
    <t xml:space="preserve"> ▶ 상품군별 계약 관리 수수료 : 종신 23%,  연금, 보장성 21% , 기타 전 종목 19%</t>
    <phoneticPr fontId="17" type="noConversion"/>
  </si>
  <si>
    <t>3. 유지수수료 지급 기준</t>
    <phoneticPr fontId="17" type="noConversion"/>
  </si>
  <si>
    <t xml:space="preserve"> ▶ 저축성(연금포함) 상품에 한하여 1~36회 분할지급 (7회 , 13회 , 14회 이후 매달 지급)</t>
    <phoneticPr fontId="17" type="noConversion"/>
  </si>
  <si>
    <t xml:space="preserve"> ▶ 월납보험료 * 지급률(1.0%~3.5%)</t>
    <phoneticPr fontId="17" type="noConversion"/>
  </si>
  <si>
    <t xml:space="preserve"> ▶ 진심의차이 : 월입금보험료 * 지급성적(2%~3.6%) * 130%</t>
    <phoneticPr fontId="17" type="noConversion"/>
  </si>
  <si>
    <t xml:space="preserve">4. 유지율 적용 기준 : 성과 수수료 항목에 연동하여 지급됨 </t>
    <phoneticPr fontId="17" type="noConversion"/>
  </si>
  <si>
    <t xml:space="preserve">5. 비고 : 상기 자료는 예시이므로 매월 마감 업적, 유지율 및 개별 상품 설계시의 실제 환산P등에 따라 추가 또는 감소되어 지급됨 </t>
    <phoneticPr fontId="17" type="noConversion"/>
  </si>
  <si>
    <t>미리보는내연금(무)교보변액연금1종(주식편입 30%미만)</t>
    <phoneticPr fontId="34" type="noConversion"/>
  </si>
  <si>
    <t>10년납</t>
    <phoneticPr fontId="17" type="noConversion"/>
  </si>
  <si>
    <t>항  목</t>
    <phoneticPr fontId="17" type="noConversion"/>
  </si>
  <si>
    <t>용어 정의</t>
    <phoneticPr fontId="17" type="noConversion"/>
  </si>
  <si>
    <t>환산성적</t>
    <phoneticPr fontId="17" type="noConversion"/>
  </si>
  <si>
    <t>** 수수료 규정이나 테이블 예시구간 변경 외에도, 상품의 환산율이 변경될 시 테이블 금액 및 수수료 실제 지급액은 달라질 수 있으니 이점 참고하시어 활용 바랍니다.</t>
    <phoneticPr fontId="99" type="noConversion"/>
  </si>
  <si>
    <t>보험사</t>
    <phoneticPr fontId="99" type="noConversion"/>
  </si>
  <si>
    <t>변동 항목</t>
    <phoneticPr fontId="99" type="noConversion"/>
  </si>
  <si>
    <t>구분</t>
    <phoneticPr fontId="99" type="noConversion"/>
  </si>
  <si>
    <t>변동 전</t>
    <phoneticPr fontId="99" type="noConversion"/>
  </si>
  <si>
    <t>변동 후</t>
    <phoneticPr fontId="99" type="noConversion"/>
  </si>
  <si>
    <t>성과수수료</t>
    <phoneticPr fontId="99" type="noConversion"/>
  </si>
  <si>
    <t>1. 성적 관련 용어 정의</t>
    <phoneticPr fontId="17" type="noConversion"/>
  </si>
  <si>
    <t>DC (Direct Commission)</t>
    <phoneticPr fontId="17" type="noConversion"/>
  </si>
  <si>
    <t>초회월납P * 1차년 DC Rate     (신계약 체결및 유지시 발생하는 성적에 의해 계산된 수수료)</t>
    <phoneticPr fontId="17" type="noConversion"/>
  </si>
  <si>
    <t>FYDC</t>
    <phoneticPr fontId="17" type="noConversion"/>
  </si>
  <si>
    <t>신계약 성립 후 12차월 이내 보험료 입금으로 발생하는 DC</t>
    <phoneticPr fontId="17" type="noConversion"/>
  </si>
  <si>
    <t>RC (Renewal Commission)</t>
    <phoneticPr fontId="99" type="noConversion"/>
  </si>
  <si>
    <t>AC (Annualized Commission)</t>
    <phoneticPr fontId="99" type="noConversion"/>
  </si>
  <si>
    <t>당월 신계약 1회 DC * 12</t>
    <phoneticPr fontId="99" type="noConversion"/>
  </si>
  <si>
    <t>NFYC</t>
    <phoneticPr fontId="99" type="noConversion"/>
  </si>
  <si>
    <t>NFYC = AC - 환수 AC + 부활 AC</t>
    <phoneticPr fontId="99" type="noConversion"/>
  </si>
  <si>
    <t>2. 수수료 관련 기타 기준</t>
    <phoneticPr fontId="17" type="noConversion"/>
  </si>
  <si>
    <t>규정</t>
    <phoneticPr fontId="17" type="noConversion"/>
  </si>
  <si>
    <t>승환</t>
    <phoneticPr fontId="17" type="noConversion"/>
  </si>
  <si>
    <r>
      <t xml:space="preserve">동일계약자나 동일 피보험자의 계약으로, 기 계약 해약 후 해약 월 포함 7개월 이내에 성립된 신계약 또는 신계약 체결 후 신계약월 포함 7개월 이내에 기계약이 해약된 경우
</t>
    </r>
    <r>
      <rPr>
        <b/>
        <sz val="9"/>
        <color rgb="FFFF0000"/>
        <rFont val="맑은 고딕"/>
        <family val="3"/>
        <charset val="129"/>
      </rPr>
      <t>승환계약으로 판명시 성적 및 수수료 100% 차감</t>
    </r>
    <phoneticPr fontId="17" type="noConversion"/>
  </si>
  <si>
    <t>3. 수수료 항목 및 지급 기준</t>
    <phoneticPr fontId="17" type="noConversion"/>
  </si>
  <si>
    <t>세부사항</t>
    <phoneticPr fontId="17" type="noConversion"/>
  </si>
  <si>
    <t>비고</t>
    <phoneticPr fontId="17" type="noConversion"/>
  </si>
  <si>
    <t>DC</t>
    <phoneticPr fontId="17" type="noConversion"/>
  </si>
  <si>
    <t xml:space="preserve">월납P * 1차년 DC Rate   </t>
    <phoneticPr fontId="17" type="noConversion"/>
  </si>
  <si>
    <t>1회~6회차 익월선지급</t>
    <phoneticPr fontId="17" type="noConversion"/>
  </si>
  <si>
    <t>성과수수료</t>
    <phoneticPr fontId="17" type="noConversion"/>
  </si>
  <si>
    <t>▶ 지급기준 : 당월 NFYC * 지급률</t>
    <phoneticPr fontId="99" type="noConversion"/>
  </si>
  <si>
    <t>당월  NFYC</t>
    <phoneticPr fontId="99" type="noConversion"/>
  </si>
  <si>
    <t>11백만↑</t>
    <phoneticPr fontId="99" type="noConversion"/>
  </si>
  <si>
    <t>지급률</t>
    <phoneticPr fontId="99" type="noConversion"/>
  </si>
  <si>
    <t>고능율 GA우대 
 수수료</t>
    <phoneticPr fontId="17" type="noConversion"/>
  </si>
  <si>
    <t>▶ 지급기준 : 당월 FYDC * 지급률</t>
    <phoneticPr fontId="99" type="noConversion"/>
  </si>
  <si>
    <t>340백만 초과</t>
    <phoneticPr fontId="99" type="noConversion"/>
  </si>
  <si>
    <t>440백만 초과</t>
    <phoneticPr fontId="99" type="noConversion"/>
  </si>
  <si>
    <t>660백만 초과</t>
    <phoneticPr fontId="99" type="noConversion"/>
  </si>
  <si>
    <t>효율수수료</t>
    <phoneticPr fontId="17" type="noConversion"/>
  </si>
  <si>
    <t>▶ 지급기준 : 당월 FYDC * 지급률
※당월 7/13/18회 통산유지율에 따라 지급률 산출
단, 7회 통산유지율 미 산출시는 산출 가능한 통산유지율을 7회통산 유지율 기준에 의하여 지급률을 결정하며 최대 27.5%를 적용</t>
    <phoneticPr fontId="99" type="noConversion"/>
  </si>
  <si>
    <t>18회 통산</t>
    <phoneticPr fontId="99" type="noConversion"/>
  </si>
  <si>
    <t>91%↑</t>
    <phoneticPr fontId="99" type="noConversion"/>
  </si>
  <si>
    <t>88.5%↑</t>
    <phoneticPr fontId="99" type="noConversion"/>
  </si>
  <si>
    <t>86%↑</t>
    <phoneticPr fontId="99" type="noConversion"/>
  </si>
  <si>
    <t>83.5%↑</t>
    <phoneticPr fontId="99" type="noConversion"/>
  </si>
  <si>
    <t>81%↑</t>
    <phoneticPr fontId="99" type="noConversion"/>
  </si>
  <si>
    <t>78.5%↑</t>
    <phoneticPr fontId="99" type="noConversion"/>
  </si>
  <si>
    <t>76%↑</t>
    <phoneticPr fontId="99" type="noConversion"/>
  </si>
  <si>
    <t>13회 통산</t>
    <phoneticPr fontId="99" type="noConversion"/>
  </si>
  <si>
    <t>95%↑</t>
    <phoneticPr fontId="99" type="noConversion"/>
  </si>
  <si>
    <t>92%↑</t>
    <phoneticPr fontId="99" type="noConversion"/>
  </si>
  <si>
    <t>80%↑</t>
    <phoneticPr fontId="99" type="noConversion"/>
  </si>
  <si>
    <t>7회 통산</t>
    <phoneticPr fontId="99" type="noConversion"/>
  </si>
  <si>
    <t>98%↑</t>
    <phoneticPr fontId="99" type="noConversion"/>
  </si>
  <si>
    <t>96%↑</t>
    <phoneticPr fontId="99" type="noConversion"/>
  </si>
  <si>
    <t>94%↑</t>
    <phoneticPr fontId="99" type="noConversion"/>
  </si>
  <si>
    <t>91.5%↑</t>
    <phoneticPr fontId="99" type="noConversion"/>
  </si>
  <si>
    <t>89%↑</t>
    <phoneticPr fontId="99" type="noConversion"/>
  </si>
  <si>
    <t>86.5%↑</t>
    <phoneticPr fontId="99" type="noConversion"/>
  </si>
  <si>
    <t>84% 미만</t>
    <phoneticPr fontId="99" type="noConversion"/>
  </si>
  <si>
    <t>지급율</t>
    <phoneticPr fontId="99" type="noConversion"/>
  </si>
  <si>
    <t>오버라이딩보너스</t>
    <phoneticPr fontId="17" type="noConversion"/>
  </si>
  <si>
    <t>▶ 평가기준 : 당월포함 최근3개월 월평균 NFYC 실적 규모에 따라 등급 판정 
▶ 지급기준 :( 당월 보장성 상품 FYDC * 지급률 )+( 당월 보장성외 상품 FYDC * 지급률 )
(보장성 상품의 구분은 보험사의 상품분류 기준에 따름)</t>
    <phoneticPr fontId="99" type="noConversion"/>
  </si>
  <si>
    <t>최근3개월 월평균NFYC</t>
    <phoneticPr fontId="99" type="noConversion"/>
  </si>
  <si>
    <t>235백만↑</t>
    <phoneticPr fontId="99" type="noConversion"/>
  </si>
  <si>
    <t>165백만↑</t>
    <phoneticPr fontId="99" type="noConversion"/>
  </si>
  <si>
    <t>115백만↑</t>
    <phoneticPr fontId="99" type="noConversion"/>
  </si>
  <si>
    <t>68백만↑</t>
    <phoneticPr fontId="99" type="noConversion"/>
  </si>
  <si>
    <t>45백만↑</t>
    <phoneticPr fontId="99" type="noConversion"/>
  </si>
  <si>
    <t>22백만↑</t>
    <phoneticPr fontId="99" type="noConversion"/>
  </si>
  <si>
    <t>4백만↑</t>
    <phoneticPr fontId="99" type="noConversion"/>
  </si>
  <si>
    <t>4백만 미만</t>
    <phoneticPr fontId="99" type="noConversion"/>
  </si>
  <si>
    <t>보장성외</t>
    <phoneticPr fontId="99" type="noConversion"/>
  </si>
  <si>
    <t>보장성</t>
    <phoneticPr fontId="99" type="noConversion"/>
  </si>
  <si>
    <t>※ 아래 예시 외 상품(또는 납기 등 다른 기준)은 &lt;팜스 공지게시판 → 자료실 → 생보업무팀&gt; "환산" 자료를 참조하여 활용하시기 바랍니다. (상품의 환산율이 변경될 시 테이블 금액 및 수수료 지급액은 달라질 수 있습니다.)</t>
    <phoneticPr fontId="109" type="noConversion"/>
  </si>
  <si>
    <t>상품명</t>
    <phoneticPr fontId="17" type="noConversion"/>
  </si>
  <si>
    <r>
      <rPr>
        <b/>
        <sz val="9"/>
        <color rgb="FFFF0000"/>
        <rFont val="맑은 고딕"/>
        <family val="3"/>
        <charset val="129"/>
      </rPr>
      <t>주계약</t>
    </r>
    <r>
      <rPr>
        <sz val="9"/>
        <rFont val="맑은 고딕"/>
        <family val="3"/>
        <charset val="129"/>
      </rPr>
      <t xml:space="preserve">
월납P</t>
    </r>
    <phoneticPr fontId="17" type="noConversion"/>
  </si>
  <si>
    <t>DC</t>
    <phoneticPr fontId="99" type="noConversion"/>
  </si>
  <si>
    <t>1차년DC합</t>
    <phoneticPr fontId="99" type="noConversion"/>
  </si>
  <si>
    <t>RC
(2차년
DC합)</t>
    <phoneticPr fontId="99" type="noConversion"/>
  </si>
  <si>
    <t>RC
(3차년
DC합)</t>
    <phoneticPr fontId="99" type="noConversion"/>
  </si>
  <si>
    <t>고능률우대</t>
    <phoneticPr fontId="99" type="noConversion"/>
  </si>
  <si>
    <t>효율수수료</t>
    <phoneticPr fontId="99" type="noConversion"/>
  </si>
  <si>
    <t>오버라이딩보너스</t>
    <phoneticPr fontId="16" type="noConversion"/>
  </si>
  <si>
    <t>본사수수료</t>
    <phoneticPr fontId="17" type="noConversion"/>
  </si>
  <si>
    <t>본부장</t>
    <phoneticPr fontId="17" type="noConversion"/>
  </si>
  <si>
    <t>인증지점장</t>
    <phoneticPr fontId="17" type="noConversion"/>
  </si>
  <si>
    <t>일반지점장</t>
    <phoneticPr fontId="17" type="noConversion"/>
  </si>
  <si>
    <t>팀장</t>
    <phoneticPr fontId="17" type="noConversion"/>
  </si>
  <si>
    <t>위촉FC</t>
    <phoneticPr fontId="17" type="noConversion"/>
  </si>
  <si>
    <t>기준</t>
    <phoneticPr fontId="17" type="noConversion"/>
  </si>
  <si>
    <t>1차년DC</t>
    <phoneticPr fontId="16" type="noConversion"/>
  </si>
  <si>
    <t>2차년DC</t>
    <phoneticPr fontId="16" type="noConversion"/>
  </si>
  <si>
    <t>3차년DC</t>
    <phoneticPr fontId="17" type="noConversion"/>
  </si>
  <si>
    <t>1차년</t>
    <phoneticPr fontId="17" type="noConversion"/>
  </si>
  <si>
    <t>2차년</t>
    <phoneticPr fontId="17" type="noConversion"/>
  </si>
  <si>
    <t>3차년</t>
    <phoneticPr fontId="17" type="noConversion"/>
  </si>
  <si>
    <t>익월
(1~6회
선지급)</t>
    <phoneticPr fontId="99" type="noConversion"/>
  </si>
  <si>
    <t>7~12회</t>
    <phoneticPr fontId="99" type="noConversion"/>
  </si>
  <si>
    <t>1회</t>
    <phoneticPr fontId="99" type="noConversion"/>
  </si>
  <si>
    <t>2~12회</t>
    <phoneticPr fontId="99" type="noConversion"/>
  </si>
  <si>
    <t>익월</t>
    <phoneticPr fontId="17" type="noConversion"/>
  </si>
  <si>
    <t>1차년
(익월포함)</t>
    <phoneticPr fontId="17" type="noConversion"/>
  </si>
  <si>
    <t>총계</t>
    <phoneticPr fontId="17" type="noConversion"/>
  </si>
  <si>
    <t>파워밸런스 변액연금보험 VI (300,000원이상)</t>
    <phoneticPr fontId="17" type="noConversion"/>
  </si>
  <si>
    <t>10년납 이상</t>
    <phoneticPr fontId="17" type="noConversion"/>
  </si>
  <si>
    <t>LTC 더블연금보험 (300,000원이상)</t>
    <phoneticPr fontId="17" type="noConversion"/>
  </si>
  <si>
    <t>뉴파워리턴변액유니버셜 II (400,000원이상)</t>
    <phoneticPr fontId="17" type="noConversion"/>
  </si>
  <si>
    <t>12년의무납</t>
    <phoneticPr fontId="17" type="noConversion"/>
  </si>
  <si>
    <t>골드플랜연금보험 (300,000원이상)</t>
    <phoneticPr fontId="109" type="noConversion"/>
  </si>
  <si>
    <t>AZ멀티플 VUL통합종신 (1형(기본형)) (150,000원이상)</t>
    <phoneticPr fontId="17" type="noConversion"/>
  </si>
  <si>
    <t>19년납 이상</t>
    <phoneticPr fontId="16" type="noConversion"/>
  </si>
  <si>
    <t>파워업 종신보험 (1형, 2형) (150,000원이상)</t>
    <phoneticPr fontId="17" type="noConversion"/>
  </si>
  <si>
    <r>
      <t>LTC 더블연금보험</t>
    </r>
    <r>
      <rPr>
        <b/>
        <sz val="9"/>
        <color rgb="FF0000FF"/>
        <rFont val="맑은 고딕"/>
        <family val="3"/>
        <charset val="129"/>
      </rPr>
      <t>(일시납)</t>
    </r>
    <phoneticPr fontId="17" type="noConversion"/>
  </si>
  <si>
    <t>일시납</t>
    <phoneticPr fontId="16" type="noConversion"/>
  </si>
  <si>
    <t xml:space="preserve"> </t>
    <phoneticPr fontId="99" type="noConversion"/>
  </si>
  <si>
    <t xml:space="preserve"> &lt; 세부 사항 안내 &gt;</t>
    <phoneticPr fontId="17" type="noConversion"/>
  </si>
  <si>
    <t>1. 작성 기준</t>
    <phoneticPr fontId="17" type="noConversion"/>
  </si>
  <si>
    <t>※ 오버라이딩보너스 :  2014.07월까지의 신계약은 개정 전 오버라이딩보너스 지급 기준 적용</t>
    <phoneticPr fontId="99" type="noConversion"/>
  </si>
  <si>
    <t xml:space="preserve"> ① 최저 보장제 적용 : 성과수수료는 정산P 235백만원 구간 보장지급함</t>
    <phoneticPr fontId="17" type="noConversion"/>
  </si>
  <si>
    <t xml:space="preserve"> ② 보장지급 이외 나머지 수수료 항목의 실 지급은 업적, 유지율 및 기타 제조건에 따라 연동하여 지급함</t>
    <phoneticPr fontId="17" type="noConversion"/>
  </si>
  <si>
    <t xml:space="preserve"> ③ DC 기준 : 납기에 따른 주계약의 월납영수보험료를 기준으로 예시하였으며, 실제 설계시 보험료 및 특약별로 적용되는 DC가 다를 수 있으므로, </t>
    <phoneticPr fontId="17" type="noConversion"/>
  </si>
  <si>
    <t xml:space="preserve"> ④ AC선지급 유무 : 비월납,일시납, 단체보험은 선지급 대상에서 제외한다.</t>
    <phoneticPr fontId="99" type="noConversion"/>
  </si>
  <si>
    <t>▶ 테이블 예시 기준 :  주계약기준, 보험료 100만원 이상 기준</t>
    <phoneticPr fontId="17" type="noConversion"/>
  </si>
  <si>
    <t xml:space="preserve">2. 비고 : 상기 자료는 예시이므로 매월 마감 업적, 유지율 및 개별 상품 설계시의 실제 DC율 등에 따라 추가 또는 감소되어 지급됨 </t>
    <phoneticPr fontId="17" type="noConversion"/>
  </si>
  <si>
    <t>용 도   및   기 타</t>
    <phoneticPr fontId="17" type="noConversion"/>
  </si>
  <si>
    <t>초회 환산성적</t>
    <phoneticPr fontId="17" type="noConversion"/>
  </si>
  <si>
    <t>보험료(월납P)의 일정범위 및 환산성적의 일정범위내에서 정한 당월신계약의 초회성적</t>
    <phoneticPr fontId="17" type="noConversion"/>
  </si>
  <si>
    <t>정산성적 산출기초로 활용</t>
    <phoneticPr fontId="17" type="noConversion"/>
  </si>
  <si>
    <t>월납기준보험료(일시납은 납초P) * 초회 환산율</t>
    <phoneticPr fontId="17" type="noConversion"/>
  </si>
  <si>
    <t>익월모집수수료와 동일함</t>
    <phoneticPr fontId="17" type="noConversion"/>
  </si>
  <si>
    <t>정산성적</t>
    <phoneticPr fontId="17" type="noConversion"/>
  </si>
  <si>
    <t>당월 신계약 초회환산성적 - 무효계약 초회환산성적의 차감성적</t>
    <phoneticPr fontId="17" type="noConversion"/>
  </si>
  <si>
    <t>성과수수료 평가시 적용</t>
    <phoneticPr fontId="17" type="noConversion"/>
  </si>
  <si>
    <t>- 미유지계약 초회환산성적의 환수성적 + 부활계약의 기 환수 초회환산성적</t>
    <phoneticPr fontId="17" type="noConversion"/>
  </si>
  <si>
    <t>2. 효율 관련 용어 정의</t>
    <phoneticPr fontId="17" type="noConversion"/>
  </si>
  <si>
    <t>용   도</t>
    <phoneticPr fontId="17" type="noConversion"/>
  </si>
  <si>
    <t>회차 유지율</t>
    <phoneticPr fontId="17" type="noConversion"/>
  </si>
  <si>
    <t>유지회차별 유지 성적을 모집 성적으로 나눈 율</t>
    <phoneticPr fontId="17" type="noConversion"/>
  </si>
  <si>
    <t>보험영업지침 및 영업관련 평가 등의 적용 유지율</t>
    <phoneticPr fontId="17" type="noConversion"/>
  </si>
  <si>
    <t>2~13회 통산유지율</t>
    <phoneticPr fontId="17" type="noConversion"/>
  </si>
  <si>
    <t>2~13회 유지 성적의 합을 모집 성적의 합으로 나눈 율</t>
    <phoneticPr fontId="17" type="noConversion"/>
  </si>
  <si>
    <t>영업 개시 차월별로 최종 산출되는 유지율 적용</t>
    <phoneticPr fontId="17" type="noConversion"/>
  </si>
  <si>
    <t>영업 개시 13차월 이상 : 85% 기준</t>
    <phoneticPr fontId="17" type="noConversion"/>
  </si>
  <si>
    <t>수금율</t>
    <phoneticPr fontId="17" type="noConversion"/>
  </si>
  <si>
    <t>해당월 수금자원 대비 수금실적의 비율 (수금율 = 수금실적/수금자원 * 100)</t>
    <phoneticPr fontId="17" type="noConversion"/>
  </si>
  <si>
    <t>해당월 총 수금자원 대비 수금실적의 비율</t>
    <phoneticPr fontId="17" type="noConversion"/>
  </si>
  <si>
    <t>보유계약 중 25회 유지가 확정되지 않은 계약을 해약,해지 또는 성립후 청약철회가 발생하고, 전후 3개월내(총7개월간) 재계약된 계약(전상품 대상)</t>
    <phoneticPr fontId="16" type="noConversion"/>
  </si>
  <si>
    <t>승환계약으로 판명된 경우에는 성적 및 수수료 100%차감</t>
    <phoneticPr fontId="16" type="noConversion"/>
  </si>
  <si>
    <t>4. 수수료 항목 및 지급 기준</t>
    <phoneticPr fontId="17" type="noConversion"/>
  </si>
  <si>
    <t>세 부 사 항</t>
    <phoneticPr fontId="17" type="noConversion"/>
  </si>
  <si>
    <t>지급 기준</t>
    <phoneticPr fontId="17" type="noConversion"/>
  </si>
  <si>
    <t>모집수수료</t>
    <phoneticPr fontId="17" type="noConversion"/>
  </si>
  <si>
    <t>당월 정산성적의 100% 해당액 지급 (상품별 환산성적)</t>
    <phoneticPr fontId="17" type="noConversion"/>
  </si>
  <si>
    <t>초회환산성적과 동일함</t>
    <phoneticPr fontId="17" type="noConversion"/>
  </si>
  <si>
    <t>성과수수료</t>
    <phoneticPr fontId="17" type="noConversion"/>
  </si>
  <si>
    <t>정산성적 7천만 구간 및 유지율 85% 지표 보장지급</t>
    <phoneticPr fontId="17" type="noConversion"/>
  </si>
  <si>
    <t>정 산 성 적</t>
    <phoneticPr fontId="17" type="noConversion"/>
  </si>
  <si>
    <t>70백만↑</t>
    <phoneticPr fontId="17" type="noConversion"/>
  </si>
  <si>
    <t>50백만↑</t>
    <phoneticPr fontId="17" type="noConversion"/>
  </si>
  <si>
    <t>30백만↑</t>
    <phoneticPr fontId="17" type="noConversion"/>
  </si>
  <si>
    <t>20백만↑</t>
    <phoneticPr fontId="17" type="noConversion"/>
  </si>
  <si>
    <t>10백만↑</t>
    <phoneticPr fontId="17" type="noConversion"/>
  </si>
  <si>
    <t>7백만↑</t>
    <phoneticPr fontId="17" type="noConversion"/>
  </si>
  <si>
    <t>5백만↑</t>
    <phoneticPr fontId="17" type="noConversion"/>
  </si>
  <si>
    <t>3백만↑</t>
    <phoneticPr fontId="17" type="noConversion"/>
  </si>
  <si>
    <t>2백만↑</t>
    <phoneticPr fontId="17" type="noConversion"/>
  </si>
  <si>
    <t>2백만미만</t>
    <phoneticPr fontId="17" type="noConversion"/>
  </si>
  <si>
    <t>지 급 율</t>
    <phoneticPr fontId="17" type="noConversion"/>
  </si>
  <si>
    <t>유 지 율</t>
    <phoneticPr fontId="17" type="noConversion"/>
  </si>
  <si>
    <t>지표+10%↑</t>
    <phoneticPr fontId="17" type="noConversion"/>
  </si>
  <si>
    <t>지표+5%↑</t>
    <phoneticPr fontId="17" type="noConversion"/>
  </si>
  <si>
    <t>지표↑</t>
    <phoneticPr fontId="17" type="noConversion"/>
  </si>
  <si>
    <t>지표-5%↑</t>
    <phoneticPr fontId="17" type="noConversion"/>
  </si>
  <si>
    <t>지표-10%↑</t>
    <phoneticPr fontId="17" type="noConversion"/>
  </si>
  <si>
    <t>지표-10%미만</t>
    <phoneticPr fontId="17" type="noConversion"/>
  </si>
  <si>
    <t>지표 유지율 = 85%</t>
    <phoneticPr fontId="17" type="noConversion"/>
  </si>
  <si>
    <t>지 급 율</t>
    <phoneticPr fontId="17" type="noConversion"/>
  </si>
  <si>
    <t>계약관리 수수료</t>
    <phoneticPr fontId="17" type="noConversion"/>
  </si>
  <si>
    <t>2~max 36회차 유지(입금)계약에 대해
초회 환산성적 대비 상품성향 구분에 따라 유지회차별 지급률 차등 적용
전략종신 : 프리미엄 VUL종신, 프리미엄 UL종신 2종</t>
    <phoneticPr fontId="99" type="noConversion"/>
  </si>
  <si>
    <t>구분</t>
    <phoneticPr fontId="17" type="noConversion"/>
  </si>
  <si>
    <t>2~6회</t>
    <phoneticPr fontId="17" type="noConversion"/>
  </si>
  <si>
    <t>7~12회</t>
    <phoneticPr fontId="17" type="noConversion"/>
  </si>
  <si>
    <t>13~24회</t>
    <phoneticPr fontId="17" type="noConversion"/>
  </si>
  <si>
    <t>25~36회</t>
    <phoneticPr fontId="17" type="noConversion"/>
  </si>
  <si>
    <t>누적</t>
    <phoneticPr fontId="17" type="noConversion"/>
  </si>
  <si>
    <t>비보장성</t>
    <phoneticPr fontId="17" type="noConversion"/>
  </si>
  <si>
    <t>보장성</t>
    <phoneticPr fontId="17" type="noConversion"/>
  </si>
  <si>
    <t>전략종신</t>
    <phoneticPr fontId="17" type="noConversion"/>
  </si>
  <si>
    <t>16년납↑ 7.5%</t>
    <phoneticPr fontId="17" type="noConversion"/>
  </si>
  <si>
    <t>Max 400%</t>
    <phoneticPr fontId="17" type="noConversion"/>
  </si>
  <si>
    <t>종신&amp;CI</t>
    <phoneticPr fontId="17" type="noConversion"/>
  </si>
  <si>
    <t>16년납↑ 5.0%</t>
    <phoneticPr fontId="17" type="noConversion"/>
  </si>
  <si>
    <t>Max 370%</t>
    <phoneticPr fontId="17" type="noConversion"/>
  </si>
  <si>
    <t>기타보장</t>
    <phoneticPr fontId="17" type="noConversion"/>
  </si>
  <si>
    <t>ㅡ</t>
    <phoneticPr fontId="17" type="noConversion"/>
  </si>
  <si>
    <t>보장성 판매수수료</t>
    <phoneticPr fontId="99" type="noConversion"/>
  </si>
  <si>
    <t>지급대상 : 2~13회 유지율 지표↑인 실적월 신계약
지급방법 :  보장성 정산성적 * 구간별 지급율
단, 보장성 정산성적 3백만 미만시 부지급</t>
    <phoneticPr fontId="99" type="noConversion"/>
  </si>
  <si>
    <t>보장성 정산성적</t>
    <phoneticPr fontId="99" type="noConversion"/>
  </si>
  <si>
    <t>3백만↑</t>
    <phoneticPr fontId="99" type="noConversion"/>
  </si>
  <si>
    <t>지표+10%↑</t>
    <phoneticPr fontId="99" type="noConversion"/>
  </si>
  <si>
    <t>지표+5%↑</t>
    <phoneticPr fontId="99" type="noConversion"/>
  </si>
  <si>
    <t>지표↑</t>
    <phoneticPr fontId="99" type="noConversion"/>
  </si>
  <si>
    <t>효율가산수수료</t>
    <phoneticPr fontId="99" type="noConversion"/>
  </si>
  <si>
    <t>지급대상 : 정산성석 3백만 이상 달성 시 지급
지급방법 : 상품서양 구분 및 유지(입금)회차에 따라 초회성적 대비 지급율 적용</t>
    <phoneticPr fontId="99" type="noConversion"/>
  </si>
  <si>
    <t>회차구분</t>
    <phoneticPr fontId="99" type="noConversion"/>
  </si>
  <si>
    <t>13~24회</t>
    <phoneticPr fontId="99" type="noConversion"/>
  </si>
  <si>
    <t>25~36회</t>
    <phoneticPr fontId="99" type="noConversion"/>
  </si>
  <si>
    <t>비보장성</t>
    <phoneticPr fontId="99" type="noConversion"/>
  </si>
  <si>
    <t>회차별 3%</t>
    <phoneticPr fontId="99" type="noConversion"/>
  </si>
  <si>
    <t>회차별 2%</t>
    <phoneticPr fontId="99" type="noConversion"/>
  </si>
  <si>
    <t>보장성</t>
    <phoneticPr fontId="99" type="noConversion"/>
  </si>
  <si>
    <t>회차별 4%</t>
    <phoneticPr fontId="99" type="noConversion"/>
  </si>
  <si>
    <t>모집
수수료</t>
    <phoneticPr fontId="17" type="noConversion"/>
  </si>
  <si>
    <t>성과
수수료</t>
    <phoneticPr fontId="17" type="noConversion"/>
  </si>
  <si>
    <t>보장성 
판매</t>
    <phoneticPr fontId="99" type="noConversion"/>
  </si>
  <si>
    <t>계약관리수수료</t>
    <phoneticPr fontId="17" type="noConversion"/>
  </si>
  <si>
    <t>효율가산</t>
    <phoneticPr fontId="99" type="noConversion"/>
  </si>
  <si>
    <t>납기</t>
    <phoneticPr fontId="17" type="noConversion"/>
  </si>
  <si>
    <t>환산율</t>
    <phoneticPr fontId="17" type="noConversion"/>
  </si>
  <si>
    <t>2~6회</t>
    <phoneticPr fontId="17" type="noConversion"/>
  </si>
  <si>
    <t>7~12회</t>
    <phoneticPr fontId="17" type="noConversion"/>
  </si>
  <si>
    <t>2차년합</t>
    <phoneticPr fontId="17" type="noConversion"/>
  </si>
  <si>
    <t>3차년합</t>
    <phoneticPr fontId="17" type="noConversion"/>
  </si>
  <si>
    <t>13~24회</t>
    <phoneticPr fontId="99" type="noConversion"/>
  </si>
  <si>
    <t>25~36회</t>
    <phoneticPr fontId="99" type="noConversion"/>
  </si>
  <si>
    <t>(무)딴딴한약속변액유니버셜종신(기본형)</t>
    <phoneticPr fontId="17" type="noConversion"/>
  </si>
  <si>
    <t>16년납이상(23000원이상)</t>
    <phoneticPr fontId="17" type="noConversion"/>
  </si>
  <si>
    <t>(무)우리아이플러스보장보험(2종 100세보장형)</t>
    <phoneticPr fontId="17" type="noConversion"/>
  </si>
  <si>
    <t>21년납이상</t>
    <phoneticPr fontId="17" type="noConversion"/>
  </si>
  <si>
    <t>흥국OK연금보험(연금)</t>
    <phoneticPr fontId="17" type="noConversion"/>
  </si>
  <si>
    <t>10년납이상</t>
    <phoneticPr fontId="17" type="noConversion"/>
  </si>
  <si>
    <t>원플러스원 CI(CI)</t>
    <phoneticPr fontId="17" type="noConversion"/>
  </si>
  <si>
    <t>프리미엄드림재테크저축보험(저축)</t>
    <phoneticPr fontId="17" type="noConversion"/>
  </si>
  <si>
    <t>12년납</t>
    <phoneticPr fontId="17" type="noConversion"/>
  </si>
  <si>
    <r>
      <t>(무)프리미엄즉시연금보험Ⅱ</t>
    </r>
    <r>
      <rPr>
        <b/>
        <sz val="9"/>
        <color rgb="FF0000FF"/>
        <rFont val="맑은 고딕"/>
        <family val="3"/>
        <charset val="129"/>
      </rPr>
      <t>(일시납)</t>
    </r>
    <phoneticPr fontId="17" type="noConversion"/>
  </si>
  <si>
    <t>일시납</t>
    <phoneticPr fontId="17" type="noConversion"/>
  </si>
  <si>
    <t>※ 승환 규정 : 보유계약 중 25회 유지가 확정되지 않은 계약을 해약,해지 또는 성립후 청약철회가 발생하고, 전후 3개월내(총7개월간) 재계약된 계약/전상품 대상(계약자 및 피보험자 어느한쪽 해당 시 승환계약으로 간주)</t>
    <phoneticPr fontId="99" type="noConversion"/>
  </si>
  <si>
    <t xml:space="preserve"> ① 최저 보장제 : 보장 내용은 정산P 7천만 구간 및 유지율 85% 지표에 대한 성과 수수료 항목만 해당됨.</t>
    <phoneticPr fontId="17" type="noConversion"/>
  </si>
  <si>
    <t xml:space="preserve"> ② 환산 기준 : 납기에 따른 주계약의 월납영수보험료를 기준으로 예시하였으며, 실제 설계시 보험료 및 특약별로 적용되는 환산이 다를 수 있으므로, </t>
    <phoneticPr fontId="17" type="noConversion"/>
  </si>
  <si>
    <t xml:space="preserve"> ▶ 테이블 예시 기준  :  주계약기준, 종신(변액, 일반) - 20년납 / 변액연금,일반연금 - 10년납이상 </t>
    <phoneticPr fontId="17" type="noConversion"/>
  </si>
  <si>
    <t xml:space="preserve">2. 보장성 판매수수료 : 보장성 정산성적 10백만↑구간 예시함, 보장성상품 정산성적이 3백만 미만시 부지급 </t>
    <phoneticPr fontId="17" type="noConversion"/>
  </si>
  <si>
    <t xml:space="preserve">2. 효율가산수수료 : 당월 정산성적이 3백만 미만시 부지급 </t>
    <phoneticPr fontId="17" type="noConversion"/>
  </si>
  <si>
    <t>4. 유지율 적용 기준 : 13회차 IQA 유지율이 기준이며, 성과수수료 항목에 연동하여 지급하나 유지율 85% 지표까지 최저보장적용됨.</t>
    <phoneticPr fontId="17" type="noConversion"/>
  </si>
  <si>
    <t xml:space="preserve">5. 비고 : 상기 자료는 예시이므로 매월 마감 업적, 유지율 및 개별 상품 설계시의 실제 환산P등에 따라 추가 또는 감소되어 지급됨 </t>
    <phoneticPr fontId="17" type="noConversion"/>
  </si>
  <si>
    <t>1. 업적 관련 용어 정의</t>
    <phoneticPr fontId="17" type="noConversion"/>
  </si>
  <si>
    <t>항  목</t>
    <phoneticPr fontId="17" type="noConversion"/>
  </si>
  <si>
    <t>용어 정의</t>
    <phoneticPr fontId="17" type="noConversion"/>
  </si>
  <si>
    <t>비  고</t>
    <phoneticPr fontId="17" type="noConversion"/>
  </si>
  <si>
    <t>총환산월초</t>
    <phoneticPr fontId="17" type="noConversion"/>
  </si>
  <si>
    <t>현금흐름방식에 의거 산출된 상품별 비용 재원에 비례한 성적</t>
    <phoneticPr fontId="17" type="noConversion"/>
  </si>
  <si>
    <t>환산월초 = 월납기준보험료 * 계약별환산율</t>
    <phoneticPr fontId="16" type="noConversion"/>
  </si>
  <si>
    <t>월납환산보험료</t>
    <phoneticPr fontId="17" type="noConversion"/>
  </si>
  <si>
    <t>납입방법별 초회보험료를 월납기준으로 환산한 보험료
(신계약 초회보험료 * 납방별환산율)</t>
    <phoneticPr fontId="17" type="noConversion"/>
  </si>
  <si>
    <t>구분</t>
    <phoneticPr fontId="17" type="noConversion"/>
  </si>
  <si>
    <t>월납</t>
    <phoneticPr fontId="17" type="noConversion"/>
  </si>
  <si>
    <t>3개월납</t>
    <phoneticPr fontId="17" type="noConversion"/>
  </si>
  <si>
    <t>6개월납</t>
    <phoneticPr fontId="17" type="noConversion"/>
  </si>
  <si>
    <t>연납</t>
    <phoneticPr fontId="17" type="noConversion"/>
  </si>
  <si>
    <t>환산율</t>
    <phoneticPr fontId="17" type="noConversion"/>
  </si>
  <si>
    <t>2. 효율 관련 용어 정의</t>
    <phoneticPr fontId="17" type="noConversion"/>
  </si>
  <si>
    <t>항  목</t>
    <phoneticPr fontId="17" type="noConversion"/>
  </si>
  <si>
    <t>용어 정의</t>
    <phoneticPr fontId="17" type="noConversion"/>
  </si>
  <si>
    <t>2~18회 통산유지율</t>
    <phoneticPr fontId="17" type="noConversion"/>
  </si>
  <si>
    <t>(유예)2~18회 유지계약 월납환산P 합산 ÷ (유예)2~18회 모집계약 월납환산P 합산 * 100%
청약철회, 해지, 무효, 취소, 보험금 지급 후 종료된 계약은 모집 및 유지실적에서 제외 후 산출</t>
    <phoneticPr fontId="17" type="noConversion"/>
  </si>
  <si>
    <t>GA 등급</t>
    <phoneticPr fontId="17" type="noConversion"/>
  </si>
  <si>
    <t>직전 3개월 평균 당월총환산월초 규모에 따라 분류
(마감후 청약철회, 품보해지 등 차감 반영)</t>
    <phoneticPr fontId="17" type="noConversion"/>
  </si>
  <si>
    <t>등급</t>
    <phoneticPr fontId="17" type="noConversion"/>
  </si>
  <si>
    <t>1등급</t>
    <phoneticPr fontId="17" type="noConversion"/>
  </si>
  <si>
    <t>2등급</t>
    <phoneticPr fontId="17" type="noConversion"/>
  </si>
  <si>
    <t>3등급</t>
    <phoneticPr fontId="17" type="noConversion"/>
  </si>
  <si>
    <t>4등급</t>
    <phoneticPr fontId="17" type="noConversion"/>
  </si>
  <si>
    <t>5등급</t>
    <phoneticPr fontId="17" type="noConversion"/>
  </si>
  <si>
    <t>총환산월초</t>
    <phoneticPr fontId="17" type="noConversion"/>
  </si>
  <si>
    <t>35백만↑</t>
    <phoneticPr fontId="99" type="noConversion"/>
  </si>
  <si>
    <t>25백만↑</t>
    <phoneticPr fontId="99" type="noConversion"/>
  </si>
  <si>
    <t>15백만↑</t>
    <phoneticPr fontId="17" type="noConversion"/>
  </si>
  <si>
    <t>7백만↑</t>
    <phoneticPr fontId="17" type="noConversion"/>
  </si>
  <si>
    <t>7백만미만</t>
    <phoneticPr fontId="17" type="noConversion"/>
  </si>
  <si>
    <t>대체(승환) 계약</t>
    <phoneticPr fontId="17" type="noConversion"/>
  </si>
  <si>
    <t>업적월 기준으로 6개월 전후 사이에, 동일계약자 또는 (종)피보험자 명의의 계약이 실효,해약,감액된 경우 성적 및 수수료 100% 차감</t>
    <phoneticPr fontId="17" type="noConversion"/>
  </si>
  <si>
    <t>3. 수수료 항목 및 지급 기준</t>
    <phoneticPr fontId="17" type="noConversion"/>
  </si>
  <si>
    <t>세 부  사 항</t>
    <phoneticPr fontId="17" type="noConversion"/>
  </si>
  <si>
    <t>비  고</t>
    <phoneticPr fontId="17" type="noConversion"/>
  </si>
  <si>
    <t>초년도수수료 (FYC)</t>
    <phoneticPr fontId="17" type="noConversion"/>
  </si>
  <si>
    <r>
      <rPr>
        <sz val="9"/>
        <color rgb="FF0000FF"/>
        <rFont val="맑은 고딕"/>
        <family val="3"/>
        <charset val="129"/>
      </rPr>
      <t xml:space="preserve">     1회 : </t>
    </r>
    <r>
      <rPr>
        <sz val="9"/>
        <rFont val="맑은 고딕"/>
        <family val="3"/>
        <charset val="129"/>
      </rPr>
      <t xml:space="preserve">총환산월초 * 120% * 1회 (1~5회 先지급)
     </t>
    </r>
    <r>
      <rPr>
        <sz val="9"/>
        <color rgb="FF0000FF"/>
        <rFont val="맑은 고딕"/>
        <family val="3"/>
        <charset val="129"/>
      </rPr>
      <t xml:space="preserve">6~12회 : </t>
    </r>
    <r>
      <rPr>
        <sz val="9"/>
        <rFont val="맑은 고딕"/>
        <family val="3"/>
        <charset val="129"/>
      </rPr>
      <t>총환산월초 * 24% * 7회</t>
    </r>
    <phoneticPr fontId="17" type="noConversion"/>
  </si>
  <si>
    <t xml:space="preserve">    비월납의 경우 : 총환산월초 * 월납수수료율 * 비월납개월수
    ※ 일시납은 별도 산출
    ※ 월납수수료율은 '초년도 고객관리수수료' 지급률 적용하되,
        1~5회 월납수수료율 24% 적용</t>
    <phoneticPr fontId="17" type="noConversion"/>
  </si>
  <si>
    <t>2차년도이후수수료 (RC)</t>
    <phoneticPr fontId="17" type="noConversion"/>
  </si>
  <si>
    <r>
      <rPr>
        <sz val="9"/>
        <color rgb="FF0000FF"/>
        <rFont val="맑은 고딕"/>
        <family val="3"/>
        <charset val="129"/>
      </rPr>
      <t xml:space="preserve">    13~24회 :</t>
    </r>
    <r>
      <rPr>
        <sz val="9"/>
        <rFont val="맑은 고딕"/>
        <family val="3"/>
        <charset val="129"/>
      </rPr>
      <t xml:space="preserve"> 총환산월초 * 12.5% * 12회
    </t>
    </r>
    <r>
      <rPr>
        <sz val="9"/>
        <color rgb="FF0000FF"/>
        <rFont val="맑은 고딕"/>
        <family val="3"/>
        <charset val="129"/>
      </rPr>
      <t>25~36회(보장외) :</t>
    </r>
    <r>
      <rPr>
        <sz val="9"/>
        <rFont val="맑은 고딕"/>
        <family val="3"/>
        <charset val="129"/>
      </rPr>
      <t xml:space="preserve"> 총환산월초 * 8% * 12회
    </t>
    </r>
    <r>
      <rPr>
        <sz val="9"/>
        <color rgb="FF0000FF"/>
        <rFont val="맑은 고딕"/>
        <family val="3"/>
        <charset val="129"/>
      </rPr>
      <t>25~36회(보장) :</t>
    </r>
    <r>
      <rPr>
        <sz val="9"/>
        <rFont val="맑은 고딕"/>
        <family val="3"/>
        <charset val="129"/>
      </rPr>
      <t xml:space="preserve"> 총환산월초 * 10% * 12회</t>
    </r>
    <phoneticPr fontId="17" type="noConversion"/>
  </si>
  <si>
    <t>생산성보너스</t>
    <phoneticPr fontId="17" type="noConversion"/>
  </si>
  <si>
    <r>
      <t>총환산월초 * 지급률
(GA등급과 총환산월초 중 유리한 지급률로 적용)</t>
    </r>
    <r>
      <rPr>
        <sz val="9"/>
        <color rgb="FFFF0000"/>
        <rFont val="맑은 고딕"/>
        <family val="3"/>
        <charset val="129"/>
      </rPr>
      <t/>
    </r>
    <phoneticPr fontId="16" type="noConversion"/>
  </si>
  <si>
    <t>GA등급</t>
    <phoneticPr fontId="17" type="noConversion"/>
  </si>
  <si>
    <t>2등급</t>
    <phoneticPr fontId="17" type="noConversion"/>
  </si>
  <si>
    <t>3등급</t>
    <phoneticPr fontId="17" type="noConversion"/>
  </si>
  <si>
    <t>4등급</t>
    <phoneticPr fontId="17" type="noConversion"/>
  </si>
  <si>
    <t>5등급</t>
    <phoneticPr fontId="17" type="noConversion"/>
  </si>
  <si>
    <t>총환산월초</t>
    <phoneticPr fontId="17" type="noConversion"/>
  </si>
  <si>
    <t>2~18회 통산유지율에 따른 지급률 가삭감 적용</t>
    <phoneticPr fontId="99" type="noConversion"/>
  </si>
  <si>
    <t>통산유지율</t>
    <phoneticPr fontId="99" type="noConversion"/>
  </si>
  <si>
    <t>94%↑</t>
    <phoneticPr fontId="99" type="noConversion"/>
  </si>
  <si>
    <t>90%↑</t>
    <phoneticPr fontId="99" type="noConversion"/>
  </si>
  <si>
    <t>86%↑</t>
    <phoneticPr fontId="99" type="noConversion"/>
  </si>
  <si>
    <t>82%↑</t>
    <phoneticPr fontId="99" type="noConversion"/>
  </si>
  <si>
    <t>82%미만</t>
    <phoneticPr fontId="99" type="noConversion"/>
  </si>
  <si>
    <t>적용률</t>
    <phoneticPr fontId="99" type="noConversion"/>
  </si>
  <si>
    <r>
      <rPr>
        <b/>
        <sz val="9"/>
        <color rgb="FFFF0000"/>
        <rFont val="맑은 고딕"/>
        <family val="3"/>
        <charset val="129"/>
      </rPr>
      <t>주계약</t>
    </r>
    <r>
      <rPr>
        <sz val="9"/>
        <rFont val="맑은 고딕"/>
        <family val="3"/>
        <charset val="129"/>
      </rPr>
      <t xml:space="preserve">
월납P</t>
    </r>
    <phoneticPr fontId="17" type="noConversion"/>
  </si>
  <si>
    <t>RC(2차년~)</t>
    <phoneticPr fontId="16" type="noConversion"/>
  </si>
  <si>
    <t>생산성보너스</t>
    <phoneticPr fontId="17" type="noConversion"/>
  </si>
  <si>
    <t>본사수수료</t>
    <phoneticPr fontId="17" type="noConversion"/>
  </si>
  <si>
    <t>본부장</t>
    <phoneticPr fontId="17" type="noConversion"/>
  </si>
  <si>
    <t>인증지점장</t>
    <phoneticPr fontId="16" type="noConversion"/>
  </si>
  <si>
    <t>팀장</t>
    <phoneticPr fontId="17" type="noConversion"/>
  </si>
  <si>
    <t>위촉FC</t>
    <phoneticPr fontId="17" type="noConversion"/>
  </si>
  <si>
    <t>기준</t>
    <phoneticPr fontId="17" type="noConversion"/>
  </si>
  <si>
    <t>환산율</t>
    <phoneticPr fontId="17" type="noConversion"/>
  </si>
  <si>
    <t>모집수수료
(1~5회先)</t>
    <phoneticPr fontId="16" type="noConversion"/>
  </si>
  <si>
    <t>6~12회
합계</t>
    <phoneticPr fontId="16" type="noConversion"/>
  </si>
  <si>
    <t>13~24회
합계</t>
    <phoneticPr fontId="16" type="noConversion"/>
  </si>
  <si>
    <t>25~36회
합계</t>
    <phoneticPr fontId="16" type="noConversion"/>
  </si>
  <si>
    <t>익월</t>
    <phoneticPr fontId="17" type="noConversion"/>
  </si>
  <si>
    <t>1차년
(익월포함)</t>
    <phoneticPr fontId="17" type="noConversion"/>
  </si>
  <si>
    <t>총계</t>
    <phoneticPr fontId="17" type="noConversion"/>
  </si>
  <si>
    <t>(무)한화생명변액연금보험</t>
    <phoneticPr fontId="17" type="noConversion"/>
  </si>
  <si>
    <t>변액연금 / 10년납↑</t>
    <phoneticPr fontId="17" type="noConversion"/>
  </si>
  <si>
    <t>(무)The따뜻한Free연금보험</t>
    <phoneticPr fontId="99" type="noConversion"/>
  </si>
  <si>
    <t>일반연금 / 10년납↑(100만↑)</t>
    <phoneticPr fontId="17" type="noConversion"/>
  </si>
  <si>
    <t>트리플라이프연금</t>
    <phoneticPr fontId="16" type="noConversion"/>
  </si>
  <si>
    <t>연금저축 하이드림연금보험</t>
    <phoneticPr fontId="16" type="noConversion"/>
  </si>
  <si>
    <t>일반연금(세제적격) / 10년납↑</t>
    <phoneticPr fontId="17" type="noConversion"/>
  </si>
  <si>
    <t>(무)한화플러스저축</t>
    <phoneticPr fontId="16" type="noConversion"/>
  </si>
  <si>
    <t>(무)변액유니버셜적립Ⅱ보험</t>
    <phoneticPr fontId="16" type="noConversion"/>
  </si>
  <si>
    <t>저축 / 12년의무납입형</t>
    <phoneticPr fontId="17" type="noConversion"/>
  </si>
  <si>
    <t>(무)The따뜻한스마트통합보험</t>
    <phoneticPr fontId="17" type="noConversion"/>
  </si>
  <si>
    <t>종신 / 20년납↑</t>
    <phoneticPr fontId="16" type="noConversion"/>
  </si>
  <si>
    <t>(무)한화생명여성CI보험</t>
    <phoneticPr fontId="99" type="noConversion"/>
  </si>
  <si>
    <t>CI / 20년납↑</t>
    <phoneticPr fontId="16" type="noConversion"/>
  </si>
  <si>
    <t>(무)The따뜻한실버암보험</t>
    <phoneticPr fontId="17" type="noConversion"/>
  </si>
  <si>
    <t>보장 / 비일시납</t>
    <phoneticPr fontId="17" type="noConversion"/>
  </si>
  <si>
    <t>(무)The따뜻한한화생명정기보험</t>
    <phoneticPr fontId="17" type="noConversion"/>
  </si>
  <si>
    <t>보장 / 1종순수형</t>
    <phoneticPr fontId="17" type="noConversion"/>
  </si>
  <si>
    <t>(무)리치바로연금보험</t>
    <phoneticPr fontId="16" type="noConversion"/>
  </si>
  <si>
    <t>-</t>
    <phoneticPr fontId="16" type="noConversion"/>
  </si>
  <si>
    <t>일시납</t>
    <phoneticPr fontId="17" type="noConversion"/>
  </si>
  <si>
    <t xml:space="preserve"> &lt; 세부 사항 안내 &gt;</t>
    <phoneticPr fontId="17" type="noConversion"/>
  </si>
  <si>
    <t>1. 작성 기준</t>
    <phoneticPr fontId="17" type="noConversion"/>
  </si>
  <si>
    <t xml:space="preserve"> ① 최저 보장제 미적용 : 총환산월초, 유지율 및 기타 조건은 실제 지급 기준과 연동하여 적용 / 예시 기준은 GA등급 1등급(총환산월초 35백만↑), 유지율 82%↑구간 반영하여 적용</t>
    <phoneticPr fontId="17" type="noConversion"/>
  </si>
  <si>
    <t xml:space="preserve"> ② 환산 기준 : 납기에 따른 주계약의 월납영수보험료를 기준으로 예시하였으며, 실제 설계시 보험료 및 특약별로 적용되는 환산이 다를 수 있으므로, 정확한 환산은 팜스에 공지되어 있는 상품별 환산 자료 참조 요망</t>
    <phoneticPr fontId="17" type="noConversion"/>
  </si>
  <si>
    <t>2. 유지수수료 익월 先지급 기준 : FYC 항목에 한하여 전 종목 4개월(1~5회) 先지급</t>
    <phoneticPr fontId="17" type="noConversion"/>
  </si>
  <si>
    <t>3. 수수료 항목별 익월 지급 기준 : FYC(관리수수료) 5개월 + 생산성보너스 ▶ 총 2개 항목</t>
    <phoneticPr fontId="17" type="noConversion"/>
  </si>
  <si>
    <t>4. 유지율 적용 기준 : 18회차 통산유지율을 관리하며 수수료 항목 중 유지보너스 항목에 연동하여 지급함</t>
    <phoneticPr fontId="17" type="noConversion"/>
  </si>
  <si>
    <t>5. 비고 : 상기 자료는 예시이므로 매월 마감 업적, 유지율 및 개별 상품 설계시의 실제 환산P등에 따라 추가 또는 감소되어 지급될 수 있습니다.</t>
    <phoneticPr fontId="17" type="noConversion"/>
  </si>
  <si>
    <t>ANP(연납환산보험료)</t>
    <phoneticPr fontId="17" type="noConversion"/>
  </si>
  <si>
    <t>월납: 초회보험료 X 12 / 3월납: 초회보험료 X 4 / 6월납: 초회보험료 X 2 / 연납: 초회보험료 X 1 / 일시납: 일시납보험료 X 10%</t>
    <phoneticPr fontId="17" type="noConversion"/>
  </si>
  <si>
    <t>CANP</t>
    <phoneticPr fontId="17" type="noConversion"/>
  </si>
  <si>
    <t>CANP(Converted Annualized New Premium) = ANP(연납보험료) * 상품별 환산율(Conversion Rate)</t>
    <phoneticPr fontId="17" type="noConversion"/>
  </si>
  <si>
    <t>정산 CANP(NET CANP)</t>
    <phoneticPr fontId="17" type="noConversion"/>
  </si>
  <si>
    <t>신계약 CANP - 환수 CANP + 가산 CANP</t>
    <phoneticPr fontId="17" type="noConversion"/>
  </si>
  <si>
    <t>유지율
(2~25회 통산유지율 적용)</t>
    <phoneticPr fontId="17" type="noConversion"/>
  </si>
  <si>
    <t>유지율은 수수료 실적월의 전전월부터 24개월간 모집한 신계약 연납환산보험료 합계를 분모로 하고 
수수료 실적월의 전전월 부터 24개월간 모집한 신계약 중 당월 현재 유지되고 있는 보험계약의 연납환산보험료 합계를 분자로 하여 산출</t>
    <phoneticPr fontId="17" type="noConversion"/>
  </si>
  <si>
    <t>대체계약</t>
    <phoneticPr fontId="17" type="noConversion"/>
  </si>
  <si>
    <r>
      <t xml:space="preserve">보험계약 체결일로부터 월납기준 36개월 이상 보험료가 납부되지 아니한 보험계약만기 도래 이전의 보험계약이 실효, 해약, 해지 또는 감액된 경우,
해당 사유가 발생한 달을 기준으로 전후 6개월 이내 동일 피보험자 명의로 유사한 종류의 보험상품에 관하여 다시 보험계약이 성립된 경우에 해당 신계약
(유사한 종류의 상품 : 대체계약과 대체대상계약이 모두 생명보험상품이거나 모두 제3보험상품인 경우)
</t>
    </r>
    <r>
      <rPr>
        <b/>
        <sz val="9"/>
        <color rgb="FFFF0000"/>
        <rFont val="맑은 고딕"/>
        <family val="3"/>
        <charset val="129"/>
      </rPr>
      <t>※ 대체계약으로 판정시 성적 및 수수료 100% 차감</t>
    </r>
    <phoneticPr fontId="17" type="noConversion"/>
  </si>
  <si>
    <t>모집수수료</t>
    <phoneticPr fontId="17" type="noConversion"/>
  </si>
  <si>
    <t>납입된 1차년도 보험료 * 모집수수료율 * 환산율</t>
    <phoneticPr fontId="17" type="noConversion"/>
  </si>
  <si>
    <t>계약서비스수수료</t>
    <phoneticPr fontId="16" type="noConversion"/>
  </si>
  <si>
    <t>납입된 2차년(13~24차월)도 보험료 * 계약서비스수수료율 * 환산율</t>
    <phoneticPr fontId="17" type="noConversion"/>
  </si>
  <si>
    <t>신계약성과수수료</t>
    <phoneticPr fontId="17" type="noConversion"/>
  </si>
  <si>
    <t>당월 정산 CANP * 구간별 신계약성과지급률</t>
    <phoneticPr fontId="16" type="noConversion"/>
  </si>
  <si>
    <t>지급률 산정 기준 : 
직전3개월(당월포함)평균CANP</t>
    <phoneticPr fontId="17" type="noConversion"/>
  </si>
  <si>
    <t>월평균정산CANP</t>
    <phoneticPr fontId="17" type="noConversion"/>
  </si>
  <si>
    <t>85,000천↑</t>
    <phoneticPr fontId="17" type="noConversion"/>
  </si>
  <si>
    <t>50,000천↑</t>
    <phoneticPr fontId="17" type="noConversion"/>
  </si>
  <si>
    <t>20,000천↑</t>
    <phoneticPr fontId="17" type="noConversion"/>
  </si>
  <si>
    <t>20,000천미만</t>
    <phoneticPr fontId="17" type="noConversion"/>
  </si>
  <si>
    <t>유지성과수수료</t>
    <phoneticPr fontId="17" type="noConversion"/>
  </si>
  <si>
    <t>모집수수료 및 계약서비스수수료 * 유지성과수수료지급률
(수수료 실적월 말일 기준으로 산출된 유지율에 따라 매월 지급)</t>
    <phoneticPr fontId="16" type="noConversion"/>
  </si>
  <si>
    <t>25차월↑</t>
    <phoneticPr fontId="17" type="noConversion"/>
  </si>
  <si>
    <t>85%이상</t>
    <phoneticPr fontId="17" type="noConversion"/>
  </si>
  <si>
    <t>82%이상</t>
    <phoneticPr fontId="17" type="noConversion"/>
  </si>
  <si>
    <t>80%이상</t>
    <phoneticPr fontId="17" type="noConversion"/>
  </si>
  <si>
    <t>78%이상</t>
    <phoneticPr fontId="17" type="noConversion"/>
  </si>
  <si>
    <t>75%이상</t>
    <phoneticPr fontId="17" type="noConversion"/>
  </si>
  <si>
    <t>75%미만</t>
    <phoneticPr fontId="17" type="noConversion"/>
  </si>
  <si>
    <r>
      <t xml:space="preserve">장기유지이익수수료
</t>
    </r>
    <r>
      <rPr>
        <sz val="9"/>
        <color rgb="FFFF0000"/>
        <rFont val="맑은 고딕"/>
        <family val="3"/>
        <charset val="129"/>
      </rPr>
      <t>(메디컬플랜변액유니버셜 상품에 한함)</t>
    </r>
    <phoneticPr fontId="99" type="noConversion"/>
  </si>
  <si>
    <t>납입된 3차년(25~36차월)도 보험료 * 통산유지율별 지급율</t>
    <phoneticPr fontId="99" type="noConversion"/>
  </si>
  <si>
    <t>유지율</t>
    <phoneticPr fontId="99" type="noConversion"/>
  </si>
  <si>
    <t>75%이상</t>
    <phoneticPr fontId="99" type="noConversion"/>
  </si>
  <si>
    <t>65%이상 75%미만</t>
    <phoneticPr fontId="99" type="noConversion"/>
  </si>
  <si>
    <t>65%미만</t>
    <phoneticPr fontId="99" type="noConversion"/>
  </si>
  <si>
    <t>지급율</t>
    <phoneticPr fontId="99" type="noConversion"/>
  </si>
  <si>
    <t>90% ÷ 12 * 100%</t>
    <phoneticPr fontId="99" type="noConversion"/>
  </si>
  <si>
    <t>90% ÷ 12 * 50%</t>
    <phoneticPr fontId="99" type="noConversion"/>
  </si>
  <si>
    <t>0% (미지급)</t>
    <phoneticPr fontId="99" type="noConversion"/>
  </si>
  <si>
    <t>(무)THE투명한변액보험
[적립형/거치형]</t>
    <phoneticPr fontId="17" type="noConversion"/>
  </si>
  <si>
    <r>
      <rPr>
        <b/>
        <sz val="9"/>
        <color rgb="FF0000FF"/>
        <rFont val="맑은 고딕"/>
        <family val="3"/>
        <charset val="129"/>
      </rPr>
      <t xml:space="preserve">[적립형] </t>
    </r>
    <r>
      <rPr>
        <sz val="9"/>
        <rFont val="맑은 고딕"/>
        <family val="3"/>
        <charset val="129"/>
      </rPr>
      <t xml:space="preserve">모집수수료 : 기본보험료 * 모집수수료율(4%), 1차년 동안 지급
계약서비스수수료 : 기본보험료 * 계약서비스수수료율(4%), 2차년 ~ 납기 종료시까지 지급
</t>
    </r>
    <r>
      <rPr>
        <b/>
        <sz val="9"/>
        <color rgb="FF0000FF"/>
        <rFont val="맑은 고딕"/>
        <family val="3"/>
        <charset val="129"/>
      </rPr>
      <t xml:space="preserve">[거치형] </t>
    </r>
    <r>
      <rPr>
        <sz val="9"/>
        <rFont val="맑은 고딕"/>
        <family val="3"/>
        <charset val="129"/>
      </rPr>
      <t>모집수수료 : 기본보험료 * 모집수수료율(4%), 1회 지급</t>
    </r>
    <phoneticPr fontId="17" type="noConversion"/>
  </si>
  <si>
    <t>(무)THE투명한변액보험(적립형/거치형)의 경우 신계약성과수수료 및 유지성과수수료는 지급되지 않음</t>
    <phoneticPr fontId="16" type="noConversion"/>
  </si>
  <si>
    <t>상품명</t>
    <phoneticPr fontId="17" type="noConversion"/>
  </si>
  <si>
    <t>월납P</t>
    <phoneticPr fontId="17" type="noConversion"/>
  </si>
  <si>
    <t>모집수수료</t>
    <phoneticPr fontId="17" type="noConversion"/>
  </si>
  <si>
    <t>계약서비스</t>
    <phoneticPr fontId="16" type="noConversion"/>
  </si>
  <si>
    <t>신계약성과</t>
    <phoneticPr fontId="17" type="noConversion"/>
  </si>
  <si>
    <t>유지성과</t>
    <phoneticPr fontId="17" type="noConversion"/>
  </si>
  <si>
    <t>장기유지</t>
    <phoneticPr fontId="99" type="noConversion"/>
  </si>
  <si>
    <t>총 지급 수수료</t>
    <phoneticPr fontId="17" type="noConversion"/>
  </si>
  <si>
    <t>본부장</t>
    <phoneticPr fontId="17" type="noConversion"/>
  </si>
  <si>
    <t>인증지점장</t>
    <phoneticPr fontId="16" type="noConversion"/>
  </si>
  <si>
    <t>팀장</t>
    <phoneticPr fontId="17" type="noConversion"/>
  </si>
  <si>
    <t>위촉FC</t>
    <phoneticPr fontId="17" type="noConversion"/>
  </si>
  <si>
    <t>모집
수수료율</t>
    <phoneticPr fontId="16" type="noConversion"/>
  </si>
  <si>
    <t>계약서비스
수수료율</t>
    <phoneticPr fontId="16" type="noConversion"/>
  </si>
  <si>
    <t>환산율</t>
    <phoneticPr fontId="16" type="noConversion"/>
  </si>
  <si>
    <t>1회</t>
    <phoneticPr fontId="17" type="noConversion"/>
  </si>
  <si>
    <t>2~12회
합계</t>
    <phoneticPr fontId="17" type="noConversion"/>
  </si>
  <si>
    <t>13~24회
합계</t>
    <phoneticPr fontId="16" type="noConversion"/>
  </si>
  <si>
    <t>1회</t>
    <phoneticPr fontId="16" type="noConversion"/>
  </si>
  <si>
    <t>13~24회 합계</t>
    <phoneticPr fontId="17" type="noConversion"/>
  </si>
  <si>
    <t>25~36회 합계</t>
    <phoneticPr fontId="17" type="noConversion"/>
  </si>
  <si>
    <t>(무)THE건강한치아보험(갱신형)</t>
    <phoneticPr fontId="17" type="noConversion"/>
  </si>
  <si>
    <t>-</t>
    <phoneticPr fontId="99" type="noConversion"/>
  </si>
  <si>
    <t>THE 집중건강보험</t>
    <phoneticPr fontId="17" type="noConversion"/>
  </si>
  <si>
    <t>(무)THE큰보장실버보험(만기지급형)</t>
    <phoneticPr fontId="17" type="noConversion"/>
  </si>
  <si>
    <t>-</t>
    <phoneticPr fontId="99" type="noConversion"/>
  </si>
  <si>
    <t>(무)고혈압OK보험(갱신형)</t>
    <phoneticPr fontId="17" type="noConversion"/>
  </si>
  <si>
    <t>(무)라이나OK암보험(갱신형)</t>
    <phoneticPr fontId="17" type="noConversion"/>
  </si>
  <si>
    <t>(무)THE건강한우리아이(E)보험</t>
    <phoneticPr fontId="17" type="noConversion"/>
  </si>
  <si>
    <t>(무)실버암보험(갱신형)</t>
    <phoneticPr fontId="17" type="noConversion"/>
  </si>
  <si>
    <t>(무)든든한시니어간병보험(갱신형)</t>
    <phoneticPr fontId="17" type="noConversion"/>
  </si>
  <si>
    <t>65세미만</t>
    <phoneticPr fontId="16" type="noConversion"/>
  </si>
  <si>
    <t>65세이상</t>
    <phoneticPr fontId="16" type="noConversion"/>
  </si>
  <si>
    <t>(무)스페셜정기</t>
    <phoneticPr fontId="17" type="noConversion"/>
  </si>
  <si>
    <t>(무)메디컬플랜변액유니버셜보험</t>
    <phoneticPr fontId="17" type="noConversion"/>
  </si>
  <si>
    <t>(무)THE투명한변액보험(거치형)</t>
    <phoneticPr fontId="16" type="noConversion"/>
  </si>
  <si>
    <t>일시납</t>
    <phoneticPr fontId="16" type="noConversion"/>
  </si>
  <si>
    <t xml:space="preserve"> 최저 보장제 미적용 : 성과수수료는 월평균정산CANP 85,000천↑구간 (32%), 유지성과수수료는 유지율 85%↑구간(25차월↑, 지급률15%)으로 예시함</t>
    <phoneticPr fontId="16" type="noConversion"/>
  </si>
  <si>
    <t>2. 수수료 항목별 익월 지급 기준 : 모집수수료(1회) + 신계약성과수수료 + 유지성과수수료(1회) ▶ 총 3개 항목</t>
    <phoneticPr fontId="17" type="noConversion"/>
  </si>
  <si>
    <t xml:space="preserve">3. 비고 : 상기 자료는 예시이므로 매월 마감 업적, 유지율 및 개별 상품 설계시의 실제 환산 성적등에 따라 추가 또는 감소되어 지급됨 </t>
    <phoneticPr fontId="17" type="noConversion"/>
  </si>
  <si>
    <t>1. 성적 관련 용어 정의</t>
    <phoneticPr fontId="17" type="noConversion"/>
  </si>
  <si>
    <t>항  목</t>
    <phoneticPr fontId="17" type="noConversion"/>
  </si>
  <si>
    <t>용어 정의</t>
    <phoneticPr fontId="17" type="noConversion"/>
  </si>
  <si>
    <t>비  고</t>
    <phoneticPr fontId="17" type="noConversion"/>
  </si>
  <si>
    <t>환산월초</t>
    <phoneticPr fontId="17" type="noConversion"/>
  </si>
  <si>
    <t>▶ 월납기준보험료 * 상품별 환산율
▶ 예정 신계약비가 부가된 보험에 한하여 계상하며, 주계약과 특약이 조립된 상태로 계상</t>
    <phoneticPr fontId="109" type="noConversion"/>
  </si>
  <si>
    <t>비월납 계약(일시납 제외)의 환산월초는 해당 계약내역(보험기간, 납입기간 등)의 월납을 적용</t>
    <phoneticPr fontId="99" type="noConversion"/>
  </si>
  <si>
    <t>정산월초</t>
    <phoneticPr fontId="109" type="noConversion"/>
  </si>
  <si>
    <t>▶ 정산월초 = 환산월초 - 미유지 환수 환산월초 - 마감 후 철회,해지 환산월초 + 부활 환산월초</t>
    <phoneticPr fontId="109" type="noConversion"/>
  </si>
  <si>
    <t>미유지계약 환산성적 : 실효, 해약, 감액, 철회, 반송, 해지 계약의 환산성적</t>
    <phoneticPr fontId="99" type="noConversion"/>
  </si>
  <si>
    <t>2. 효율 관련 용어 정의</t>
    <phoneticPr fontId="17" type="noConversion"/>
  </si>
  <si>
    <t>18회통산 IQA 유지율</t>
    <phoneticPr fontId="17" type="noConversion"/>
  </si>
  <si>
    <t>▶ 2~18회차통산 유지환산월초 / 2~18회차통산 모집 환산월초 x 100</t>
    <phoneticPr fontId="109" type="noConversion"/>
  </si>
  <si>
    <t>3. 수수료 관련 기타 기준</t>
    <phoneticPr fontId="17" type="noConversion"/>
  </si>
  <si>
    <t>기 준</t>
    <phoneticPr fontId="99" type="noConversion"/>
  </si>
  <si>
    <t>보험료 할인 및 선납</t>
    <phoneticPr fontId="17" type="noConversion"/>
  </si>
  <si>
    <t>▶ 수수료는 할인 전 보험료 기준으로 지급 / 보험료 선납된 계약의 경우 해당차월 경과월도에 환산월초 계상</t>
    <phoneticPr fontId="17" type="noConversion"/>
  </si>
  <si>
    <t>승환계약</t>
    <phoneticPr fontId="16" type="noConversion"/>
  </si>
  <si>
    <t>▶ 모집점포코드 기준, 24회차 이내에 해지, 해약, 실효월 전후 3개월(총 6개월)내 동일계약자 또는 피보험자를 대상으로 체결된 동일 보종계약</t>
    <phoneticPr fontId="16" type="noConversion"/>
  </si>
  <si>
    <t>승환계약으로 판정시 성적 및 수수료 100% 차감</t>
    <phoneticPr fontId="99" type="noConversion"/>
  </si>
  <si>
    <t>4. 수수료 항목 및 지급 기준</t>
    <phoneticPr fontId="17" type="noConversion"/>
  </si>
  <si>
    <t>세 부 사 항</t>
    <phoneticPr fontId="17" type="noConversion"/>
  </si>
  <si>
    <t>성과수수료</t>
    <phoneticPr fontId="109" type="noConversion"/>
  </si>
  <si>
    <t xml:space="preserve">▶ 환산월초 * 지급율 </t>
    <phoneticPr fontId="109" type="noConversion"/>
  </si>
  <si>
    <t>정산월초</t>
    <phoneticPr fontId="17" type="noConversion"/>
  </si>
  <si>
    <t>50백만↑</t>
    <phoneticPr fontId="17" type="noConversion"/>
  </si>
  <si>
    <t>30백만↑</t>
    <phoneticPr fontId="17" type="noConversion"/>
  </si>
  <si>
    <t>20백만↑</t>
    <phoneticPr fontId="109" type="noConversion"/>
  </si>
  <si>
    <t>10백만↑</t>
    <phoneticPr fontId="17" type="noConversion"/>
  </si>
  <si>
    <t>10백만 ↓</t>
    <phoneticPr fontId="109" type="noConversion"/>
  </si>
  <si>
    <t>지급률</t>
    <phoneticPr fontId="17" type="noConversion"/>
  </si>
  <si>
    <t>계약관리수수료</t>
    <phoneticPr fontId="109" type="noConversion"/>
  </si>
  <si>
    <t>▶ 1회~24회 환산월초 * 지급률</t>
    <phoneticPr fontId="109" type="noConversion"/>
  </si>
  <si>
    <t>구분</t>
    <phoneticPr fontId="109" type="noConversion"/>
  </si>
  <si>
    <t>1차년계약관리수수료</t>
    <phoneticPr fontId="99" type="noConversion"/>
  </si>
  <si>
    <t>2차년계약관리수수료</t>
    <phoneticPr fontId="99" type="noConversion"/>
  </si>
  <si>
    <t>일시납</t>
    <phoneticPr fontId="109" type="noConversion"/>
  </si>
  <si>
    <r>
      <t xml:space="preserve">▶ 연금2종 : (무)KDB적립플러스연금보험, (무)KDB트리플에셋변액연금보험
</t>
    </r>
    <r>
      <rPr>
        <sz val="9"/>
        <color rgb="FFFF0000"/>
        <rFont val="맑은 고딕"/>
        <family val="3"/>
        <charset val="129"/>
        <scheme val="major"/>
      </rPr>
      <t>※ 계속보험료 카드수금시
영수P의 3% 공제</t>
    </r>
    <phoneticPr fontId="99" type="noConversion"/>
  </si>
  <si>
    <t>익월先</t>
    <phoneticPr fontId="99" type="noConversion"/>
  </si>
  <si>
    <t>13~24회
(익월先)</t>
    <phoneticPr fontId="99" type="noConversion"/>
  </si>
  <si>
    <t>12% (10회~12회)</t>
    <phoneticPr fontId="99" type="noConversion"/>
  </si>
  <si>
    <t>연금2종</t>
    <phoneticPr fontId="99" type="noConversion"/>
  </si>
  <si>
    <t>12% (11회~12회)</t>
    <phoneticPr fontId="99" type="noConversion"/>
  </si>
  <si>
    <t>저축,연금
(연금2종 외)</t>
    <phoneticPr fontId="99" type="noConversion"/>
  </si>
  <si>
    <t>12% (8회~12회)</t>
    <phoneticPr fontId="99" type="noConversion"/>
  </si>
  <si>
    <t>Override수수료</t>
    <phoneticPr fontId="109" type="noConversion"/>
  </si>
  <si>
    <t>▶ 계약관리수수료 * 제휴 근속 지급률 * 정산월초 구간별 지급률</t>
    <phoneticPr fontId="109" type="noConversion"/>
  </si>
  <si>
    <t>제휴근속</t>
    <phoneticPr fontId="109" type="noConversion"/>
  </si>
  <si>
    <t>5년↑</t>
    <phoneticPr fontId="109" type="noConversion"/>
  </si>
  <si>
    <t>정산월초</t>
    <phoneticPr fontId="109" type="noConversion"/>
  </si>
  <si>
    <t>60백만 ↑</t>
    <phoneticPr fontId="99" type="noConversion"/>
  </si>
  <si>
    <t>40백만 ↑</t>
    <phoneticPr fontId="17" type="noConversion"/>
  </si>
  <si>
    <t>25백만 ↑</t>
    <phoneticPr fontId="109" type="noConversion"/>
  </si>
  <si>
    <t>10백만 ↑</t>
    <phoneticPr fontId="109" type="noConversion"/>
  </si>
  <si>
    <t xml:space="preserve">
▶ 계약관리先지급 적용 안됨
해당 회차 도래시 각 회차별 지급</t>
    <phoneticPr fontId="99" type="noConversion"/>
  </si>
  <si>
    <t>지급률</t>
    <phoneticPr fontId="109" type="noConversion"/>
  </si>
  <si>
    <t>지급률</t>
    <phoneticPr fontId="109" type="noConversion"/>
  </si>
  <si>
    <t>유지율보너스</t>
    <phoneticPr fontId="109" type="noConversion"/>
  </si>
  <si>
    <t>▶ 계약관리수수료 * 18 IQA 유지율에 따른 지급률</t>
    <phoneticPr fontId="99" type="noConversion"/>
  </si>
  <si>
    <t>18회 IQA 유지율</t>
    <phoneticPr fontId="17" type="noConversion"/>
  </si>
  <si>
    <t>90% ↑</t>
    <phoneticPr fontId="17" type="noConversion"/>
  </si>
  <si>
    <t>88%  ↑</t>
    <phoneticPr fontId="17" type="noConversion"/>
  </si>
  <si>
    <t>86%  ↑</t>
    <phoneticPr fontId="17" type="noConversion"/>
  </si>
  <si>
    <t>84%  ↑</t>
    <phoneticPr fontId="17" type="noConversion"/>
  </si>
  <si>
    <t>84%  ↓</t>
    <phoneticPr fontId="17" type="noConversion"/>
  </si>
  <si>
    <t>지급률</t>
    <phoneticPr fontId="17" type="noConversion"/>
  </si>
  <si>
    <t>연금전환지원비</t>
    <phoneticPr fontId="17" type="noConversion"/>
  </si>
  <si>
    <t>▶ 1~12회 환산월초 * 3.5% (익월 先지급/(무)KDB적립플러스연금보험, (무)KDB트리플에셋변액연금보험에 한함)</t>
    <phoneticPr fontId="109" type="noConversion"/>
  </si>
  <si>
    <t>▶ 일시납 제외</t>
    <phoneticPr fontId="99" type="noConversion"/>
  </si>
  <si>
    <t>장기유지수수료</t>
    <phoneticPr fontId="17" type="noConversion"/>
  </si>
  <si>
    <t>▶ 25~36회 환산월초 * 지급률</t>
    <phoneticPr fontId="109" type="noConversion"/>
  </si>
  <si>
    <t>구분</t>
    <phoneticPr fontId="17" type="noConversion"/>
  </si>
  <si>
    <t>보장성보험</t>
    <phoneticPr fontId="17" type="noConversion"/>
  </si>
  <si>
    <t>연금보험</t>
    <phoneticPr fontId="17" type="noConversion"/>
  </si>
  <si>
    <t>저축보험</t>
    <phoneticPr fontId="17" type="noConversion"/>
  </si>
  <si>
    <t>전략상품지원수수료</t>
    <phoneticPr fontId="99" type="noConversion"/>
  </si>
  <si>
    <t>▶ 13~36회 환산월초 * 지급률</t>
    <phoneticPr fontId="99" type="noConversion"/>
  </si>
  <si>
    <t>해당상품</t>
    <phoneticPr fontId="17" type="noConversion"/>
  </si>
  <si>
    <t>▶ 14년납 이하 계약은 미적용
/ 일시납제외</t>
    <phoneticPr fontId="99" type="noConversion"/>
  </si>
  <si>
    <t>(무)KDB퍼펙트플랜종신(체감형)/15년납↑</t>
    <phoneticPr fontId="109" type="noConversion"/>
  </si>
  <si>
    <t>(무)KDB퍼펙트플랜종신(체증형)/15년납↑</t>
    <phoneticPr fontId="109" type="noConversion"/>
  </si>
  <si>
    <t>(무)KDB퍼펙트플랜종신(일반형)/15년납↑</t>
    <phoneticPr fontId="109" type="noConversion"/>
  </si>
  <si>
    <t>(무)KDB멀티종신보험(고급형,실속형)/15년납↑</t>
    <phoneticPr fontId="109" type="noConversion"/>
  </si>
  <si>
    <t>일시납지원비</t>
    <phoneticPr fontId="17" type="noConversion"/>
  </si>
  <si>
    <t>▶ 일시납 영수P * 지급율</t>
    <phoneticPr fontId="109" type="noConversion"/>
  </si>
  <si>
    <t>▶ 환산표 비고란 참조</t>
    <phoneticPr fontId="99" type="noConversion"/>
  </si>
  <si>
    <t>상품명</t>
    <phoneticPr fontId="17" type="noConversion"/>
  </si>
  <si>
    <r>
      <rPr>
        <b/>
        <sz val="9"/>
        <color rgb="FFFF0000"/>
        <rFont val="맑은 고딕"/>
        <family val="3"/>
        <charset val="129"/>
      </rPr>
      <t>주계약</t>
    </r>
    <r>
      <rPr>
        <sz val="9"/>
        <rFont val="맑은 고딕"/>
        <family val="3"/>
        <charset val="129"/>
      </rPr>
      <t xml:space="preserve">
월납P</t>
    </r>
    <phoneticPr fontId="17" type="noConversion"/>
  </si>
  <si>
    <t>환산P</t>
    <phoneticPr fontId="17" type="noConversion"/>
  </si>
  <si>
    <t>성과
수수료</t>
    <phoneticPr fontId="17" type="noConversion"/>
  </si>
  <si>
    <t>계약관리수수료</t>
    <phoneticPr fontId="17" type="noConversion"/>
  </si>
  <si>
    <t>Override 수수료</t>
    <phoneticPr fontId="17" type="noConversion"/>
  </si>
  <si>
    <t>유지율보너스</t>
    <phoneticPr fontId="17" type="noConversion"/>
  </si>
  <si>
    <t>연금전환</t>
    <phoneticPr fontId="109" type="noConversion"/>
  </si>
  <si>
    <t>장기유지</t>
    <phoneticPr fontId="17" type="noConversion"/>
  </si>
  <si>
    <t>전략상품</t>
    <phoneticPr fontId="17" type="noConversion"/>
  </si>
  <si>
    <t>일시납
지원비</t>
    <phoneticPr fontId="109" type="noConversion"/>
  </si>
  <si>
    <t>본사수수료</t>
    <phoneticPr fontId="17" type="noConversion"/>
  </si>
  <si>
    <t>본부장</t>
    <phoneticPr fontId="17" type="noConversion"/>
  </si>
  <si>
    <t>인증지점장</t>
    <phoneticPr fontId="17" type="noConversion"/>
  </si>
  <si>
    <t>일반지점장</t>
    <phoneticPr fontId="17" type="noConversion"/>
  </si>
  <si>
    <t>팀장</t>
    <phoneticPr fontId="17" type="noConversion"/>
  </si>
  <si>
    <t>위촉FC</t>
    <phoneticPr fontId="17" type="noConversion"/>
  </si>
  <si>
    <t>상품군</t>
    <phoneticPr fontId="109" type="noConversion"/>
  </si>
  <si>
    <t>기준</t>
    <phoneticPr fontId="16" type="noConversion"/>
  </si>
  <si>
    <t>환산율</t>
    <phoneticPr fontId="17" type="noConversion"/>
  </si>
  <si>
    <t>1~12회</t>
    <phoneticPr fontId="17" type="noConversion"/>
  </si>
  <si>
    <t>13~24회</t>
    <phoneticPr fontId="17" type="noConversion"/>
  </si>
  <si>
    <t>13~24회</t>
    <phoneticPr fontId="109" type="noConversion"/>
  </si>
  <si>
    <t>25~36회</t>
    <phoneticPr fontId="17" type="noConversion"/>
  </si>
  <si>
    <t>13~36회</t>
    <phoneticPr fontId="17" type="noConversion"/>
  </si>
  <si>
    <t>익월</t>
    <phoneticPr fontId="17" type="noConversion"/>
  </si>
  <si>
    <t>1차년
(익월포함)</t>
    <phoneticPr fontId="17" type="noConversion"/>
  </si>
  <si>
    <t>총계</t>
    <phoneticPr fontId="17" type="noConversion"/>
  </si>
  <si>
    <t>보장</t>
    <phoneticPr fontId="109" type="noConversion"/>
  </si>
  <si>
    <t>(무)VIP프리미엄보험</t>
    <phoneticPr fontId="17" type="noConversion"/>
  </si>
  <si>
    <t>20년납이상/1종</t>
    <phoneticPr fontId="16" type="noConversion"/>
  </si>
  <si>
    <t>(무)가족愛Dream보험Ⅱ2종</t>
    <phoneticPr fontId="17" type="noConversion"/>
  </si>
  <si>
    <t>6,000미만</t>
    <phoneticPr fontId="16" type="noConversion"/>
  </si>
  <si>
    <t>종신</t>
    <phoneticPr fontId="99" type="noConversion"/>
  </si>
  <si>
    <t>(무)KDB퍼펙트플랜종신(체감형)</t>
    <phoneticPr fontId="17" type="noConversion"/>
  </si>
  <si>
    <t>20년납이상(체감형)</t>
    <phoneticPr fontId="16" type="noConversion"/>
  </si>
  <si>
    <t>(무)KDB퍼펙트플랜종신(체증형)</t>
    <phoneticPr fontId="17" type="noConversion"/>
  </si>
  <si>
    <t>20년납이상(체증형)</t>
    <phoneticPr fontId="16" type="noConversion"/>
  </si>
  <si>
    <t>(무)KDB퍼펙트플랜종신(일반형)</t>
    <phoneticPr fontId="17" type="noConversion"/>
  </si>
  <si>
    <t>20년납이상(일반형)</t>
    <phoneticPr fontId="16" type="noConversion"/>
  </si>
  <si>
    <t>(무)KDB은퇴설계변액종신보험</t>
    <phoneticPr fontId="17" type="noConversion"/>
  </si>
  <si>
    <t>20년납이상(1종일반형)</t>
    <phoneticPr fontId="16" type="noConversion"/>
  </si>
  <si>
    <t>(무)KDB멀티종신보험</t>
    <phoneticPr fontId="17" type="noConversion"/>
  </si>
  <si>
    <t>20년납이상(실속형)</t>
    <phoneticPr fontId="16" type="noConversion"/>
  </si>
  <si>
    <t>연금</t>
    <phoneticPr fontId="99" type="noConversion"/>
  </si>
  <si>
    <t>(무)KDB적립플러스연금보험</t>
    <phoneticPr fontId="99" type="noConversion"/>
  </si>
  <si>
    <t>10년납이상</t>
    <phoneticPr fontId="16" type="noConversion"/>
  </si>
  <si>
    <t>(무)KDB트리플에셋변액연금보험</t>
    <phoneticPr fontId="16" type="noConversion"/>
  </si>
  <si>
    <t>(무)KDB변액연금보험</t>
    <phoneticPr fontId="99" type="noConversion"/>
  </si>
  <si>
    <t>10년납이상</t>
    <phoneticPr fontId="16" type="noConversion"/>
  </si>
  <si>
    <t>저축</t>
    <phoneticPr fontId="99" type="noConversion"/>
  </si>
  <si>
    <t>(무)알뜰플러스저축</t>
    <phoneticPr fontId="17" type="noConversion"/>
  </si>
  <si>
    <t>(무)파워펀딩변액유니버셜Ⅲ</t>
    <phoneticPr fontId="17" type="noConversion"/>
  </si>
  <si>
    <t>월납</t>
    <phoneticPr fontId="99" type="noConversion"/>
  </si>
  <si>
    <t>일시납</t>
    <phoneticPr fontId="109" type="noConversion"/>
  </si>
  <si>
    <t>환산율</t>
    <phoneticPr fontId="99" type="noConversion"/>
  </si>
  <si>
    <t>일시납지원</t>
    <phoneticPr fontId="99" type="noConversion"/>
  </si>
  <si>
    <t>일시납</t>
    <phoneticPr fontId="16" type="noConversion"/>
  </si>
  <si>
    <t>&lt; 세부 사항 안내 &gt;</t>
    <phoneticPr fontId="17" type="noConversion"/>
  </si>
  <si>
    <t xml:space="preserve">1. 작성 기준 </t>
    <phoneticPr fontId="17" type="noConversion"/>
  </si>
  <si>
    <t xml:space="preserve"> ② 환산 기준 : 납기에 따른 주계약의 월납영수보험료를 기준으로 예시하였으며, 실제 설계시 보험료 및 특약별로 적용되는 환산이 다를 수 있으므로, </t>
    <phoneticPr fontId="17" type="noConversion"/>
  </si>
  <si>
    <t>2. 계약관리수수료 익월 先지급 기준 :  보장성(1~9회 익월 先지급) 연금 (1~10회익월 先지급) 저축 (1~7회 익월 先지급) 즉, 유지수수료는 선지급 이후 회차부터 지급됨</t>
    <phoneticPr fontId="17" type="noConversion"/>
  </si>
  <si>
    <t>3. 유지율 적용 기준 : 18회차 통산 유지율을 적용하며 수수료 항목중 유지율 보너스 항목만 연동됨</t>
    <phoneticPr fontId="17" type="noConversion"/>
  </si>
  <si>
    <t>4. 계속보험료 카드수금시 영수P의 3%를 별도 공제함 (2011.11월 신계약부터 적용)</t>
    <phoneticPr fontId="16" type="noConversion"/>
  </si>
  <si>
    <t xml:space="preserve">5. 비고 : 상기 자료는 예시이므로 매월 마감 업적, 유지율 및 개별 상품 설계시의 실제 환산P등에 따라 추가 또는 감소되어 지급됨 </t>
    <phoneticPr fontId="17" type="noConversion"/>
  </si>
  <si>
    <t>( 2014년 12월 1일)</t>
    <phoneticPr fontId="34" type="noConversion"/>
  </si>
  <si>
    <t>현대라이프생명 수수료 지급 기준(14년 12 기준) - 프라임선지급 적용 / 효율커미션, 보장성우대커미션 최저보장</t>
    <phoneticPr fontId="99" type="noConversion"/>
  </si>
  <si>
    <t>1. 성적제도 및 용어정의</t>
    <phoneticPr fontId="17" type="noConversion"/>
  </si>
  <si>
    <t>항  목</t>
    <phoneticPr fontId="17" type="noConversion"/>
  </si>
  <si>
    <t>용어 정의</t>
    <phoneticPr fontId="17" type="noConversion"/>
  </si>
  <si>
    <t>비고</t>
    <phoneticPr fontId="16" type="noConversion"/>
  </si>
  <si>
    <t>환산초회료(환산P)</t>
    <phoneticPr fontId="17" type="noConversion"/>
  </si>
  <si>
    <t>▶ 월납보험료 * 상품별 환산율</t>
    <phoneticPr fontId="99" type="noConversion"/>
  </si>
  <si>
    <t>정산초회료, 계약관리커미션, 보장성커미션, 유지율 산출 기초</t>
    <phoneticPr fontId="99" type="noConversion"/>
  </si>
  <si>
    <t>2. 수수료 관련 기타 기준</t>
    <phoneticPr fontId="17" type="noConversion"/>
  </si>
  <si>
    <t>승환 계약</t>
    <phoneticPr fontId="17" type="noConversion"/>
  </si>
  <si>
    <t>▶ 유지회차 25회 이내에 해약 및 해지(품보, 민원)되고 동일계약자 또는 동일 피보험자로 성립된 신계약
▶ 대상범위 :계약소멸 후 3개월이내에 새로운 계약을 성립 또는 새로운 계약 성립 후 3개월 이내에 기존계약을 소멸 시키는 경우 외</t>
    <phoneticPr fontId="16" type="noConversion"/>
  </si>
  <si>
    <t>승환계약으로 판정시 성적 및 수수료 100% 차감</t>
    <phoneticPr fontId="16" type="noConversion"/>
  </si>
  <si>
    <t>3. 수수료 항목 및 지급 기준</t>
    <phoneticPr fontId="17" type="noConversion"/>
  </si>
  <si>
    <t>세 부  사 항</t>
    <phoneticPr fontId="17" type="noConversion"/>
  </si>
  <si>
    <t>비  고</t>
    <phoneticPr fontId="17" type="noConversion"/>
  </si>
  <si>
    <t>지 급 회 차</t>
    <phoneticPr fontId="17" type="noConversion"/>
  </si>
  <si>
    <t>효율커미션</t>
    <phoneticPr fontId="17" type="noConversion"/>
  </si>
  <si>
    <t xml:space="preserve"> ▶ 기준 : 정산초회료 * 지급률</t>
    <phoneticPr fontId="16" type="noConversion"/>
  </si>
  <si>
    <t>정산P 구간</t>
    <phoneticPr fontId="17" type="noConversion"/>
  </si>
  <si>
    <t>100백만↑</t>
    <phoneticPr fontId="17" type="noConversion"/>
  </si>
  <si>
    <t>70백만↑</t>
    <phoneticPr fontId="17" type="noConversion"/>
  </si>
  <si>
    <t>50백만↑</t>
    <phoneticPr fontId="17" type="noConversion"/>
  </si>
  <si>
    <t>30백만↑</t>
    <phoneticPr fontId="17" type="noConversion"/>
  </si>
  <si>
    <t>15백만↑</t>
    <phoneticPr fontId="17" type="noConversion"/>
  </si>
  <si>
    <r>
      <t>▶ 일시납제외</t>
    </r>
    <r>
      <rPr>
        <sz val="9"/>
        <color rgb="FFFF0000"/>
        <rFont val="맑은 고딕"/>
        <family val="3"/>
        <charset val="129"/>
      </rPr>
      <t xml:space="preserve">
</t>
    </r>
    <r>
      <rPr>
        <sz val="9"/>
        <color rgb="FF0000FF"/>
        <rFont val="맑은 고딕"/>
        <family val="3"/>
        <charset val="129"/>
      </rPr>
      <t>▶ 일시납/실손의료보험/1년납상품은 원수사 연동 지급</t>
    </r>
    <phoneticPr fontId="128" type="noConversion"/>
  </si>
  <si>
    <t>1회</t>
    <phoneticPr fontId="16" type="noConversion"/>
  </si>
  <si>
    <t>보장성우대커미션</t>
    <phoneticPr fontId="17" type="noConversion"/>
  </si>
  <si>
    <t xml:space="preserve"> ▶ 기준 : 보장성 정산초회료 * 지급률</t>
    <phoneticPr fontId="16" type="noConversion"/>
  </si>
  <si>
    <t>15백만↓</t>
    <phoneticPr fontId="17" type="noConversion"/>
  </si>
  <si>
    <t>프라임지원커미션</t>
    <phoneticPr fontId="17" type="noConversion"/>
  </si>
  <si>
    <t xml:space="preserve"> ▶ 기준 : 정산초회료 * 상품별지급률</t>
    <phoneticPr fontId="16" type="noConversion"/>
  </si>
  <si>
    <t>상품군</t>
    <phoneticPr fontId="99" type="noConversion"/>
  </si>
  <si>
    <t>보장성</t>
    <phoneticPr fontId="16" type="noConversion"/>
  </si>
  <si>
    <t>연금</t>
    <phoneticPr fontId="16" type="noConversion"/>
  </si>
  <si>
    <t>저축</t>
    <phoneticPr fontId="17" type="noConversion"/>
  </si>
  <si>
    <t>지급률</t>
    <phoneticPr fontId="99" type="noConversion"/>
  </si>
  <si>
    <t>계약관리커미션</t>
    <phoneticPr fontId="17" type="noConversion"/>
  </si>
  <si>
    <t xml:space="preserve"> ▶ 기준 : 1~36회차 입금 회차별 환산P * 상품별 지급률
             (1년납은 1~12회 지급)</t>
    <phoneticPr fontId="16" type="noConversion"/>
  </si>
  <si>
    <t>회  차</t>
    <phoneticPr fontId="16" type="noConversion"/>
  </si>
  <si>
    <t>일시납</t>
    <phoneticPr fontId="17" type="noConversion"/>
  </si>
  <si>
    <r>
      <t xml:space="preserve">▶ 연납이하 비월납 계약은 해당월 도래시
월납기준에 의거 지급 
</t>
    </r>
    <r>
      <rPr>
        <sz val="9"/>
        <color rgb="FF0000FF"/>
        <rFont val="맑은 고딕"/>
        <family val="3"/>
        <charset val="129"/>
      </rPr>
      <t>▶ 일시납/실손의료보험/1년납상품은 원수사 연동 지급</t>
    </r>
    <phoneticPr fontId="128" type="noConversion"/>
  </si>
  <si>
    <t>12회/36회</t>
    <phoneticPr fontId="99" type="noConversion"/>
  </si>
  <si>
    <t>1~12회</t>
    <phoneticPr fontId="16" type="noConversion"/>
  </si>
  <si>
    <t>일시납P *
상품별지급율</t>
    <phoneticPr fontId="99" type="noConversion"/>
  </si>
  <si>
    <t>13~24회</t>
    <phoneticPr fontId="16" type="noConversion"/>
  </si>
  <si>
    <t>25~36회</t>
    <phoneticPr fontId="16" type="noConversion"/>
  </si>
  <si>
    <t>현대라이프생명 수수료 지급 기준(14년 12월 기준) - 프라임선지급 적용 / 효율커미션, 보장성우대커미션 최저보장</t>
    <phoneticPr fontId="99" type="noConversion"/>
  </si>
  <si>
    <t>※ 아래 예시 외 상품(또는 납기 등 다른 기준)은 &lt;팜스Ⅱ 공지사항 → 업무공지 → "환산" 자료를 참조하여 활용하시기 바랍니다. (상품의 환산율이 변경될 시 테이블 금액 및 수수료 지급액은 달라질 수 있습니다.)</t>
    <phoneticPr fontId="99" type="noConversion"/>
  </si>
  <si>
    <t>상품명</t>
    <phoneticPr fontId="17" type="noConversion"/>
  </si>
  <si>
    <r>
      <rPr>
        <b/>
        <sz val="9"/>
        <color rgb="FFFF0000"/>
        <rFont val="맑은 고딕"/>
        <family val="3"/>
        <charset val="129"/>
      </rPr>
      <t>주계약</t>
    </r>
    <r>
      <rPr>
        <sz val="9"/>
        <rFont val="맑은 고딕"/>
        <family val="3"/>
        <charset val="129"/>
      </rPr>
      <t xml:space="preserve">
월납P</t>
    </r>
    <phoneticPr fontId="17" type="noConversion"/>
  </si>
  <si>
    <t>환산P</t>
    <phoneticPr fontId="17" type="noConversion"/>
  </si>
  <si>
    <t>보장성우대
커미션</t>
    <phoneticPr fontId="17" type="noConversion"/>
  </si>
  <si>
    <t>프라임지원
커미션</t>
    <phoneticPr fontId="17" type="noConversion"/>
  </si>
  <si>
    <t>본사수수료</t>
    <phoneticPr fontId="17" type="noConversion"/>
  </si>
  <si>
    <t>본부장</t>
    <phoneticPr fontId="17" type="noConversion"/>
  </si>
  <si>
    <t>인증지점장</t>
    <phoneticPr fontId="17" type="noConversion"/>
  </si>
  <si>
    <t>일반지점장</t>
    <phoneticPr fontId="17" type="noConversion"/>
  </si>
  <si>
    <t>팀장</t>
    <phoneticPr fontId="17" type="noConversion"/>
  </si>
  <si>
    <t>위촉FC</t>
    <phoneticPr fontId="17" type="noConversion"/>
  </si>
  <si>
    <t>상품군</t>
    <phoneticPr fontId="109" type="noConversion"/>
  </si>
  <si>
    <t>기준</t>
    <phoneticPr fontId="17" type="noConversion"/>
  </si>
  <si>
    <t>환산율</t>
    <phoneticPr fontId="17" type="noConversion"/>
  </si>
  <si>
    <t>1~12회</t>
    <phoneticPr fontId="109" type="noConversion"/>
  </si>
  <si>
    <t>13~24회</t>
    <phoneticPr fontId="109" type="noConversion"/>
  </si>
  <si>
    <t>25~36회</t>
    <phoneticPr fontId="109" type="noConversion"/>
  </si>
  <si>
    <t>익월</t>
    <phoneticPr fontId="17" type="noConversion"/>
  </si>
  <si>
    <t>1차년
(익월포함)</t>
    <phoneticPr fontId="17" type="noConversion"/>
  </si>
  <si>
    <t>총계</t>
    <phoneticPr fontId="17" type="noConversion"/>
  </si>
  <si>
    <t>종신</t>
    <phoneticPr fontId="99" type="noConversion"/>
  </si>
  <si>
    <t>현대라이프 종신보험/변액종신보험</t>
    <phoneticPr fontId="99" type="noConversion"/>
  </si>
  <si>
    <t>20년납이상</t>
    <phoneticPr fontId="128" type="noConversion"/>
  </si>
  <si>
    <t>현대라이프 ZERO 종신보험</t>
    <phoneticPr fontId="128" type="noConversion"/>
  </si>
  <si>
    <t>20년납</t>
    <phoneticPr fontId="128" type="noConversion"/>
  </si>
  <si>
    <t>현대라이프 종신보험</t>
    <phoneticPr fontId="99" type="noConversion"/>
  </si>
  <si>
    <t>현대라이프 ZERO 정기보험</t>
    <phoneticPr fontId="99" type="noConversion"/>
  </si>
  <si>
    <t>20년납/20년만기</t>
    <phoneticPr fontId="99" type="noConversion"/>
  </si>
  <si>
    <t>현대라이프 ZERO 5대성인병보험</t>
    <phoneticPr fontId="99" type="noConversion"/>
  </si>
  <si>
    <t>현대라이프 ZERO 암보험</t>
    <phoneticPr fontId="99" type="noConversion"/>
  </si>
  <si>
    <t>20년납</t>
    <phoneticPr fontId="99" type="noConversion"/>
  </si>
  <si>
    <t>현대라이프 ZERO 사고보험</t>
    <phoneticPr fontId="99" type="noConversion"/>
  </si>
  <si>
    <t>10년납/20년납</t>
    <phoneticPr fontId="99" type="noConversion"/>
  </si>
  <si>
    <t>현대라이프 ZERO 어린이보험</t>
    <phoneticPr fontId="99" type="noConversion"/>
  </si>
  <si>
    <t>10년납이상</t>
    <phoneticPr fontId="99" type="noConversion"/>
  </si>
  <si>
    <t>현대라이프 실손의료비보험</t>
    <phoneticPr fontId="99" type="noConversion"/>
  </si>
  <si>
    <t>1년납</t>
    <phoneticPr fontId="99" type="noConversion"/>
  </si>
  <si>
    <t>연금</t>
    <phoneticPr fontId="99" type="noConversion"/>
  </si>
  <si>
    <t>현대라이프 연금보험/변액연금보험</t>
    <phoneticPr fontId="99" type="noConversion"/>
  </si>
  <si>
    <t>종신형/10년이상</t>
    <phoneticPr fontId="99" type="noConversion"/>
  </si>
  <si>
    <t>저축</t>
    <phoneticPr fontId="99" type="noConversion"/>
  </si>
  <si>
    <t>현대라이프 저축보험</t>
    <phoneticPr fontId="99" type="noConversion"/>
  </si>
  <si>
    <t>12년납이상</t>
    <phoneticPr fontId="99" type="noConversion"/>
  </si>
  <si>
    <t>일시납</t>
    <phoneticPr fontId="99" type="noConversion"/>
  </si>
  <si>
    <t>현대라이프 종신보험 외 기타</t>
    <phoneticPr fontId="99" type="noConversion"/>
  </si>
  <si>
    <t xml:space="preserve"> &lt; 세부 사항 안내 &gt;</t>
    <phoneticPr fontId="17" type="noConversion"/>
  </si>
  <si>
    <t>1. 작성 기준</t>
    <phoneticPr fontId="17" type="noConversion"/>
  </si>
  <si>
    <t xml:space="preserve"> ① 최저 보장제 적용 : 효율커미션은  정산P 구간 100백만 이상 등급을 최저보장하며, 유지율 및 기타 조건등은 실제 지급 기준과 연동하여 적용됨 </t>
    <phoneticPr fontId="17" type="noConversion"/>
  </si>
  <si>
    <t xml:space="preserve"> ② 환산 기준 : 납기에 따른 주계약의 월납영수보험료를 기준으로 예시하였으며, 실제 설계시 보험료 및 특약별로 적용되는 환산이 다를 수 있으므로, 정확한 환산은 팜스에 공지되어 있는 상품별 환산 자료 참조 요망 (환산자료 : 팜스 공지사항 -&gt;업무공지 -&gt; '환산' 검색) </t>
    <phoneticPr fontId="17" type="noConversion"/>
  </si>
  <si>
    <t xml:space="preserve">2. 비고 : 상기 자료는 예시이므로 매월 마감 업적, 유지율 및 개별 상품 설계시의 실제 환산P등에 따라 추가 또는 감소되어 지급됨 </t>
    <phoneticPr fontId="17" type="noConversion"/>
  </si>
  <si>
    <t>삼성생명 수수료 지급 기준(14년 12월 기준) - GA등급 S등급 최저보장</t>
    <phoneticPr fontId="99" type="noConversion"/>
  </si>
  <si>
    <t>1. 업적 관련 용어 정의</t>
    <phoneticPr fontId="17" type="noConversion"/>
  </si>
  <si>
    <t>환산성적 (TP)</t>
    <phoneticPr fontId="17" type="noConversion"/>
  </si>
  <si>
    <t>▶ TP = 월납영수보험료 X 상품별 TP Rate
신계약 성적에 대한 상품별 비교 지표를 설정하기 위하여
월납보험료를 예정신계약비 규모에 비례하여 환산한 보험료</t>
    <phoneticPr fontId="17" type="noConversion"/>
  </si>
  <si>
    <t>▶ 모집TP : 신계약 환산 성적
▶ 모집고 : 신계약 - 보험금 지급 계약 (만기, 사망, 퇴직) - 해지
▶ 유지고 : 모집고 - 실효 - 해약 - 감액 + 부활</t>
    <phoneticPr fontId="17" type="noConversion"/>
  </si>
  <si>
    <t>GA 등급</t>
    <phoneticPr fontId="17" type="noConversion"/>
  </si>
  <si>
    <t>▶ 1, 4, 7, 10월에 직전분기 월 평균 TP 규모에 따라 등급 부여</t>
    <phoneticPr fontId="17" type="noConversion"/>
  </si>
  <si>
    <t>등급 구분</t>
    <phoneticPr fontId="17" type="noConversion"/>
  </si>
  <si>
    <t>직전분기평균TP</t>
    <phoneticPr fontId="17" type="noConversion"/>
  </si>
  <si>
    <t>28백만↑</t>
    <phoneticPr fontId="17" type="noConversion"/>
  </si>
  <si>
    <t>11백만↑</t>
    <phoneticPr fontId="17" type="noConversion"/>
  </si>
  <si>
    <t>3백만↑</t>
    <phoneticPr fontId="17" type="noConversion"/>
  </si>
  <si>
    <t>3백만↓</t>
    <phoneticPr fontId="17" type="noConversion"/>
  </si>
  <si>
    <t>상품군</t>
    <phoneticPr fontId="17" type="noConversion"/>
  </si>
  <si>
    <t>전상품</t>
    <phoneticPr fontId="17" type="noConversion"/>
  </si>
  <si>
    <t>보험료 할인 및 선납</t>
    <phoneticPr fontId="17" type="noConversion"/>
  </si>
  <si>
    <t>▶ 보험료 할인 된 계약에 대한 수수료는 할인 후 보험료 기준으로 지급    ▶ 보험료 선납된 계약의 경우 해당월 대체분 만을 해당월 입금된 보험료로 간주하여 수수료 지급</t>
    <phoneticPr fontId="17" type="noConversion"/>
  </si>
  <si>
    <t>▶ 기존계약의 해지, 해약, 실효  기준으로  6개월 전, 후 동일 계약자 또는 피보험자 명의의 기존 계약 실효, 해약, 해지 등의 사유가 발생할 경우 성적 및 수수료 100%차감</t>
    <phoneticPr fontId="17" type="noConversion"/>
  </si>
  <si>
    <t>신계약커미션 
/ 유지커미션</t>
    <phoneticPr fontId="17" type="noConversion"/>
  </si>
  <si>
    <t>▶ 신계약 커미션 = 당월 TP X 입금회차별 지급률 (5개월 先지급)
    단, 일시납은 TP의 415% 적용 (1회)</t>
    <phoneticPr fontId="17" type="noConversion"/>
  </si>
  <si>
    <t>입금회차별
커미션율</t>
    <phoneticPr fontId="17" type="noConversion"/>
  </si>
  <si>
    <t>구분</t>
    <phoneticPr fontId="17" type="noConversion"/>
  </si>
  <si>
    <t>1~12회차</t>
    <phoneticPr fontId="17" type="noConversion"/>
  </si>
  <si>
    <t>13~24회차</t>
    <phoneticPr fontId="17" type="noConversion"/>
  </si>
  <si>
    <t>25~36회차</t>
    <phoneticPr fontId="17" type="noConversion"/>
  </si>
  <si>
    <t>36회</t>
    <phoneticPr fontId="17" type="noConversion"/>
  </si>
  <si>
    <t>커미션율</t>
    <phoneticPr fontId="17" type="noConversion"/>
  </si>
  <si>
    <t>성과커미션 
(Performance Commossoin)</t>
    <phoneticPr fontId="17" type="noConversion"/>
  </si>
  <si>
    <t>▶ 성과커미션 = 당월 TP X 지급률 X 유지가삭감</t>
    <phoneticPr fontId="128" type="noConversion"/>
  </si>
  <si>
    <t>1회</t>
    <phoneticPr fontId="17" type="noConversion"/>
  </si>
  <si>
    <t>2~18회 통산유지율</t>
    <phoneticPr fontId="17" type="noConversion"/>
  </si>
  <si>
    <t>92% ↑</t>
    <phoneticPr fontId="17" type="noConversion"/>
  </si>
  <si>
    <t>90% ↑</t>
    <phoneticPr fontId="17" type="noConversion"/>
  </si>
  <si>
    <t>90% 미만</t>
    <phoneticPr fontId="17" type="noConversion"/>
  </si>
  <si>
    <t>삼성생명 수수료 지급 세부 기준 (14년 12월 기준) - GA등급 S등급 최저보장</t>
    <phoneticPr fontId="99" type="noConversion"/>
  </si>
  <si>
    <t>환산TP</t>
    <phoneticPr fontId="17" type="noConversion"/>
  </si>
  <si>
    <t>성과커미션</t>
    <phoneticPr fontId="17" type="noConversion"/>
  </si>
  <si>
    <t>신계약커미션</t>
    <phoneticPr fontId="17" type="noConversion"/>
  </si>
  <si>
    <t>유지커미션</t>
    <phoneticPr fontId="17" type="noConversion"/>
  </si>
  <si>
    <t>1회</t>
    <phoneticPr fontId="109" type="noConversion"/>
  </si>
  <si>
    <t>6~12회</t>
    <phoneticPr fontId="109" type="noConversion"/>
  </si>
  <si>
    <t>연금</t>
    <phoneticPr fontId="109" type="noConversion"/>
  </si>
  <si>
    <t>스마트/내리사랑/직장인/여성행복</t>
    <phoneticPr fontId="109" type="noConversion"/>
  </si>
  <si>
    <t>10년납/50만↑</t>
    <phoneticPr fontId="17" type="noConversion"/>
  </si>
  <si>
    <t>스마트TOP/스마트UP/2-STEP 변액연금</t>
    <phoneticPr fontId="109" type="noConversion"/>
  </si>
  <si>
    <t>우리아이변액연금/자녀교육변액연금</t>
    <phoneticPr fontId="109" type="noConversion"/>
  </si>
  <si>
    <t>10년납/50만↑</t>
    <phoneticPr fontId="109" type="noConversion"/>
  </si>
  <si>
    <t>연금저축골드연금</t>
    <phoneticPr fontId="109" type="noConversion"/>
  </si>
  <si>
    <t>10년납이상</t>
    <phoneticPr fontId="109" type="noConversion"/>
  </si>
  <si>
    <t>보장</t>
    <phoneticPr fontId="109" type="noConversion"/>
  </si>
  <si>
    <t>프리미엄기업보장/3종/중위험</t>
    <phoneticPr fontId="109" type="noConversion"/>
  </si>
  <si>
    <t>10년납</t>
    <phoneticPr fontId="109" type="noConversion"/>
  </si>
  <si>
    <t>퍼펙트통합Ⅱ</t>
    <phoneticPr fontId="109" type="noConversion"/>
  </si>
  <si>
    <t>20년납</t>
    <phoneticPr fontId="17" type="noConversion"/>
  </si>
  <si>
    <t>VIP정기보험/순수형/소득보장/체증형</t>
    <phoneticPr fontId="109" type="noConversion"/>
  </si>
  <si>
    <t>만기20년초과/20년납이상</t>
    <phoneticPr fontId="17" type="noConversion"/>
  </si>
  <si>
    <t>Top클래스유니버설종신</t>
    <phoneticPr fontId="109" type="noConversion"/>
  </si>
  <si>
    <t>20년납</t>
    <phoneticPr fontId="109" type="noConversion"/>
  </si>
  <si>
    <t>저축</t>
    <phoneticPr fontId="109" type="noConversion"/>
  </si>
  <si>
    <t>New에이스변액적립/스마트저축</t>
    <phoneticPr fontId="17" type="noConversion"/>
  </si>
  <si>
    <t>12년납이상/10만↑</t>
    <phoneticPr fontId="17" type="noConversion"/>
  </si>
  <si>
    <t>일시납</t>
    <phoneticPr fontId="109" type="noConversion"/>
  </si>
  <si>
    <t>파워즉시</t>
    <phoneticPr fontId="109" type="noConversion"/>
  </si>
  <si>
    <t>-</t>
    <phoneticPr fontId="31" type="noConversion"/>
  </si>
  <si>
    <t>일시납/주보험</t>
    <phoneticPr fontId="17" type="noConversion"/>
  </si>
  <si>
    <t>TOP클래스 UL종신, 스마트 VUL종신,
플래티넘스마트VUL종신, VVIP (V)UL종신</t>
    <phoneticPr fontId="99" type="noConversion"/>
  </si>
  <si>
    <t xml:space="preserve"> ① 최저 보장제 적용 : 성과커미션은  GA등급 S등급을 최저보장하며, 유지율 및 기타 조건등은 실제 지급 기준과 연동하여 적용됨</t>
    <phoneticPr fontId="17" type="noConversion"/>
  </si>
  <si>
    <t xml:space="preserve"> ② 환산 기준 : 납기에 따른 주계약의 월납영수보험료를 기준으로 예시하였으며, 실제 설계시 보험료 및 특약별로 적용되는 환산이 다를 수 있으므로, </t>
    <phoneticPr fontId="17" type="noConversion"/>
  </si>
  <si>
    <t>암만봐도암보험</t>
    <phoneticPr fontId="109" type="noConversion"/>
  </si>
  <si>
    <t>15년만기/순수형</t>
    <phoneticPr fontId="109" type="noConversion"/>
  </si>
  <si>
    <t>AIA생명 수수료 지급 기준(14년 12월 기준) - 최저 보장제 미적용(분급형)</t>
    <phoneticPr fontId="109" type="noConversion"/>
  </si>
  <si>
    <t>GA 수수료 항목</t>
    <phoneticPr fontId="17" type="noConversion"/>
  </si>
  <si>
    <t>초년/2차년/3차년 지급율</t>
    <phoneticPr fontId="17" type="noConversion"/>
  </si>
  <si>
    <r>
      <rPr>
        <b/>
        <sz val="9"/>
        <color indexed="10"/>
        <rFont val="맑은 고딕"/>
        <family val="3"/>
        <charset val="129"/>
      </rPr>
      <t>주계약</t>
    </r>
    <r>
      <rPr>
        <sz val="9"/>
        <rFont val="맑은 고딕"/>
        <family val="3"/>
        <charset val="129"/>
      </rPr>
      <t xml:space="preserve">
월납P</t>
    </r>
    <phoneticPr fontId="17" type="noConversion"/>
  </si>
  <si>
    <t>초년도실적수수료</t>
    <phoneticPr fontId="17" type="noConversion"/>
  </si>
  <si>
    <t>성과보너스</t>
    <phoneticPr fontId="17" type="noConversion"/>
  </si>
  <si>
    <t>관리수수료</t>
    <phoneticPr fontId="17" type="noConversion"/>
  </si>
  <si>
    <t>1차년합</t>
    <phoneticPr fontId="17" type="noConversion"/>
  </si>
  <si>
    <t>2차년합</t>
    <phoneticPr fontId="17" type="noConversion"/>
  </si>
  <si>
    <t>3차년</t>
    <phoneticPr fontId="17" type="noConversion"/>
  </si>
  <si>
    <t>4차년</t>
    <phoneticPr fontId="16" type="noConversion"/>
  </si>
  <si>
    <t>5차년</t>
    <phoneticPr fontId="16" type="noConversion"/>
  </si>
  <si>
    <t>익월</t>
    <phoneticPr fontId="17" type="noConversion"/>
  </si>
  <si>
    <t>1차년
(익월포함)</t>
    <phoneticPr fontId="17" type="noConversion"/>
  </si>
  <si>
    <t>익월</t>
    <phoneticPr fontId="17" type="noConversion"/>
  </si>
  <si>
    <t>1차년
(익월포함)</t>
    <phoneticPr fontId="17" type="noConversion"/>
  </si>
  <si>
    <t>총계</t>
    <phoneticPr fontId="17" type="noConversion"/>
  </si>
  <si>
    <t>익월</t>
    <phoneticPr fontId="17" type="noConversion"/>
  </si>
  <si>
    <t>총계</t>
    <phoneticPr fontId="17" type="noConversion"/>
  </si>
  <si>
    <t>UL (저축성보험)</t>
    <phoneticPr fontId="17" type="noConversion"/>
  </si>
  <si>
    <t>스마트 유니버셜 저축보험</t>
    <phoneticPr fontId="17" type="noConversion"/>
  </si>
  <si>
    <t xml:space="preserve">부자아이VUL </t>
    <phoneticPr fontId="17" type="noConversion"/>
  </si>
  <si>
    <t>3차년도</t>
    <phoneticPr fontId="17" type="noConversion"/>
  </si>
  <si>
    <t>어린이보험</t>
    <phoneticPr fontId="16" type="noConversion"/>
  </si>
  <si>
    <t>현명한엄마가고른AIA어린이보험 1형</t>
    <phoneticPr fontId="17" type="noConversion"/>
  </si>
  <si>
    <t>현명한엄마가고른AIA어린이보험2형</t>
    <phoneticPr fontId="17" type="noConversion"/>
  </si>
  <si>
    <t>현명한엄마가고른AIA어린이보험3형</t>
    <phoneticPr fontId="17" type="noConversion"/>
  </si>
  <si>
    <t xml:space="preserve">AIA우리가족을위한평생설계보험 1,2형 </t>
    <phoneticPr fontId="17" type="noConversion"/>
  </si>
  <si>
    <t>2차년도</t>
    <phoneticPr fontId="17" type="noConversion"/>
  </si>
  <si>
    <t>3차년도</t>
    <phoneticPr fontId="17" type="noConversion"/>
  </si>
  <si>
    <t>종신보험</t>
    <phoneticPr fontId="16" type="noConversion"/>
  </si>
  <si>
    <t xml:space="preserve">AIA우리가족을위한평생설계보험 3형(평준형) </t>
    <phoneticPr fontId="17" type="noConversion"/>
  </si>
  <si>
    <t>AIA우리가족 변액종신보험</t>
    <phoneticPr fontId="17" type="noConversion"/>
  </si>
  <si>
    <t>프라임평생설계플러스 (20년납이상)</t>
    <phoneticPr fontId="17" type="noConversion"/>
  </si>
  <si>
    <t>프라임평생설계플러스 (10년납이상)</t>
    <phoneticPr fontId="17" type="noConversion"/>
  </si>
  <si>
    <t>프라임평생설계플러스 (5년납)</t>
    <phoneticPr fontId="17" type="noConversion"/>
  </si>
  <si>
    <t xml:space="preserve">VA(변액연금) </t>
    <phoneticPr fontId="17" type="noConversion"/>
  </si>
  <si>
    <t>스텝업재테크변액연금보험 (15년납, 30만원이상)</t>
    <phoneticPr fontId="17" type="noConversion"/>
  </si>
  <si>
    <t>연금보험</t>
    <phoneticPr fontId="17" type="noConversion"/>
  </si>
  <si>
    <t xml:space="preserve">GOLDEN CHOICE 연금 </t>
    <phoneticPr fontId="17" type="noConversion"/>
  </si>
  <si>
    <t xml:space="preserve">건강/정기/치아/암 </t>
    <phoneticPr fontId="17" type="noConversion"/>
  </si>
  <si>
    <t>실속하나로건강보험</t>
    <phoneticPr fontId="17" type="noConversion"/>
  </si>
  <si>
    <t>3대질병보험(갱신형)</t>
    <phoneticPr fontId="17" type="noConversion"/>
  </si>
  <si>
    <t>평준정기보험</t>
    <phoneticPr fontId="17" type="noConversion"/>
  </si>
  <si>
    <t>실속보장치아보험(1/2/3형)</t>
    <phoneticPr fontId="17" type="noConversion"/>
  </si>
  <si>
    <t>뉴원스톱 암보험(1,2형)</t>
    <phoneticPr fontId="17" type="noConversion"/>
  </si>
  <si>
    <t>뉴원스톱 암보험(3형)</t>
    <phoneticPr fontId="17" type="noConversion"/>
  </si>
  <si>
    <t>원스톱암보험플러스보험(2차암)</t>
    <phoneticPr fontId="17" type="noConversion"/>
  </si>
  <si>
    <t>꼭 필요한 100세 암보험</t>
    <phoneticPr fontId="17" type="noConversion"/>
  </si>
  <si>
    <t>뉴 원스톱 단계별로 더 받는 암보험</t>
    <phoneticPr fontId="17" type="noConversion"/>
  </si>
  <si>
    <t>THE 좋은 변액유니버셜보험</t>
    <phoneticPr fontId="17" type="noConversion"/>
  </si>
  <si>
    <t>&lt; 세부 사항 안내 &gt;</t>
    <phoneticPr fontId="17" type="noConversion"/>
  </si>
  <si>
    <r>
      <t xml:space="preserve"> - AIA생명의 경우, </t>
    </r>
    <r>
      <rPr>
        <b/>
        <sz val="9"/>
        <color indexed="10"/>
        <rFont val="맑은 고딕"/>
        <family val="3"/>
        <charset val="129"/>
      </rPr>
      <t>전 종목 분급형으로 지급</t>
    </r>
    <r>
      <rPr>
        <sz val="9"/>
        <color indexed="8"/>
        <rFont val="맑은 고딕"/>
        <family val="3"/>
        <charset val="129"/>
      </rPr>
      <t xml:space="preserve">되고 있으며, 계약 유지에 따라 </t>
    </r>
    <r>
      <rPr>
        <sz val="9"/>
        <color indexed="8"/>
        <rFont val="맑은 고딕"/>
        <family val="3"/>
        <charset val="129"/>
      </rPr>
      <t>5</t>
    </r>
    <r>
      <rPr>
        <sz val="9"/>
        <color indexed="8"/>
        <rFont val="맑은 고딕"/>
        <family val="3"/>
        <charset val="129"/>
      </rPr>
      <t>차년도까지 분할하여 지급됨</t>
    </r>
    <phoneticPr fontId="17" type="noConversion"/>
  </si>
  <si>
    <r>
      <t xml:space="preserve"> - AIA생명은 </t>
    </r>
    <r>
      <rPr>
        <b/>
        <sz val="9"/>
        <color indexed="10"/>
        <rFont val="맑은 고딕"/>
        <family val="3"/>
        <charset val="129"/>
      </rPr>
      <t>상품별 환산율이 없으며</t>
    </r>
    <r>
      <rPr>
        <sz val="9"/>
        <color indexed="8"/>
        <rFont val="맑은 고딕"/>
        <family val="3"/>
        <charset val="129"/>
      </rPr>
      <t xml:space="preserve">, 상기 예시 자료는 현재 지급되는 당사 지급율을 평균 적용한 예시자료이므로 변동될 수 있음 </t>
    </r>
    <phoneticPr fontId="17" type="noConversion"/>
  </si>
  <si>
    <t xml:space="preserve"> - 우리가족변액종신보험은 주계약 환산 수수료율 MAX로 적용함</t>
    <phoneticPr fontId="17" type="noConversion"/>
  </si>
  <si>
    <t>생보사별 수수료 관련 공통 사항 안내 (14년 12월 기준)</t>
    <phoneticPr fontId="34" type="noConversion"/>
  </si>
  <si>
    <t>14년 12월 생보사별수수료테이블 변동사항(전월대비)</t>
    <phoneticPr fontId="17" type="noConversion"/>
  </si>
  <si>
    <t xml:space="preserve">   관련 환산율 자료는 &lt;팜스 공지사항 → 업무공지&gt; 에서 "환산"검색하여 확인하실 수 있습니다.</t>
    <phoneticPr fontId="99" type="noConversion"/>
  </si>
  <si>
    <t xml:space="preserve">                     정확한 환산은 팜스에 공지되어 있는 상품별 환산 자료 참조 요망(환산자료 :  팜스 공지사항 -&gt;업무공지 -&gt; '환산' 검색) </t>
  </si>
  <si>
    <t xml:space="preserve">                     정확한 환산은 팜스에 공지되어 있는 상품별 환산 자료 참조 요망 (환산자료 :  팜스 공지사항 -&gt;업무공지 -&gt; '환산' 검색) </t>
  </si>
  <si>
    <t xml:space="preserve">                    (환산자료 :  팜스 공지사항 -&gt;업무공지 -&gt; '환산' 검색) </t>
  </si>
  <si>
    <t xml:space="preserve"> ② 환산 기준 : 납기에 따른 주계약의 월납영수보험료를 기준으로 예시하였으며, 실제 설계시 보험료 및 특약별로 적용되는 환산이 다를 수 있으므로, 정확한 환산은 팜스에 공지되어 있는 상품별 환산 자료 참조 요망  (환산자료 :  팜스 공지사항 -&gt;업무공지 -&gt; '환산' 검색) </t>
  </si>
  <si>
    <t xml:space="preserve">                     정확한 DC는 팜스에 공지되어 있는 상품별 환산 자료 참조 요망 (환산자료 :  팜스 공지사항 -&gt;업무공지 -&gt; '환산' 검색) </t>
  </si>
  <si>
    <t>알리안츠생명 수수료 지급 기준(14년 12월 기준) - 성과수수료 항목 최저보장</t>
  </si>
  <si>
    <t>신한생명 수수료 지급 기준(14년 12월 기준) - 성과수수료 항목 최저보장</t>
  </si>
  <si>
    <t>신한생명 수수료 지급 세부 기준 (14년 12월 기준) - 성과수수료 항목 최저보장</t>
  </si>
  <si>
    <t>미래에셋 수수료 지급 기준(14년 12월 기준) - 성과수수료 항목 최저보장</t>
  </si>
  <si>
    <t>미래에셋 수수료 지급 세부 기준(14년 12월 기준) - 성과수수료 항목 최저보장</t>
  </si>
  <si>
    <t>메트라이프 수수료 지급 기준(14년 12월 기준) - 최저보장제 미적용</t>
  </si>
  <si>
    <t>메트라이프 수수료 지급 세부 기준(14년 12월 기준) 최저보장제 미적용</t>
  </si>
  <si>
    <t>한화생명 수수료 지급 기준(14년 12월 기준) - 최저보장제 미적용</t>
  </si>
  <si>
    <t>한화생명 수수료 지급 세부 기준 (14년 12월 기준) - 최저보장제 미적용</t>
  </si>
  <si>
    <t>라이나생명 수수료 지급 기준(14년 12월 기준) - 최저 보장제 미적용</t>
  </si>
  <si>
    <t>라이나 수수료 테이블 안내(14년12월 기준) - 최저 보장제 미적용</t>
  </si>
  <si>
    <t>동부생명 수수료 지급 기준(14년 12월 기준) - 판매촉진수수료 항목 최저보장</t>
  </si>
  <si>
    <t>동부생명 수수료 지급 세부 기준 (14년 12월 기준) - 판매촉진수수료 항목 최저보장</t>
  </si>
  <si>
    <t>동양생명 수수료 지급 기준(14년 12월 기준) - 성과수수료(정산P구간지급률) 항목 최저보장</t>
  </si>
  <si>
    <t>동양생명 수수료 지급 세부 기준 (14년 12월 기준) - 성과수수료(정산P구간지급률) 항목 최저보장</t>
  </si>
  <si>
    <t>교보생명 수수료 지급 기준(14년 12월 기준)-  최저 보장제 미적용</t>
  </si>
  <si>
    <t>교보생명 수수료 지급 세부 기준 (14년 12월 기준) - 최저 보장제 미적용</t>
  </si>
  <si>
    <t>KDB생명 수수료 지급 기준(14년 12월 기준) - 최저 보장제 미적용</t>
  </si>
  <si>
    <t>흥국생명 수수료 지급 기준(14년 12월 기준) - 성과수수료 항목 최저보장</t>
  </si>
  <si>
    <t>흥국생명 수수료 지급 세부 기준 (14년 12월 기준) - 성과수수료 항목 최저보장</t>
  </si>
  <si>
    <t>AIA생명 수수료 지급 기준(14년 12월 기준) - 최저 보장제 미적용(분급형)</t>
  </si>
  <si>
    <t>※ 아래 예시 외 상품(또는 납기 등 다른 기준)은 &lt;팜스 공지사항 → 업무공지&gt; "환산" 자료를 참조하여 활용하시기 바랍니다. (상품의 환산율이 변경될 시 테이블 금액 및 수수료 지급액은 달라질 수 있습니다.)</t>
    <phoneticPr fontId="99" type="noConversion"/>
  </si>
  <si>
    <t>※ 아래 예시 외 상품(또는 납기 등 다른 기준)은 &lt;팜스 공지사항 → 업무공지&gt; "환산" 자료를 참조하여 활용하시기 바랍니다. (상품의 환산율이 변경될 시 테이블 금액 및 수수료 지급액은 달라질 수 있습니다.)</t>
    <phoneticPr fontId="99" type="noConversion"/>
  </si>
  <si>
    <t>※ 아래 예시 외 상품(또는 납기 등 다른 기준)은 &lt;팜스 공지사항 → 업무공지&gt; "환산" 자료를 참조하여 활용하시기 바랍니다. (상품의 환산율이 변경될 시 테이블 금액 및 수수료 지급액은 달라질 수 있습니다.)</t>
    <phoneticPr fontId="34" type="noConversion"/>
  </si>
  <si>
    <t>생산성수수료</t>
    <phoneticPr fontId="99" type="noConversion"/>
  </si>
  <si>
    <t>최저보장 미적용</t>
    <phoneticPr fontId="99" type="noConversion"/>
  </si>
  <si>
    <t>정산성적 25천만 ↑ 30% 보장 지급</t>
    <phoneticPr fontId="99" type="noConversion"/>
  </si>
  <si>
    <t>최저보장 미적용 / 정산성적 8천만 ↑ 20% 지급 예시</t>
    <phoneticPr fontId="99" type="noConversion"/>
  </si>
  <si>
    <t>성과수수료(보장성)</t>
    <phoneticPr fontId="99" type="noConversion"/>
  </si>
  <si>
    <t>예시구간변경</t>
    <phoneticPr fontId="99" type="noConversion"/>
  </si>
  <si>
    <t>5천만 ↓ 50% 지급예시</t>
    <phoneticPr fontId="148" type="noConversion"/>
  </si>
  <si>
    <t>5천만 ↑ 53% 지급예시</t>
    <phoneticPr fontId="148" type="noConversion"/>
  </si>
  <si>
    <t>NH농협생명</t>
  </si>
  <si>
    <t>NH농협생명 수수료 지급 기준(14년 12월 기준) - 최저 보장제 미적용</t>
    <phoneticPr fontId="99" type="noConversion"/>
  </si>
  <si>
    <t>1. 업적 관련 용어 정의</t>
  </si>
  <si>
    <t>항  목</t>
  </si>
  <si>
    <t>용어 정의</t>
  </si>
  <si>
    <t>비  고</t>
  </si>
  <si>
    <t>환산성적</t>
  </si>
  <si>
    <t>보험료를 납입주기, 상품별 환산율에 따라 연납기준으로 환산한 보험료</t>
  </si>
  <si>
    <t>납입보험료 * 계수 * 상품별 환산율</t>
  </si>
  <si>
    <t>구분</t>
  </si>
  <si>
    <t>3개월납</t>
  </si>
  <si>
    <t>6개월납</t>
  </si>
  <si>
    <t>일시납</t>
  </si>
  <si>
    <t>계수</t>
  </si>
  <si>
    <t>정산성적</t>
  </si>
  <si>
    <t>환산성적 - 미유지 환수성적 + 부활성적</t>
  </si>
  <si>
    <t>2. 수수료 관련 기타 기준</t>
  </si>
  <si>
    <t>승환 계약</t>
  </si>
  <si>
    <t>업적월 기준으로 4개월 전후 사이에, 동일계약자 또는 피보험자 명의의 계약 해지 후 같은 종류 상품을 가입한 경우 성적 및 수수료 100% 차감</t>
  </si>
  <si>
    <t>3. 수수료 항목 및 지급 기준</t>
  </si>
  <si>
    <t>세 부  사 항</t>
  </si>
  <si>
    <t>모집수수료</t>
  </si>
  <si>
    <t>▶ 기준 : 2~36회차 입금환산초회P * 상품별 지급률 * 납방별 지급계수</t>
  </si>
  <si>
    <t>▶ 선납건 지급 : 해당월 도래시에 해당 보험료로 인정 지급
▶ 비월납 지급 : 보험료 입금분에 비례지급
▶ 일시납 지급 : 지급률 30% 적용하며 성립 익월 일시 지급</t>
  </si>
  <si>
    <t>회차</t>
  </si>
  <si>
    <t>연금</t>
  </si>
  <si>
    <t>저축</t>
  </si>
  <si>
    <t>지급계수</t>
  </si>
  <si>
    <t>1~12회</t>
  </si>
  <si>
    <t>1월납 : 1
3월납 : 3
6월납 : 6
년납 : 12</t>
  </si>
  <si>
    <t>생산성수수료</t>
  </si>
  <si>
    <r>
      <t>▶</t>
    </r>
    <r>
      <rPr>
        <sz val="9"/>
        <color rgb="FF0000FF"/>
        <rFont val="맑은 고딕"/>
        <family val="3"/>
        <charset val="129"/>
      </rPr>
      <t xml:space="preserve"> </t>
    </r>
    <r>
      <rPr>
        <b/>
        <sz val="9"/>
        <color rgb="FF0000FF"/>
        <rFont val="맑은 고딕"/>
        <family val="3"/>
        <charset val="129"/>
      </rPr>
      <t>1회</t>
    </r>
    <r>
      <rPr>
        <b/>
        <sz val="9"/>
        <rFont val="맑은 고딕"/>
        <family val="3"/>
        <charset val="129"/>
      </rPr>
      <t xml:space="preserve"> :</t>
    </r>
    <r>
      <rPr>
        <sz val="9"/>
        <rFont val="맑은 고딕"/>
        <family val="3"/>
        <charset val="129"/>
      </rPr>
      <t xml:space="preserve"> 환산성적 * 지급률</t>
    </r>
  </si>
  <si>
    <t>당월 정산성적</t>
  </si>
  <si>
    <t>25천만이상</t>
  </si>
  <si>
    <t>15천만이상</t>
  </si>
  <si>
    <t>8천만이상</t>
  </si>
  <si>
    <t>3천만이상</t>
  </si>
  <si>
    <t>3천만미만</t>
  </si>
  <si>
    <t>성과수수료</t>
  </si>
  <si>
    <r>
      <t xml:space="preserve">▶ </t>
    </r>
    <r>
      <rPr>
        <b/>
        <sz val="9"/>
        <color rgb="FF0000FF"/>
        <rFont val="맑은 고딕"/>
        <family val="3"/>
        <charset val="129"/>
      </rPr>
      <t>1회</t>
    </r>
    <r>
      <rPr>
        <sz val="9"/>
        <rFont val="맑은 고딕"/>
        <family val="3"/>
        <charset val="129"/>
      </rPr>
      <t xml:space="preserve"> :환산성적 * 상품별 지급률</t>
    </r>
  </si>
  <si>
    <t>연금저축(세테크NH연금저축보험) 상품의 경우 기타 지급률 적용</t>
  </si>
  <si>
    <t>기타</t>
  </si>
  <si>
    <t>직전 3개월 평균 보장성 정산성적에 따라 지급</t>
  </si>
  <si>
    <t>13천만이상</t>
  </si>
  <si>
    <t>5천만이상</t>
  </si>
  <si>
    <t>5천만미만</t>
  </si>
  <si>
    <r>
      <t xml:space="preserve">NH농협생명 수수료 지급 기준(14년 12월 기준) - </t>
    </r>
    <r>
      <rPr>
        <b/>
        <sz val="15"/>
        <color rgb="FFFF0000"/>
        <rFont val="맑은 고딕"/>
        <family val="3"/>
        <charset val="129"/>
      </rPr>
      <t xml:space="preserve"> 최저 보장제 미적용</t>
    </r>
    <phoneticPr fontId="109" type="noConversion"/>
  </si>
  <si>
    <t>상품명</t>
    <phoneticPr fontId="17" type="noConversion"/>
  </si>
  <si>
    <r>
      <rPr>
        <b/>
        <sz val="9"/>
        <color rgb="FFFF0000"/>
        <rFont val="맑은 고딕"/>
        <family val="3"/>
        <charset val="129"/>
      </rPr>
      <t>주계약</t>
    </r>
    <r>
      <rPr>
        <sz val="9"/>
        <rFont val="맑은 고딕"/>
        <family val="3"/>
        <charset val="129"/>
      </rPr>
      <t xml:space="preserve">
월납P</t>
    </r>
    <phoneticPr fontId="17" type="noConversion"/>
  </si>
  <si>
    <t>환산P</t>
    <phoneticPr fontId="17" type="noConversion"/>
  </si>
  <si>
    <t>성과수수료</t>
    <phoneticPr fontId="17" type="noConversion"/>
  </si>
  <si>
    <t>모집수수료</t>
    <phoneticPr fontId="17" type="noConversion"/>
  </si>
  <si>
    <t>생산성수수료</t>
    <phoneticPr fontId="17" type="noConversion"/>
  </si>
  <si>
    <t>본사수수료</t>
    <phoneticPr fontId="17" type="noConversion"/>
  </si>
  <si>
    <t>본부장</t>
    <phoneticPr fontId="17" type="noConversion"/>
  </si>
  <si>
    <t>인증지점장</t>
    <phoneticPr fontId="17" type="noConversion"/>
  </si>
  <si>
    <t>일반지사장</t>
    <phoneticPr fontId="17" type="noConversion"/>
  </si>
  <si>
    <t>팀장</t>
    <phoneticPr fontId="17" type="noConversion"/>
  </si>
  <si>
    <t>위촉FC</t>
    <phoneticPr fontId="17" type="noConversion"/>
  </si>
  <si>
    <t>상품군</t>
    <phoneticPr fontId="109" type="noConversion"/>
  </si>
  <si>
    <t>기준</t>
    <phoneticPr fontId="17" type="noConversion"/>
  </si>
  <si>
    <t>환산율</t>
    <phoneticPr fontId="17" type="noConversion"/>
  </si>
  <si>
    <t>1~12회</t>
    <phoneticPr fontId="109" type="noConversion"/>
  </si>
  <si>
    <t>13~24회</t>
    <phoneticPr fontId="109" type="noConversion"/>
  </si>
  <si>
    <t>25~36회</t>
    <phoneticPr fontId="109" type="noConversion"/>
  </si>
  <si>
    <t>익월</t>
    <phoneticPr fontId="17" type="noConversion"/>
  </si>
  <si>
    <t>1차년
(익월포함)</t>
    <phoneticPr fontId="17" type="noConversion"/>
  </si>
  <si>
    <t>총계</t>
    <phoneticPr fontId="17" type="noConversion"/>
  </si>
  <si>
    <t>익월</t>
    <phoneticPr fontId="17" type="noConversion"/>
  </si>
  <si>
    <t>1차년
(익월포함)</t>
    <phoneticPr fontId="17" type="noConversion"/>
  </si>
  <si>
    <t>총계</t>
    <phoneticPr fontId="17" type="noConversion"/>
  </si>
  <si>
    <t>익월</t>
    <phoneticPr fontId="17" type="noConversion"/>
  </si>
  <si>
    <t>1차년
(익월포함)</t>
    <phoneticPr fontId="17" type="noConversion"/>
  </si>
  <si>
    <t>총계</t>
    <phoneticPr fontId="17" type="noConversion"/>
  </si>
  <si>
    <t>익월</t>
    <phoneticPr fontId="17" type="noConversion"/>
  </si>
  <si>
    <t>총계</t>
    <phoneticPr fontId="17" type="noConversion"/>
  </si>
  <si>
    <t>총계</t>
    <phoneticPr fontId="17" type="noConversion"/>
  </si>
  <si>
    <t>보장</t>
    <phoneticPr fontId="99" type="noConversion"/>
  </si>
  <si>
    <t>(무)가족사랑NH종신보험</t>
    <phoneticPr fontId="128" type="noConversion"/>
  </si>
  <si>
    <t>20년이상</t>
    <phoneticPr fontId="128" type="noConversion"/>
  </si>
  <si>
    <t>(무)평생행복NH건강보험</t>
    <phoneticPr fontId="128" type="noConversion"/>
  </si>
  <si>
    <t>20년이상</t>
    <phoneticPr fontId="128" type="noConversion"/>
  </si>
  <si>
    <t>(무)행복설계NH종신보험</t>
    <phoneticPr fontId="128" type="noConversion"/>
  </si>
  <si>
    <t>20년이상%</t>
    <phoneticPr fontId="128" type="noConversion"/>
  </si>
  <si>
    <t>연금</t>
    <phoneticPr fontId="99" type="noConversion"/>
  </si>
  <si>
    <t>(유)파워자유NH연금보험</t>
    <phoneticPr fontId="128" type="noConversion"/>
  </si>
  <si>
    <t>10년이상</t>
    <phoneticPr fontId="99" type="noConversion"/>
  </si>
  <si>
    <t>(무)행복열매NH연금보험</t>
    <phoneticPr fontId="128" type="noConversion"/>
  </si>
  <si>
    <t>10년이상</t>
    <phoneticPr fontId="128" type="noConversion"/>
  </si>
  <si>
    <t>저축</t>
    <phoneticPr fontId="99" type="noConversion"/>
  </si>
  <si>
    <t>세테크NH연금저축보험</t>
    <phoneticPr fontId="99" type="noConversion"/>
  </si>
  <si>
    <t>일시납</t>
    <phoneticPr fontId="99" type="noConversion"/>
  </si>
  <si>
    <t>파워자유NH연금보험</t>
    <phoneticPr fontId="99" type="noConversion"/>
  </si>
  <si>
    <t>-</t>
    <phoneticPr fontId="128" type="noConversion"/>
  </si>
  <si>
    <t>(무)가족사랑NH종신보험</t>
    <phoneticPr fontId="109" type="noConversion"/>
  </si>
  <si>
    <t>-</t>
    <phoneticPr fontId="128" type="noConversion"/>
  </si>
  <si>
    <t xml:space="preserve"> &lt; 세부 사항 안내 &gt;</t>
    <phoneticPr fontId="17" type="noConversion"/>
  </si>
  <si>
    <t>1. 작성 기준</t>
    <phoneticPr fontId="17" type="noConversion"/>
  </si>
  <si>
    <t>2. 수수료 항목별 익월 지급 기준 : 모집수수료(1회) + 신계약성과수수료 + 생상선수수료 ▶ 총 3개 항목</t>
    <phoneticPr fontId="17" type="noConversion"/>
  </si>
  <si>
    <t xml:space="preserve"> ▶ 성과수수료 , 생산성수수료 : 1회 선지급</t>
    <phoneticPr fontId="17" type="noConversion"/>
  </si>
  <si>
    <t xml:space="preserve"> ▶ 상품군별 모집 수수료(1차년도) : 보장 5%,  연금, 저축 4%</t>
    <phoneticPr fontId="17" type="noConversion"/>
  </si>
  <si>
    <t xml:space="preserve"> ▶ 모집수수료 : 2차년도 이후 지급률 1차년도와 상이함. 기초시트 확인</t>
    <phoneticPr fontId="17" type="noConversion"/>
  </si>
  <si>
    <t xml:space="preserve"> ▶ 성과 수수료 - 환산성적의 80%(연금) / 환산성적의 53%(보장) / 환산성적의 50%(기타) +  생산성수수료 (환산성적의 20%) + 모집수수료</t>
    <phoneticPr fontId="17" type="noConversion"/>
  </si>
  <si>
    <t xml:space="preserve"> ① 환산 기준 : 납기에 따른 주계약의 월납영수보험료를 기준으로 예시하였으며, 실제 설계시 보험료 및 특약별로 적용되는 환산이 다를 수 있으므로, 정확한 환산은 팜스에 공지되어 있는 상품별 환산 자료 참조 요망 (환산자료 : 팜스 공지사항 -&gt;업무공지 -&gt; '환산' 검색) </t>
    <phoneticPr fontId="99" type="noConversion"/>
  </si>
  <si>
    <t xml:space="preserve"> ① 최저 보장제 미적용 : 성과수수료는 30백만↑구간(270%), Override수수료 제휴근속 5년↑(70%) &amp; 정산월초 25백만↑구간(58%), 유지율 보너스는 86%↑(15%)으로 예시함.</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</si>
</sst>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42" formatCode="_-&quot;₩&quot;* #,##0_-;\-&quot;₩&quot;* #,##0_-;_-&quot;₩&quot;* &quot;-&quot;_-;_-@_-"/>
    <numFmt numFmtId="41" formatCode="_-* #,##0_-;\-* #,##0_-;_-* &quot;-&quot;_-;_-@_-"/>
    <numFmt numFmtId="44" formatCode="_-&quot;₩&quot;* #,##0.00_-;\-&quot;₩&quot;* #,##0.00_-;_-&quot;₩&quot;* &quot;-&quot;??_-;_-@_-"/>
    <numFmt numFmtId="43" formatCode="_-* #,##0.00_-;\-* #,##0.00_-;_-* &quot;-&quot;??_-;_-@_-"/>
    <numFmt numFmtId="24" formatCode="\$#,##0_);[Red]\(\$#,##0\)"/>
    <numFmt numFmtId="176" formatCode="#,##0_ "/>
    <numFmt numFmtId="177" formatCode="0.0%"/>
    <numFmt numFmtId="178" formatCode="_ * #,##0_ ;_ * \-#,##0_ ;_ * &quot;-&quot;_ ;_ @_ "/>
    <numFmt numFmtId="179" formatCode="_-[$€-2]* #,##0.00_-;\-[$€-2]* #,##0.00_-;_-[$€-2]* &quot;-&quot;??_-"/>
    <numFmt numFmtId="180" formatCode="General_)"/>
    <numFmt numFmtId="181" formatCode="&quot;$&quot;#,##0.00_);[Red]\(&quot;$&quot;#,##0.00\)"/>
    <numFmt numFmtId="182" formatCode="0.0000"/>
    <numFmt numFmtId="183" formatCode="#,##0_);[Red]\(#,##0\)"/>
    <numFmt numFmtId="184" formatCode="&quot;₩&quot;#,##0.00;[Red]&quot;₩&quot;&quot;₩&quot;&quot;₩&quot;&quot;₩&quot;&quot;₩&quot;&quot;₩&quot;\-#,##0.00"/>
    <numFmt numFmtId="185" formatCode="#,##0;&quot;-&quot;#,##0"/>
    <numFmt numFmtId="186" formatCode="_ * #,##0.000_ ;_ * \-#,##0.000_ ;_ * &quot;-&quot;_ ;_ @_ "/>
    <numFmt numFmtId="187" formatCode="000\-000"/>
    <numFmt numFmtId="188" formatCode="0.000000000000000%"/>
    <numFmt numFmtId="189" formatCode="&quot;₩&quot;#,##0;&quot;₩&quot;\-#,##0"/>
    <numFmt numFmtId="190" formatCode="0.0"/>
    <numFmt numFmtId="191" formatCode="&quot;₩&quot;#,##0;[Red]&quot;₩&quot;&quot;₩&quot;&quot;₩&quot;&quot;₩&quot;&quot;₩&quot;&quot;₩&quot;&quot;₩&quot;&quot;₩&quot;&quot;₩&quot;\-#,##0"/>
    <numFmt numFmtId="192" formatCode="&quot;₩&quot;#,##0.00;[Red]&quot;₩&quot;\-#,##0.00"/>
    <numFmt numFmtId="193" formatCode="#,##0.0_);[Red]\(#,##0.0\)"/>
    <numFmt numFmtId="194" formatCode="&quot;₩&quot;#,##0.00;&quot;₩&quot;\-#,##0.00"/>
    <numFmt numFmtId="195" formatCode="_ &quot;₩&quot;* #,##0_ ;_ &quot;₩&quot;* &quot;₩&quot;&quot;₩&quot;&quot;₩&quot;&quot;₩&quot;&quot;₩&quot;&quot;₩&quot;&quot;₩&quot;\-#,##0_ ;_ &quot;₩&quot;* &quot;-&quot;_ ;_ @_ "/>
    <numFmt numFmtId="196" formatCode="_ * #,##0_ ;_ * &quot;₩&quot;&quot;₩&quot;\-#,##0_ ;_ * &quot;-&quot;_ ;_ @_ "/>
    <numFmt numFmtId="197" formatCode="&quot;Rp&quot;#,##0.00_);\(&quot;Rp&quot;#,##0.00\)"/>
    <numFmt numFmtId="198" formatCode="0.000000"/>
    <numFmt numFmtId="199" formatCode="&quot;₩&quot;#,##0.00;&quot;₩&quot;&quot;₩&quot;&quot;₩&quot;&quot;₩&quot;&quot;₩&quot;&quot;₩&quot;&quot;₩&quot;&quot;₩&quot;&quot;₩&quot;&quot;₩&quot;&quot;₩&quot;&quot;₩&quot;&quot;₩&quot;&quot;₩&quot;\-#,##0.00"/>
    <numFmt numFmtId="200" formatCode="#,##0.0000_ "/>
    <numFmt numFmtId="201" formatCode="_ &quot;₩&quot;* #,##0.00_ ;_ &quot;₩&quot;* \-#,##0.00_ ;_ &quot;₩&quot;* &quot;-&quot;??_ ;_ @_ "/>
    <numFmt numFmtId="202" formatCode="_(&quot;$&quot;* #,##0.00_);_(&quot;$&quot;* \(#,##0.00\);_(&quot;$&quot;* &quot;-&quot;??_);_(@_)"/>
    <numFmt numFmtId="203" formatCode="mmm&quot;-&quot;yy"/>
    <numFmt numFmtId="204" formatCode="#,##0_ ;[Red]\-#,##0\ "/>
    <numFmt numFmtId="205" formatCode="_-* #,##0_-;&quot;₩&quot;\!\-* #,##0_-;_-* &quot;-&quot;_-;_-@_-"/>
    <numFmt numFmtId="206" formatCode="_-* #,##0.00000_-;\-* #,##0.00000_-;_-* &quot;-&quot;_-;_-@_-"/>
    <numFmt numFmtId="207" formatCode="#,##0.00;[Red]&quot;-&quot;#,##0.00"/>
    <numFmt numFmtId="208" formatCode="#,##0\ "/>
    <numFmt numFmtId="209" formatCode="0.00000%"/>
    <numFmt numFmtId="210" formatCode="\9\7\-0\7\-0\4"/>
    <numFmt numFmtId="211" formatCode="mm&quot;월&quot;\ dd&quot;일&quot;"/>
    <numFmt numFmtId="212" formatCode="&quot;₩&quot;#,##0;[Red]&quot;₩&quot;&quot;₩&quot;&quot;₩&quot;\-#,##0"/>
    <numFmt numFmtId="213" formatCode="_-* #,##0.0_-;\-* #,##0.0_-;_-* &quot;-&quot;??_-;_-@_-"/>
    <numFmt numFmtId="214" formatCode="#,##0.0_ ;[Red]\-#,##0.0\ "/>
    <numFmt numFmtId="215" formatCode="&quot;Rp&quot;#,##0_);\(&quot;Rp&quot;#,##0\)"/>
    <numFmt numFmtId="216" formatCode="0.000"/>
    <numFmt numFmtId="217" formatCode="h&quot;시&quot;mm&quot;분&quot;"/>
    <numFmt numFmtId="218" formatCode="_ &quot;₩&quot;* #,##0.00_ ;_ &quot;₩&quot;* &quot;₩&quot;&quot;₩&quot;&quot;₩&quot;&quot;₩&quot;&quot;₩&quot;&quot;₩&quot;&quot;₩&quot;&quot;₩&quot;&quot;₩&quot;&quot;₩&quot;\-#,##0.00_ ;_ &quot;₩&quot;* &quot;-&quot;??_ ;_ @_ "/>
    <numFmt numFmtId="219" formatCode="&quot;₩&quot;#,##0.00;[Red]&quot;₩&quot;&quot;₩&quot;&quot;₩&quot;&quot;₩&quot;&quot;₩&quot;&quot;₩&quot;&quot;₩&quot;&quot;₩&quot;&quot;₩&quot;&quot;₩&quot;&quot;₩&quot;\-#,##0.00"/>
    <numFmt numFmtId="220" formatCode="_ &quot;₩&quot;* #,##0.00_ ;_ &quot;₩&quot;* &quot;₩&quot;&quot;₩&quot;&quot;₩&quot;&quot;₩&quot;&quot;₩&quot;&quot;₩&quot;&quot;₩&quot;&quot;₩&quot;\-#,##0.00_ ;_ &quot;₩&quot;* &quot;-&quot;??_ ;_ @_ "/>
    <numFmt numFmtId="221" formatCode="_ &quot;₩&quot;* #,##0_ ;_ &quot;₩&quot;* &quot;₩&quot;&quot;₩&quot;&quot;₩&quot;&quot;₩&quot;&quot;₩&quot;&quot;₩&quot;&quot;₩&quot;&quot;₩&quot;&quot;₩&quot;&quot;₩&quot;\-#,##0_ ;_ &quot;₩&quot;* &quot;-&quot;_ ;_ @_ "/>
    <numFmt numFmtId="222" formatCode="&quot;Rp&quot;#,##0.00_);[Red]\(&quot;Rp&quot;#,##0.00\)"/>
    <numFmt numFmtId="223" formatCode="_-* #,##0.0_-;\-* #,##0.0_-;_-* &quot;-&quot;_-;_-@_-"/>
    <numFmt numFmtId="224" formatCode="_(* #,##0_);_(* \(#,##0\);_(* &quot;-&quot;_);_(@_)"/>
    <numFmt numFmtId="225" formatCode="0.0\ "/>
    <numFmt numFmtId="226" formatCode="0.0_);[Red]\(0.0\)"/>
    <numFmt numFmtId="227" formatCode="d\.m\.yy"/>
    <numFmt numFmtId="228" formatCode="_ * #,##0.00_ ;_ * \-#,##0.00_ ;_ * &quot;-&quot;??_ ;_ @_ "/>
    <numFmt numFmtId="229" formatCode="0_);[Red]\(0\)"/>
    <numFmt numFmtId="230" formatCode="0.0000%"/>
    <numFmt numFmtId="231" formatCode="_-* #,##0.00_-;\-* #,##0.00_-;_-* &quot;-&quot;_-;_-@_-"/>
  </numFmts>
  <fonts count="149">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8"/>
      <name val="돋움"/>
      <family val="3"/>
      <charset val="129"/>
    </font>
    <font>
      <b/>
      <sz val="11"/>
      <color indexed="12"/>
      <name val="맑은 고딕"/>
      <family val="3"/>
      <charset val="129"/>
    </font>
    <font>
      <sz val="11"/>
      <name val="맑은 고딕"/>
      <family val="3"/>
      <charset val="129"/>
    </font>
    <font>
      <b/>
      <sz val="15"/>
      <name val="맑은 고딕"/>
      <family val="3"/>
      <charset val="129"/>
    </font>
    <font>
      <b/>
      <sz val="11"/>
      <color indexed="8"/>
      <name val="맑은 고딕"/>
      <family val="3"/>
      <charset val="129"/>
    </font>
    <font>
      <sz val="11"/>
      <name val="돋움"/>
      <family val="3"/>
      <charset val="129"/>
    </font>
    <font>
      <b/>
      <sz val="9"/>
      <color indexed="81"/>
      <name val="Tahoma"/>
      <family val="2"/>
    </font>
    <font>
      <sz val="9"/>
      <color indexed="81"/>
      <name val="Tahoma"/>
      <family val="2"/>
    </font>
    <font>
      <sz val="9"/>
      <color indexed="81"/>
      <name val="돋움"/>
      <family val="3"/>
      <charset val="129"/>
    </font>
    <font>
      <sz val="9"/>
      <color indexed="8"/>
      <name val="맑은 고딕"/>
      <family val="3"/>
      <charset val="129"/>
    </font>
    <font>
      <b/>
      <sz val="9"/>
      <name val="맑은 고딕"/>
      <family val="3"/>
      <charset val="129"/>
    </font>
    <font>
      <sz val="9"/>
      <name val="맑은 고딕"/>
      <family val="3"/>
      <charset val="129"/>
    </font>
    <font>
      <b/>
      <sz val="9"/>
      <color indexed="10"/>
      <name val="맑은 고딕"/>
      <family val="3"/>
      <charset val="129"/>
    </font>
    <font>
      <sz val="15"/>
      <name val="맑은 고딕"/>
      <family val="3"/>
      <charset val="129"/>
    </font>
    <font>
      <sz val="8"/>
      <name val="굴림체"/>
      <family val="3"/>
      <charset val="129"/>
    </font>
    <font>
      <b/>
      <sz val="9"/>
      <color indexed="12"/>
      <name val="맑은 고딕"/>
      <family val="3"/>
      <charset val="129"/>
    </font>
    <font>
      <sz val="9"/>
      <name val="돋움"/>
      <family val="3"/>
      <charset val="129"/>
    </font>
    <font>
      <sz val="8"/>
      <name val="맑은 고딕"/>
      <family val="3"/>
      <charset val="129"/>
    </font>
    <font>
      <sz val="15"/>
      <color indexed="8"/>
      <name val="굴림체"/>
      <family val="3"/>
      <charset val="129"/>
    </font>
    <font>
      <b/>
      <sz val="9"/>
      <color indexed="8"/>
      <name val="맑은 고딕"/>
      <family val="3"/>
      <charset val="129"/>
    </font>
    <font>
      <sz val="12"/>
      <name val="바탕체"/>
      <family val="1"/>
      <charset val="129"/>
    </font>
    <font>
      <sz val="10"/>
      <name val="굴림체"/>
      <family val="3"/>
      <charset val="129"/>
    </font>
    <font>
      <sz val="10"/>
      <name val="MS Sans Serif"/>
      <family val="2"/>
    </font>
    <font>
      <sz val="10"/>
      <name val="Arial"/>
      <family val="2"/>
    </font>
    <font>
      <sz val="12"/>
      <name val="돋움체"/>
      <family val="3"/>
      <charset val="129"/>
    </font>
    <font>
      <sz val="10"/>
      <name val="Helv"/>
      <family val="2"/>
    </font>
    <font>
      <sz val="12"/>
      <name val="Times New Roman"/>
      <family val="1"/>
    </font>
    <font>
      <sz val="12"/>
      <name val="굴림체"/>
      <family val="3"/>
      <charset val="129"/>
    </font>
    <font>
      <sz val="11"/>
      <name val="￥i￠￢￠?o"/>
      <family val="3"/>
      <charset val="129"/>
    </font>
    <font>
      <sz val="12"/>
      <name val="¹UAAA¼"/>
      <family val="3"/>
      <charset val="129"/>
    </font>
    <font>
      <sz val="12"/>
      <name val="¹ÙÅÁÃ¼"/>
      <family val="3"/>
      <charset val="129"/>
    </font>
    <font>
      <sz val="11"/>
      <name val="µ¸¿ò"/>
      <family val="3"/>
      <charset val="129"/>
    </font>
    <font>
      <sz val="10"/>
      <name val="¹UAAA¼"/>
      <family val="3"/>
      <charset val="129"/>
    </font>
    <font>
      <sz val="11"/>
      <name val="μ¸¿o"/>
      <family val="3"/>
      <charset val="129"/>
    </font>
    <font>
      <sz val="12"/>
      <name val="ⓒoUAAA¨u"/>
      <family val="1"/>
      <charset val="129"/>
    </font>
    <font>
      <sz val="10"/>
      <name val="μ¸¿oA¼"/>
      <family val="3"/>
      <charset val="129"/>
    </font>
    <font>
      <sz val="10"/>
      <name val="µ¸¿òÃ¼"/>
      <family val="3"/>
      <charset val="129"/>
    </font>
    <font>
      <sz val="12"/>
      <name val="μ¸¿oA¼"/>
      <family val="3"/>
      <charset val="129"/>
    </font>
    <font>
      <sz val="12"/>
      <name val="System"/>
      <family val="2"/>
      <charset val="129"/>
    </font>
    <font>
      <sz val="12"/>
      <name val="±¼¸²A¼"/>
      <family val="3"/>
      <charset val="129"/>
    </font>
    <font>
      <sz val="12"/>
      <name val="±¼¸²Ã¼"/>
      <family val="3"/>
      <charset val="129"/>
    </font>
    <font>
      <sz val="10"/>
      <name val="±¼¸²A¼"/>
      <family val="3"/>
      <charset val="129"/>
    </font>
    <font>
      <sz val="10"/>
      <name val="±¼¸²Ã¼"/>
      <family val="3"/>
      <charset val="129"/>
    </font>
    <font>
      <b/>
      <sz val="10"/>
      <name val="Helv"/>
      <family val="2"/>
    </font>
    <font>
      <sz val="10"/>
      <name val="돋움"/>
      <family val="3"/>
      <charset val="129"/>
    </font>
    <font>
      <sz val="8"/>
      <name val="Arial"/>
      <family val="2"/>
    </font>
    <font>
      <b/>
      <sz val="12"/>
      <name val="Helv"/>
      <family val="2"/>
    </font>
    <font>
      <b/>
      <sz val="12"/>
      <name val="Arial"/>
      <family val="2"/>
    </font>
    <font>
      <b/>
      <sz val="11"/>
      <name val="Helv"/>
      <family val="2"/>
    </font>
    <font>
      <sz val="12"/>
      <name val="Courier"/>
      <family val="3"/>
    </font>
    <font>
      <sz val="11"/>
      <name val="신그래픽체"/>
      <family val="1"/>
      <charset val="129"/>
    </font>
    <font>
      <u/>
      <sz val="10"/>
      <color indexed="36"/>
      <name val="가는각진제목체"/>
      <family val="1"/>
      <charset val="129"/>
    </font>
    <font>
      <sz val="14"/>
      <name val="뼻뮝"/>
      <family val="3"/>
      <charset val="129"/>
    </font>
    <font>
      <sz val="12"/>
      <name val="뼻뮝"/>
      <family val="3"/>
      <charset val="129"/>
    </font>
    <font>
      <sz val="10"/>
      <name val="궁서(English)"/>
      <family val="3"/>
      <charset val="129"/>
    </font>
    <font>
      <sz val="11"/>
      <name val="굴림"/>
      <family val="3"/>
      <charset val="129"/>
    </font>
    <font>
      <sz val="11"/>
      <name val="가는둥근제목체"/>
      <family val="1"/>
      <charset val="129"/>
    </font>
    <font>
      <sz val="11"/>
      <name val="굴림체"/>
      <family val="3"/>
      <charset val="129"/>
    </font>
    <font>
      <sz val="11"/>
      <name val="가는각진제목체"/>
      <family val="1"/>
      <charset val="129"/>
    </font>
    <font>
      <sz val="11"/>
      <name val="가을체"/>
      <family val="1"/>
      <charset val="129"/>
    </font>
    <font>
      <sz val="16"/>
      <color indexed="8"/>
      <name val="맑은 고딕"/>
      <family val="3"/>
      <charset val="129"/>
    </font>
    <font>
      <b/>
      <sz val="20"/>
      <name val="맑은 고딕"/>
      <family val="3"/>
      <charset val="129"/>
    </font>
    <font>
      <sz val="20"/>
      <color indexed="8"/>
      <name val="맑은 고딕"/>
      <family val="3"/>
      <charset val="129"/>
    </font>
    <font>
      <u/>
      <sz val="16"/>
      <color indexed="8"/>
      <name val="맑은 고딕"/>
      <family val="3"/>
      <charset val="129"/>
    </font>
    <font>
      <b/>
      <u/>
      <sz val="11"/>
      <color indexed="8"/>
      <name val="맑은 고딕"/>
      <family val="3"/>
      <charset val="129"/>
    </font>
    <font>
      <b/>
      <sz val="16"/>
      <color indexed="8"/>
      <name val="맑은 고딕"/>
      <family val="3"/>
      <charset val="129"/>
    </font>
    <font>
      <b/>
      <sz val="20"/>
      <color indexed="8"/>
      <name val="맑은 고딕"/>
      <family val="3"/>
      <charset val="129"/>
    </font>
    <font>
      <b/>
      <sz val="11"/>
      <color indexed="10"/>
      <name val="맑은 고딕"/>
      <family val="3"/>
      <charset val="129"/>
    </font>
    <font>
      <b/>
      <sz val="12"/>
      <name val="맑은 고딕"/>
      <family val="3"/>
      <charset val="129"/>
    </font>
    <font>
      <sz val="10"/>
      <name val="맑은 고딕"/>
      <family val="3"/>
      <charset val="129"/>
    </font>
    <font>
      <sz val="14"/>
      <name val="맑은 고딕"/>
      <family val="3"/>
      <charset val="129"/>
    </font>
    <font>
      <b/>
      <sz val="10"/>
      <name val="맑은 고딕"/>
      <family val="3"/>
      <charset val="129"/>
    </font>
    <font>
      <b/>
      <sz val="9"/>
      <color indexed="62"/>
      <name val="맑은 고딕"/>
      <family val="3"/>
      <charset val="129"/>
    </font>
    <font>
      <sz val="10"/>
      <color indexed="8"/>
      <name val="맑은 고딕"/>
      <family val="3"/>
      <charset val="129"/>
    </font>
    <font>
      <sz val="9"/>
      <color indexed="12"/>
      <name val="맑은 고딕"/>
      <family val="3"/>
      <charset val="129"/>
    </font>
    <font>
      <sz val="11"/>
      <color indexed="8"/>
      <name val="맑은 고딕"/>
      <family val="3"/>
      <charset val="129"/>
    </font>
    <font>
      <sz val="9"/>
      <color indexed="8"/>
      <name val="굴림체"/>
      <family val="3"/>
      <charset val="129"/>
    </font>
    <font>
      <sz val="9"/>
      <color indexed="8"/>
      <name val="맑은 고딕"/>
      <family val="3"/>
      <charset val="129"/>
    </font>
    <font>
      <sz val="15"/>
      <color indexed="8"/>
      <name val="맑은 고딕"/>
      <family val="3"/>
      <charset val="129"/>
    </font>
    <font>
      <sz val="12"/>
      <color indexed="8"/>
      <name val="맑은 고딕"/>
      <family val="3"/>
      <charset val="129"/>
    </font>
    <font>
      <sz val="11"/>
      <color theme="1"/>
      <name val="맑은 고딕"/>
      <family val="3"/>
      <charset val="129"/>
      <scheme val="minor"/>
    </font>
    <font>
      <sz val="9"/>
      <color theme="1"/>
      <name val="굴림체"/>
      <family val="3"/>
      <charset val="129"/>
    </font>
    <font>
      <sz val="8"/>
      <name val="맑은 고딕"/>
      <family val="3"/>
      <charset val="129"/>
      <scheme val="minor"/>
    </font>
    <font>
      <sz val="9"/>
      <color rgb="FF0000FF"/>
      <name val="맑은 고딕"/>
      <family val="3"/>
      <charset val="129"/>
    </font>
    <font>
      <sz val="9"/>
      <color theme="1"/>
      <name val="맑은 고딕"/>
      <family val="3"/>
      <charset val="129"/>
      <scheme val="minor"/>
    </font>
    <font>
      <b/>
      <sz val="9"/>
      <color rgb="FFFF0000"/>
      <name val="맑은 고딕"/>
      <family val="3"/>
      <charset val="129"/>
    </font>
    <font>
      <b/>
      <sz val="9"/>
      <color indexed="81"/>
      <name val="돋움"/>
      <family val="3"/>
      <charset val="129"/>
    </font>
    <font>
      <sz val="9"/>
      <color rgb="FFFF0000"/>
      <name val="맑은 고딕"/>
      <family val="3"/>
      <charset val="129"/>
    </font>
    <font>
      <sz val="9"/>
      <color theme="1"/>
      <name val="맑은 고딕"/>
      <family val="3"/>
      <charset val="129"/>
    </font>
    <font>
      <b/>
      <sz val="9"/>
      <color rgb="FF0000FF"/>
      <name val="맑은 고딕"/>
      <family val="3"/>
      <charset val="129"/>
    </font>
    <font>
      <sz val="15"/>
      <color theme="1"/>
      <name val="맑은 고딕"/>
      <family val="3"/>
      <charset val="129"/>
      <scheme val="minor"/>
    </font>
    <font>
      <b/>
      <sz val="15"/>
      <color rgb="FFFF0000"/>
      <name val="맑은 고딕"/>
      <family val="3"/>
      <charset val="129"/>
    </font>
    <font>
      <sz val="8"/>
      <name val="맑은 고딕"/>
      <family val="2"/>
      <charset val="129"/>
      <scheme val="minor"/>
    </font>
    <font>
      <b/>
      <sz val="12"/>
      <color indexed="12"/>
      <name val="맑은 고딕"/>
      <family val="3"/>
      <charset val="129"/>
    </font>
    <font>
      <sz val="12"/>
      <name val="맑은 고딕"/>
      <family val="3"/>
      <charset val="129"/>
    </font>
    <font>
      <b/>
      <sz val="10"/>
      <color indexed="10"/>
      <name val="맑은 고딕"/>
      <family val="3"/>
      <charset val="129"/>
    </font>
    <font>
      <b/>
      <sz val="9"/>
      <color rgb="FF0000FF"/>
      <name val="맑은 고딕"/>
      <family val="3"/>
      <charset val="129"/>
      <scheme val="minor"/>
    </font>
    <font>
      <b/>
      <sz val="10"/>
      <color indexed="12"/>
      <name val="맑은 고딕"/>
      <family val="3"/>
      <charset val="129"/>
    </font>
    <font>
      <sz val="15"/>
      <name val="맑은 고딕"/>
      <family val="3"/>
      <charset val="129"/>
      <scheme val="major"/>
    </font>
    <font>
      <b/>
      <sz val="15"/>
      <color indexed="8"/>
      <name val="맑은 고딕"/>
      <family val="3"/>
      <charset val="129"/>
      <scheme val="major"/>
    </font>
    <font>
      <sz val="9"/>
      <name val="맑은 고딕"/>
      <family val="3"/>
      <charset val="129"/>
      <scheme val="major"/>
    </font>
    <font>
      <b/>
      <sz val="9"/>
      <color indexed="12"/>
      <name val="맑은 고딕"/>
      <family val="3"/>
      <charset val="129"/>
      <scheme val="major"/>
    </font>
    <font>
      <b/>
      <sz val="9"/>
      <name val="맑은 고딕"/>
      <family val="3"/>
      <charset val="129"/>
      <scheme val="major"/>
    </font>
    <font>
      <b/>
      <sz val="9"/>
      <color theme="1"/>
      <name val="맑은 고딕"/>
      <family val="3"/>
      <charset val="129"/>
      <scheme val="major"/>
    </font>
    <font>
      <sz val="9"/>
      <color theme="1"/>
      <name val="맑은 고딕"/>
      <family val="3"/>
      <charset val="129"/>
      <scheme val="major"/>
    </font>
    <font>
      <b/>
      <sz val="9"/>
      <color rgb="FF0000FF"/>
      <name val="맑은 고딕"/>
      <family val="3"/>
      <charset val="129"/>
      <scheme val="major"/>
    </font>
    <font>
      <sz val="11"/>
      <color theme="1"/>
      <name val="맑은 고딕"/>
      <family val="3"/>
      <charset val="129"/>
      <scheme val="major"/>
    </font>
    <font>
      <sz val="9"/>
      <color rgb="FF0000FF"/>
      <name val="맑은 고딕"/>
      <family val="3"/>
      <charset val="129"/>
      <scheme val="major"/>
    </font>
    <font>
      <sz val="9"/>
      <color theme="1"/>
      <name val="맑은 고딕"/>
      <family val="2"/>
      <charset val="129"/>
      <scheme val="minor"/>
    </font>
    <font>
      <sz val="9"/>
      <color rgb="FF0000FF"/>
      <name val="맑은 고딕"/>
      <family val="3"/>
      <charset val="129"/>
      <scheme val="minor"/>
    </font>
    <font>
      <sz val="9"/>
      <color rgb="FF3333FF"/>
      <name val="굴림체"/>
      <family val="3"/>
      <charset val="129"/>
    </font>
    <font>
      <sz val="8"/>
      <name val="굴림체"/>
      <family val="2"/>
      <charset val="129"/>
    </font>
    <font>
      <sz val="9"/>
      <color rgb="FF0000FF"/>
      <name val="굴림체"/>
      <family val="3"/>
      <charset val="129"/>
    </font>
    <font>
      <b/>
      <u/>
      <sz val="11"/>
      <color rgb="FFFF0000"/>
      <name val="맑은 고딕"/>
      <family val="3"/>
      <charset val="129"/>
    </font>
    <font>
      <b/>
      <u/>
      <sz val="11"/>
      <color rgb="FF0000FF"/>
      <name val="맑은 고딕"/>
      <family val="3"/>
      <charset val="129"/>
    </font>
    <font>
      <sz val="7"/>
      <color indexed="8"/>
      <name val="Times New Roman"/>
      <family val="1"/>
    </font>
    <font>
      <sz val="9"/>
      <name val="굴림체"/>
      <family val="3"/>
      <charset val="129"/>
    </font>
    <font>
      <sz val="11"/>
      <color indexed="81"/>
      <name val="Tahoma"/>
      <family val="2"/>
    </font>
    <font>
      <sz val="11"/>
      <color indexed="81"/>
      <name val="돋움"/>
      <family val="3"/>
      <charset val="129"/>
    </font>
    <font>
      <b/>
      <sz val="11"/>
      <color indexed="81"/>
      <name val="Tahoma"/>
      <family val="2"/>
    </font>
    <font>
      <b/>
      <sz val="14"/>
      <color rgb="FFFF0000"/>
      <name val="맑은 고딕"/>
      <family val="3"/>
      <charset val="129"/>
    </font>
    <font>
      <b/>
      <sz val="12"/>
      <color rgb="FFFF0000"/>
      <name val="맑은 고딕"/>
      <family val="3"/>
      <charset val="129"/>
    </font>
    <font>
      <b/>
      <sz val="9"/>
      <color rgb="FFFF0000"/>
      <name val="맑은 고딕"/>
      <family val="3"/>
      <charset val="129"/>
      <scheme val="major"/>
    </font>
    <font>
      <b/>
      <sz val="9"/>
      <color rgb="FF0000FF"/>
      <name val="돋움"/>
      <family val="3"/>
      <charset val="129"/>
    </font>
    <font>
      <sz val="9"/>
      <color rgb="FFFF0000"/>
      <name val="맑은 고딕"/>
      <family val="3"/>
      <charset val="129"/>
      <scheme val="major"/>
    </font>
    <font>
      <b/>
      <sz val="9"/>
      <color theme="1"/>
      <name val="맑은 고딕"/>
      <family val="3"/>
      <charset val="129"/>
      <scheme val="minor"/>
    </font>
    <font>
      <b/>
      <sz val="9"/>
      <name val="맑은 고딕"/>
      <family val="3"/>
      <charset val="129"/>
      <scheme val="minor"/>
    </font>
    <font>
      <sz val="9"/>
      <name val="맑은 고딕"/>
      <family val="3"/>
      <charset val="129"/>
      <scheme val="minor"/>
    </font>
    <font>
      <sz val="9"/>
      <color rgb="FFFF0000"/>
      <name val="맑은 고딕"/>
      <family val="3"/>
      <charset val="129"/>
      <scheme val="minor"/>
    </font>
    <font>
      <b/>
      <sz val="8"/>
      <color indexed="8"/>
      <name val="맑은 고딕"/>
      <family val="3"/>
      <charset val="129"/>
    </font>
    <font>
      <b/>
      <sz val="14"/>
      <color indexed="12"/>
      <name val="맑은 고딕"/>
      <family val="3"/>
      <charset val="129"/>
    </font>
    <font>
      <sz val="8"/>
      <name val="맑은 고딕"/>
      <family val="2"/>
      <charset val="129"/>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s>
  <borders count="170">
    <border>
      <left/>
      <right/>
      <top/>
      <bottom/>
      <diagonal/>
    </border>
    <border>
      <left/>
      <right style="dotted">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10"/>
      </left>
      <right style="medium">
        <color indexed="10"/>
      </right>
      <top style="medium">
        <color indexed="10"/>
      </top>
      <bottom style="thin">
        <color indexed="64"/>
      </bottom>
      <diagonal/>
    </border>
    <border>
      <left style="thin">
        <color indexed="64"/>
      </left>
      <right style="medium">
        <color indexed="64"/>
      </right>
      <top style="thin">
        <color indexed="64"/>
      </top>
      <bottom style="thin">
        <color indexed="64"/>
      </bottom>
      <diagonal/>
    </border>
    <border>
      <left style="medium">
        <color indexed="10"/>
      </left>
      <right style="medium">
        <color indexed="10"/>
      </right>
      <top style="thin">
        <color indexed="64"/>
      </top>
      <bottom style="medium">
        <color indexed="1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12"/>
      </left>
      <right style="medium">
        <color indexed="12"/>
      </right>
      <top style="medium">
        <color indexed="12"/>
      </top>
      <bottom style="thin">
        <color indexed="64"/>
      </bottom>
      <diagonal/>
    </border>
    <border>
      <left style="medium">
        <color indexed="12"/>
      </left>
      <right style="medium">
        <color indexed="12"/>
      </right>
      <top style="thin">
        <color indexed="64"/>
      </top>
      <bottom style="medium">
        <color indexed="12"/>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bottom style="thin">
        <color indexed="64"/>
      </bottom>
      <diagonal/>
    </border>
    <border>
      <left style="hair">
        <color indexed="64"/>
      </left>
      <right style="hair">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style="double">
        <color indexed="64"/>
      </bottom>
      <diagonal/>
    </border>
    <border>
      <left/>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right style="hair">
        <color indexed="64"/>
      </right>
      <top/>
      <bottom style="medium">
        <color indexed="64"/>
      </bottom>
      <diagonal/>
    </border>
    <border>
      <left/>
      <right style="hair">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medium">
        <color rgb="FFFF0000"/>
      </bottom>
      <diagonal/>
    </border>
    <border>
      <left style="medium">
        <color rgb="FF0000FF"/>
      </left>
      <right style="medium">
        <color rgb="FF0000FF"/>
      </right>
      <top style="medium">
        <color rgb="FF0000FF"/>
      </top>
      <bottom style="thin">
        <color indexed="64"/>
      </bottom>
      <diagonal/>
    </border>
    <border>
      <left style="medium">
        <color rgb="FF0000FF"/>
      </left>
      <right style="medium">
        <color rgb="FF0000FF"/>
      </right>
      <top style="thin">
        <color indexed="64"/>
      </top>
      <bottom style="thin">
        <color indexed="64"/>
      </bottom>
      <diagonal/>
    </border>
    <border>
      <left style="medium">
        <color rgb="FF0000FF"/>
      </left>
      <right style="medium">
        <color rgb="FF0000FF"/>
      </right>
      <top style="thin">
        <color indexed="64"/>
      </top>
      <bottom style="medium">
        <color rgb="FF0000FF"/>
      </bottom>
      <diagonal/>
    </border>
    <border>
      <left/>
      <right/>
      <top style="thin">
        <color indexed="64"/>
      </top>
      <bottom style="double">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rgb="FF0000FF"/>
      </left>
      <right style="medium">
        <color rgb="FF0000FF"/>
      </right>
      <top style="thin">
        <color indexed="64"/>
      </top>
      <bottom/>
      <diagonal/>
    </border>
    <border>
      <left style="medium">
        <color rgb="FF0000FF"/>
      </left>
      <right style="medium">
        <color rgb="FF0000FF"/>
      </right>
      <top/>
      <bottom style="medium">
        <color rgb="FF0000FF"/>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medium">
        <color indexed="64"/>
      </left>
      <right/>
      <top style="medium">
        <color indexed="64"/>
      </top>
      <bottom style="medium">
        <color indexed="64"/>
      </bottom>
      <diagonal/>
    </border>
    <border>
      <left style="thin">
        <color indexed="64"/>
      </left>
      <right style="medium">
        <color rgb="FFFF0000"/>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medium">
        <color indexed="64"/>
      </top>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indexed="64"/>
      </left>
      <right style="hair">
        <color indexed="64"/>
      </right>
      <top style="thin">
        <color indexed="64"/>
      </top>
      <bottom/>
      <diagonal/>
    </border>
    <border>
      <left/>
      <right style="medium">
        <color rgb="FF0000FF"/>
      </right>
      <top style="thin">
        <color indexed="64"/>
      </top>
      <bottom style="thin">
        <color indexed="64"/>
      </bottom>
      <diagonal/>
    </border>
    <border>
      <left/>
      <right style="medium">
        <color rgb="FF0000FF"/>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rgb="FF0000FF"/>
      </left>
      <right style="medium">
        <color indexed="64"/>
      </right>
      <top style="medium">
        <color rgb="FF0000FF"/>
      </top>
      <bottom style="thin">
        <color indexed="64"/>
      </bottom>
      <diagonal/>
    </border>
    <border>
      <left style="medium">
        <color rgb="FF0000FF"/>
      </left>
      <right style="medium">
        <color indexed="64"/>
      </right>
      <top style="thin">
        <color indexed="64"/>
      </top>
      <bottom/>
      <diagonal/>
    </border>
    <border>
      <left/>
      <right style="medium">
        <color rgb="FF0000FF"/>
      </right>
      <top/>
      <bottom style="thin">
        <color indexed="64"/>
      </bottom>
      <diagonal/>
    </border>
    <border>
      <left style="medium">
        <color rgb="FF0000FF"/>
      </left>
      <right style="medium">
        <color indexed="64"/>
      </right>
      <top/>
      <bottom style="medium">
        <color rgb="FF0000FF"/>
      </bottom>
      <diagonal/>
    </border>
    <border>
      <left style="medium">
        <color rgb="FFFF0000"/>
      </left>
      <right style="medium">
        <color rgb="FFFF0000"/>
      </right>
      <top/>
      <bottom style="medium">
        <color rgb="FFFF0000"/>
      </bottom>
      <diagonal/>
    </border>
    <border>
      <left style="medium">
        <color rgb="FF0000FF"/>
      </left>
      <right style="medium">
        <color rgb="FF0000FF"/>
      </right>
      <top style="thin">
        <color indexed="64"/>
      </top>
      <bottom style="medium">
        <color indexed="64"/>
      </bottom>
      <diagonal/>
    </border>
    <border>
      <left style="medium">
        <color rgb="FFFF0000"/>
      </left>
      <right style="medium">
        <color auto="1"/>
      </right>
      <top style="medium">
        <color auto="1"/>
      </top>
      <bottom style="thin">
        <color indexed="64"/>
      </bottom>
      <diagonal/>
    </border>
    <border>
      <left style="medium">
        <color rgb="FFFF0000"/>
      </left>
      <right style="medium">
        <color auto="1"/>
      </right>
      <top style="thin">
        <color indexed="64"/>
      </top>
      <bottom style="medium">
        <color auto="1"/>
      </bottom>
      <diagonal/>
    </border>
    <border>
      <left style="medium">
        <color rgb="FFFF0000"/>
      </left>
      <right style="medium">
        <color rgb="FFFF0000"/>
      </right>
      <top style="thin">
        <color indexed="64"/>
      </top>
      <bottom style="thin">
        <color indexed="64"/>
      </bottom>
      <diagonal/>
    </border>
    <border>
      <left style="thin">
        <color theme="1"/>
      </left>
      <right style="medium">
        <color indexed="12"/>
      </right>
      <top style="thin">
        <color theme="1"/>
      </top>
      <bottom style="thin">
        <color indexed="64"/>
      </bottom>
      <diagonal/>
    </border>
    <border>
      <left style="thin">
        <color theme="1"/>
      </left>
      <right style="medium">
        <color indexed="12"/>
      </right>
      <top style="thin">
        <color indexed="64"/>
      </top>
      <bottom style="thin">
        <color theme="1"/>
      </bottom>
      <diagonal/>
    </border>
    <border>
      <left style="medium">
        <color indexed="12"/>
      </left>
      <right/>
      <top style="thin">
        <color auto="1"/>
      </top>
      <bottom style="thin">
        <color auto="1"/>
      </bottom>
      <diagonal/>
    </border>
    <border>
      <left style="medium">
        <color rgb="FF0000FF"/>
      </left>
      <right/>
      <top style="medium">
        <color rgb="FF0000FF"/>
      </top>
      <bottom style="thin">
        <color indexed="64"/>
      </bottom>
      <diagonal/>
    </border>
    <border>
      <left/>
      <right style="medium">
        <color rgb="FF0000FF"/>
      </right>
      <top style="medium">
        <color rgb="FF0000FF"/>
      </top>
      <bottom style="thin">
        <color indexed="64"/>
      </bottom>
      <diagonal/>
    </border>
    <border>
      <left style="medium">
        <color rgb="FF0000FF"/>
      </left>
      <right/>
      <top style="thin">
        <color indexed="64"/>
      </top>
      <bottom style="medium">
        <color rgb="FF0000FF"/>
      </bottom>
      <diagonal/>
    </border>
    <border>
      <left/>
      <right style="medium">
        <color rgb="FF0000FF"/>
      </right>
      <top style="thin">
        <color indexed="64"/>
      </top>
      <bottom style="medium">
        <color rgb="FF0000FF"/>
      </bottom>
      <diagonal/>
    </border>
    <border>
      <left style="thin">
        <color indexed="64"/>
      </left>
      <right style="medium">
        <color rgb="FF0000FF"/>
      </right>
      <top style="medium">
        <color indexed="64"/>
      </top>
      <bottom style="thin">
        <color indexed="64"/>
      </bottom>
      <diagonal/>
    </border>
    <border>
      <left style="medium">
        <color rgb="FF0000FF"/>
      </left>
      <right style="medium">
        <color indexed="64"/>
      </right>
      <top style="medium">
        <color indexed="64"/>
      </top>
      <bottom style="thin">
        <color indexed="64"/>
      </bottom>
      <diagonal/>
    </border>
    <border>
      <left style="thin">
        <color indexed="64"/>
      </left>
      <right style="medium">
        <color rgb="FF0000FF"/>
      </right>
      <top style="thin">
        <color indexed="64"/>
      </top>
      <bottom style="medium">
        <color indexed="64"/>
      </bottom>
      <diagonal/>
    </border>
    <border>
      <left style="medium">
        <color rgb="FF0000FF"/>
      </left>
      <right style="medium">
        <color indexed="64"/>
      </right>
      <top style="thin">
        <color indexed="64"/>
      </top>
      <bottom style="medium">
        <color indexed="64"/>
      </bottom>
      <diagonal/>
    </border>
  </borders>
  <cellStyleXfs count="2496">
    <xf numFmtId="0" fontId="0" fillId="0" borderId="0">
      <alignment vertical="center"/>
    </xf>
    <xf numFmtId="0" fontId="37" fillId="0" borderId="0"/>
    <xf numFmtId="49" fontId="38" fillId="0" borderId="1">
      <alignment horizontal="center"/>
    </xf>
    <xf numFmtId="49" fontId="38" fillId="0" borderId="1">
      <alignment horizontal="center"/>
    </xf>
    <xf numFmtId="49" fontId="38" fillId="0" borderId="1">
      <alignment horizontal="center"/>
    </xf>
    <xf numFmtId="49" fontId="38" fillId="0" borderId="1">
      <alignment horizontal="center"/>
    </xf>
    <xf numFmtId="24" fontId="39" fillId="0" borderId="0" applyFont="0" applyFill="0" applyBorder="0" applyAlignment="0" applyProtection="0"/>
    <xf numFmtId="0" fontId="39" fillId="0" borderId="0" applyNumberFormat="0" applyFont="0" applyFill="0" applyBorder="0" applyAlignment="0" applyProtection="0"/>
    <xf numFmtId="0" fontId="39" fillId="0" borderId="0" applyNumberFormat="0" applyFont="0" applyFill="0" applyBorder="0" applyAlignment="0" applyProtection="0"/>
    <xf numFmtId="0" fontId="39" fillId="0" borderId="0" applyNumberFormat="0" applyFont="0" applyFill="0" applyBorder="0" applyAlignment="0" applyProtection="0"/>
    <xf numFmtId="0" fontId="37" fillId="0" borderId="0"/>
    <xf numFmtId="0" fontId="37" fillId="0" borderId="0"/>
    <xf numFmtId="0" fontId="40" fillId="0" borderId="0"/>
    <xf numFmtId="0" fontId="40" fillId="0" borderId="0"/>
    <xf numFmtId="0" fontId="41" fillId="0" borderId="0"/>
    <xf numFmtId="0" fontId="40" fillId="0" borderId="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40" fillId="0" borderId="0"/>
    <xf numFmtId="0" fontId="41" fillId="0" borderId="0"/>
    <xf numFmtId="0" fontId="40" fillId="0" borderId="0"/>
    <xf numFmtId="0" fontId="38" fillId="0" borderId="0" applyFont="0" applyFill="0" applyBorder="0" applyAlignment="0" applyProtection="0"/>
    <xf numFmtId="0" fontId="38" fillId="0" borderId="0" applyFont="0" applyFill="0" applyBorder="0" applyAlignment="0" applyProtection="0"/>
    <xf numFmtId="0" fontId="40" fillId="0" borderId="0"/>
    <xf numFmtId="0" fontId="40" fillId="0" borderId="0"/>
    <xf numFmtId="0" fontId="40" fillId="0" borderId="0"/>
    <xf numFmtId="0" fontId="42" fillId="0" borderId="0"/>
    <xf numFmtId="0" fontId="38" fillId="0" borderId="0" applyFont="0" applyFill="0" applyBorder="0" applyAlignment="0" applyProtection="0"/>
    <xf numFmtId="0" fontId="40" fillId="0" borderId="0"/>
    <xf numFmtId="0" fontId="38" fillId="0" borderId="0" applyFont="0" applyFill="0" applyBorder="0" applyAlignment="0" applyProtection="0"/>
    <xf numFmtId="0" fontId="43" fillId="0" borderId="0"/>
    <xf numFmtId="178" fontId="37" fillId="0" borderId="0" applyNumberFormat="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22" fillId="0" borderId="0" applyFont="0" applyFill="0" applyBorder="0" applyAlignment="0" applyProtection="0"/>
    <xf numFmtId="0" fontId="48" fillId="0" borderId="0" applyFont="0" applyFill="0" applyBorder="0" applyAlignment="0" applyProtection="0"/>
    <xf numFmtId="0" fontId="49"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42" fontId="50" fillId="0" borderId="0" applyFont="0" applyFill="0" applyBorder="0" applyAlignment="0" applyProtection="0"/>
    <xf numFmtId="42" fontId="48" fillId="0" borderId="0" applyFont="0" applyFill="0" applyBorder="0" applyAlignment="0" applyProtection="0"/>
    <xf numFmtId="0" fontId="50" fillId="0" borderId="0" applyFont="0" applyFill="0" applyBorder="0" applyAlignment="0" applyProtection="0"/>
    <xf numFmtId="0" fontId="47" fillId="0" borderId="0" applyFont="0" applyFill="0" applyBorder="0" applyAlignment="0" applyProtection="0"/>
    <xf numFmtId="42" fontId="50" fillId="0" borderId="0" applyFont="0" applyFill="0" applyBorder="0" applyAlignment="0" applyProtection="0"/>
    <xf numFmtId="42" fontId="48"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22" fillId="0" borderId="0" applyFont="0" applyFill="0" applyBorder="0" applyAlignment="0" applyProtection="0"/>
    <xf numFmtId="0" fontId="48" fillId="0" borderId="0" applyFont="0" applyFill="0" applyBorder="0" applyAlignment="0" applyProtection="0"/>
    <xf numFmtId="0" fontId="49"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44" fontId="50" fillId="0" borderId="0" applyFont="0" applyFill="0" applyBorder="0" applyAlignment="0" applyProtection="0"/>
    <xf numFmtId="44" fontId="48" fillId="0" borderId="0" applyFont="0" applyFill="0" applyBorder="0" applyAlignment="0" applyProtection="0"/>
    <xf numFmtId="0" fontId="50" fillId="0" borderId="0" applyFont="0" applyFill="0" applyBorder="0" applyAlignment="0" applyProtection="0"/>
    <xf numFmtId="0" fontId="47" fillId="0" borderId="0" applyFont="0" applyFill="0" applyBorder="0" applyAlignment="0" applyProtection="0"/>
    <xf numFmtId="44" fontId="50" fillId="0" borderId="0" applyFont="0" applyFill="0" applyBorder="0" applyAlignment="0" applyProtection="0"/>
    <xf numFmtId="44" fontId="48"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3" fillId="0" borderId="0" applyFont="0" applyFill="0" applyBorder="0" applyAlignment="0" applyProtection="0"/>
    <xf numFmtId="0" fontId="52" fillId="0" borderId="0" applyFont="0" applyFill="0" applyBorder="0" applyAlignment="0" applyProtection="0"/>
    <xf numFmtId="0" fontId="53" fillId="0" borderId="0" applyFont="0" applyFill="0" applyBorder="0" applyAlignment="0" applyProtection="0"/>
    <xf numFmtId="41" fontId="50" fillId="0" borderId="0" applyFont="0" applyFill="0" applyBorder="0" applyAlignment="0" applyProtection="0"/>
    <xf numFmtId="41" fontId="48" fillId="0" borderId="0" applyFont="0" applyFill="0" applyBorder="0" applyAlignment="0" applyProtection="0"/>
    <xf numFmtId="0" fontId="49" fillId="0" borderId="0" applyFont="0" applyFill="0" applyBorder="0" applyAlignment="0" applyProtection="0"/>
    <xf numFmtId="0" fontId="47" fillId="0" borderId="0" applyFont="0" applyFill="0" applyBorder="0" applyAlignment="0" applyProtection="0"/>
    <xf numFmtId="0" fontId="52" fillId="0" borderId="0" applyFont="0" applyFill="0" applyBorder="0" applyAlignment="0" applyProtection="0"/>
    <xf numFmtId="0" fontId="53"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41" fontId="50" fillId="0" borderId="0" applyFont="0" applyFill="0" applyBorder="0" applyAlignment="0" applyProtection="0"/>
    <xf numFmtId="41" fontId="48" fillId="0" borderId="0" applyFont="0" applyFill="0" applyBorder="0" applyAlignment="0" applyProtection="0"/>
    <xf numFmtId="41" fontId="50" fillId="0" borderId="0" applyFont="0" applyFill="0" applyBorder="0" applyAlignment="0" applyProtection="0"/>
    <xf numFmtId="41" fontId="48" fillId="0" borderId="0" applyFont="0" applyFill="0" applyBorder="0" applyAlignment="0" applyProtection="0"/>
    <xf numFmtId="0" fontId="52" fillId="0" borderId="0" applyFont="0" applyFill="0" applyBorder="0" applyAlignment="0" applyProtection="0"/>
    <xf numFmtId="0" fontId="53" fillId="0" borderId="0" applyFont="0" applyFill="0" applyBorder="0" applyAlignment="0" applyProtection="0"/>
    <xf numFmtId="0" fontId="52" fillId="0" borderId="0" applyFont="0" applyFill="0" applyBorder="0" applyAlignment="0" applyProtection="0"/>
    <xf numFmtId="0" fontId="53" fillId="0" borderId="0" applyFont="0" applyFill="0" applyBorder="0" applyAlignment="0" applyProtection="0"/>
    <xf numFmtId="0" fontId="37"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0" fontId="49"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54" fillId="0" borderId="0" applyFont="0" applyFill="0" applyBorder="0" applyAlignment="0" applyProtection="0"/>
    <xf numFmtId="0" fontId="47" fillId="0" borderId="0" applyFont="0" applyFill="0" applyBorder="0" applyAlignment="0" applyProtection="0"/>
    <xf numFmtId="0" fontId="55" fillId="0" borderId="0"/>
    <xf numFmtId="0" fontId="46" fillId="0" borderId="0"/>
    <xf numFmtId="0" fontId="47" fillId="0" borderId="0"/>
    <xf numFmtId="0" fontId="46" fillId="0" borderId="0"/>
    <xf numFmtId="0" fontId="47" fillId="0" borderId="0"/>
    <xf numFmtId="0" fontId="50" fillId="0" borderId="0"/>
    <xf numFmtId="0" fontId="48" fillId="0" borderId="0"/>
    <xf numFmtId="0" fontId="49" fillId="0" borderId="0"/>
    <xf numFmtId="0" fontId="47" fillId="0" borderId="0"/>
    <xf numFmtId="0" fontId="46" fillId="0" borderId="0"/>
    <xf numFmtId="0" fontId="55" fillId="0" borderId="0"/>
    <xf numFmtId="0" fontId="55" fillId="0" borderId="0"/>
    <xf numFmtId="0" fontId="47" fillId="0" borderId="0"/>
    <xf numFmtId="0" fontId="46" fillId="0" borderId="0"/>
    <xf numFmtId="0" fontId="47" fillId="0" borderId="0"/>
    <xf numFmtId="0" fontId="50" fillId="0" borderId="0"/>
    <xf numFmtId="0" fontId="48" fillId="0" borderId="0"/>
    <xf numFmtId="0" fontId="55" fillId="0" borderId="0" applyNumberFormat="0"/>
    <xf numFmtId="0" fontId="55" fillId="0" borderId="0" applyNumberFormat="0"/>
    <xf numFmtId="0" fontId="50" fillId="0" borderId="0"/>
    <xf numFmtId="0" fontId="48" fillId="0" borderId="0"/>
    <xf numFmtId="0" fontId="46" fillId="0" borderId="0"/>
    <xf numFmtId="0" fontId="47" fillId="0" borderId="0"/>
    <xf numFmtId="0" fontId="46" fillId="0" borderId="0"/>
    <xf numFmtId="0" fontId="47" fillId="0" borderId="0"/>
    <xf numFmtId="0" fontId="50" fillId="0" borderId="0"/>
    <xf numFmtId="0" fontId="48" fillId="0" borderId="0"/>
    <xf numFmtId="0" fontId="46" fillId="0" borderId="0"/>
    <xf numFmtId="0" fontId="47" fillId="0" borderId="0"/>
    <xf numFmtId="0" fontId="46" fillId="0" borderId="0"/>
    <xf numFmtId="0" fontId="47" fillId="0" borderId="0"/>
    <xf numFmtId="0" fontId="56" fillId="0" borderId="0"/>
    <xf numFmtId="0" fontId="57" fillId="0" borderId="0"/>
    <xf numFmtId="0" fontId="56" fillId="0" borderId="0"/>
    <xf numFmtId="0" fontId="57" fillId="0" borderId="0"/>
    <xf numFmtId="0" fontId="58" fillId="0" borderId="0"/>
    <xf numFmtId="0" fontId="59" fillId="0" borderId="0"/>
    <xf numFmtId="0" fontId="46" fillId="0" borderId="0"/>
    <xf numFmtId="0" fontId="47" fillId="0" borderId="0"/>
    <xf numFmtId="0" fontId="46" fillId="0" borderId="0"/>
    <xf numFmtId="0" fontId="47" fillId="0" borderId="0"/>
    <xf numFmtId="0" fontId="46" fillId="0" borderId="0"/>
    <xf numFmtId="0" fontId="47" fillId="0" borderId="0"/>
    <xf numFmtId="0" fontId="46" fillId="0" borderId="0"/>
    <xf numFmtId="0" fontId="47" fillId="0" borderId="0"/>
    <xf numFmtId="0" fontId="60" fillId="0" borderId="0"/>
    <xf numFmtId="0" fontId="40" fillId="0" borderId="0" applyFont="0" applyFill="0" applyBorder="0" applyAlignment="0" applyProtection="0"/>
    <xf numFmtId="0" fontId="22" fillId="0" borderId="0"/>
    <xf numFmtId="0" fontId="40" fillId="0" borderId="0" applyFont="0" applyFill="0" applyBorder="0" applyAlignment="0" applyProtection="0"/>
    <xf numFmtId="0" fontId="38"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2" fillId="0" borderId="0"/>
    <xf numFmtId="0" fontId="22" fillId="0" borderId="0"/>
    <xf numFmtId="179" fontId="61" fillId="0" borderId="0" applyFont="0" applyFill="0" applyBorder="0" applyAlignment="0" applyProtection="0"/>
    <xf numFmtId="38" fontId="62" fillId="2" borderId="0" applyNumberFormat="0" applyBorder="0" applyAlignment="0" applyProtection="0"/>
    <xf numFmtId="0" fontId="63" fillId="0" borderId="0">
      <alignment horizontal="left"/>
    </xf>
    <xf numFmtId="0" fontId="64" fillId="0" borderId="2" applyNumberFormat="0" applyAlignment="0" applyProtection="0">
      <alignment horizontal="left" vertical="center"/>
    </xf>
    <xf numFmtId="0" fontId="64" fillId="0" borderId="3">
      <alignment horizontal="left" vertical="center"/>
    </xf>
    <xf numFmtId="10" fontId="62" fillId="2" borderId="4" applyNumberFormat="0" applyBorder="0" applyAlignment="0" applyProtection="0"/>
    <xf numFmtId="0" fontId="65" fillId="0" borderId="5"/>
    <xf numFmtId="0" fontId="22" fillId="0" borderId="0"/>
    <xf numFmtId="0" fontId="40" fillId="0" borderId="0"/>
    <xf numFmtId="10" fontId="40" fillId="0" borderId="0" applyFont="0" applyFill="0" applyBorder="0" applyAlignment="0" applyProtection="0"/>
    <xf numFmtId="0" fontId="37" fillId="0" borderId="0"/>
    <xf numFmtId="0" fontId="65" fillId="0" borderId="0"/>
    <xf numFmtId="180" fontId="66" fillId="0" borderId="0"/>
    <xf numFmtId="180" fontId="66" fillId="0" borderId="0"/>
    <xf numFmtId="180" fontId="66" fillId="0" borderId="0"/>
    <xf numFmtId="180" fontId="66" fillId="0" borderId="0"/>
    <xf numFmtId="180" fontId="66" fillId="0" borderId="0"/>
    <xf numFmtId="180" fontId="66" fillId="0" borderId="0"/>
    <xf numFmtId="180" fontId="66" fillId="0" borderId="0"/>
    <xf numFmtId="180" fontId="66" fillId="0" borderId="0"/>
    <xf numFmtId="180" fontId="66" fillId="0" borderId="0"/>
    <xf numFmtId="180" fontId="66" fillId="0" borderId="0"/>
    <xf numFmtId="180" fontId="66" fillId="0" borderId="0"/>
    <xf numFmtId="176" fontId="67" fillId="0" borderId="0">
      <alignment vertical="center"/>
    </xf>
    <xf numFmtId="0" fontId="68" fillId="0" borderId="0" applyNumberFormat="0" applyFill="0" applyBorder="0" applyAlignment="0" applyProtection="0">
      <alignment vertical="top"/>
      <protection locked="0"/>
    </xf>
    <xf numFmtId="40" fontId="69" fillId="0" borderId="0" applyFont="0" applyFill="0" applyBorder="0" applyAlignment="0" applyProtection="0"/>
    <xf numFmtId="38"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9" fontId="93" fillId="0" borderId="0" applyFont="0" applyFill="0" applyBorder="0" applyAlignment="0" applyProtection="0">
      <alignment vertical="center"/>
    </xf>
    <xf numFmtId="9" fontId="92" fillId="0" borderId="0" applyFont="0" applyFill="0" applyBorder="0" applyAlignment="0" applyProtection="0">
      <alignment vertical="center"/>
    </xf>
    <xf numFmtId="0" fontId="70" fillId="0" borderId="0"/>
    <xf numFmtId="41" fontId="93" fillId="0" borderId="0" applyFont="0" applyFill="0" applyBorder="0" applyAlignment="0" applyProtection="0">
      <alignment vertical="center"/>
    </xf>
    <xf numFmtId="41" fontId="92" fillId="0" borderId="0" applyFont="0" applyFill="0" applyBorder="0" applyAlignment="0" applyProtection="0">
      <alignment vertical="center"/>
    </xf>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1" fillId="0" borderId="0" applyFont="0" applyFill="0" applyBorder="0" applyAlignment="0" applyProtection="0"/>
    <xf numFmtId="181" fontId="22" fillId="0" borderId="0" applyFont="0" applyFill="0" applyBorder="0" applyAlignment="0" applyProtection="0"/>
    <xf numFmtId="182" fontId="7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3"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4"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0" fontId="44" fillId="0" borderId="0" applyFont="0" applyFill="0" applyBorder="0" applyAlignment="0" applyProtection="0"/>
    <xf numFmtId="186" fontId="44" fillId="0" borderId="0" applyFont="0" applyFill="0" applyBorder="0" applyAlignment="0" applyProtection="0"/>
    <xf numFmtId="0"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89" fontId="22" fillId="0" borderId="0" applyFont="0" applyFill="0" applyBorder="0" applyAlignment="0" applyProtection="0"/>
    <xf numFmtId="186" fontId="44" fillId="0" borderId="0" applyFont="0" applyFill="0" applyBorder="0" applyAlignment="0" applyProtection="0"/>
    <xf numFmtId="0" fontId="44" fillId="0" borderId="0" applyFont="0" applyFill="0" applyBorder="0" applyAlignment="0" applyProtection="0"/>
    <xf numFmtId="186" fontId="44" fillId="0" borderId="0" applyFont="0" applyFill="0" applyBorder="0" applyAlignment="0" applyProtection="0"/>
    <xf numFmtId="190" fontId="22" fillId="0" borderId="0" applyFont="0" applyFill="0" applyBorder="0" applyAlignment="0" applyProtection="0"/>
    <xf numFmtId="0"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91" fontId="22" fillId="0" borderId="0" applyFont="0" applyFill="0" applyBorder="0" applyAlignment="0" applyProtection="0"/>
    <xf numFmtId="190" fontId="22" fillId="0" borderId="0" applyFont="0" applyFill="0" applyBorder="0" applyAlignment="0" applyProtection="0"/>
    <xf numFmtId="0" fontId="44" fillId="0" borderId="0" applyFont="0" applyFill="0" applyBorder="0" applyAlignment="0" applyProtection="0"/>
    <xf numFmtId="186" fontId="44" fillId="0" borderId="0" applyFont="0" applyFill="0" applyBorder="0" applyAlignment="0" applyProtection="0"/>
    <xf numFmtId="0"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0"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0"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7" fontId="22" fillId="0" borderId="0" applyFont="0" applyFill="0" applyBorder="0" applyAlignment="0" applyProtection="0"/>
    <xf numFmtId="186"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0" fontId="44" fillId="0" borderId="0" applyFont="0" applyFill="0" applyBorder="0" applyAlignment="0" applyProtection="0"/>
    <xf numFmtId="186" fontId="44" fillId="0" borderId="0" applyFont="0" applyFill="0" applyBorder="0" applyAlignment="0" applyProtection="0"/>
    <xf numFmtId="0"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89" fontId="22" fillId="0" borderId="0" applyFont="0" applyFill="0" applyBorder="0" applyAlignment="0" applyProtection="0"/>
    <xf numFmtId="186" fontId="44" fillId="0" borderId="0" applyFont="0" applyFill="0" applyBorder="0" applyAlignment="0" applyProtection="0"/>
    <xf numFmtId="0" fontId="44" fillId="0" borderId="0" applyFont="0" applyFill="0" applyBorder="0" applyAlignment="0" applyProtection="0"/>
    <xf numFmtId="186" fontId="44" fillId="0" borderId="0" applyFont="0" applyFill="0" applyBorder="0" applyAlignment="0" applyProtection="0"/>
    <xf numFmtId="190" fontId="22" fillId="0" borderId="0" applyFont="0" applyFill="0" applyBorder="0" applyAlignment="0" applyProtection="0"/>
    <xf numFmtId="0"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91" fontId="22" fillId="0" borderId="0" applyFont="0" applyFill="0" applyBorder="0" applyAlignment="0" applyProtection="0"/>
    <xf numFmtId="190" fontId="22" fillId="0" borderId="0" applyFont="0" applyFill="0" applyBorder="0" applyAlignment="0" applyProtection="0"/>
    <xf numFmtId="0" fontId="44" fillId="0" borderId="0" applyFont="0" applyFill="0" applyBorder="0" applyAlignment="0" applyProtection="0"/>
    <xf numFmtId="186" fontId="44" fillId="0" borderId="0" applyFont="0" applyFill="0" applyBorder="0" applyAlignment="0" applyProtection="0"/>
    <xf numFmtId="0"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0"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0"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7" fontId="22" fillId="0" borderId="0" applyFont="0" applyFill="0" applyBorder="0" applyAlignment="0" applyProtection="0"/>
    <xf numFmtId="186"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86" fontId="44"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93" fontId="22"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22" fillId="0" borderId="0" applyFont="0" applyFill="0" applyBorder="0" applyAlignment="0" applyProtection="0"/>
    <xf numFmtId="194" fontId="22" fillId="0" borderId="0" applyFont="0" applyFill="0" applyBorder="0" applyAlignment="0" applyProtection="0"/>
    <xf numFmtId="0"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0"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0" fontId="22" fillId="0" borderId="0" applyFont="0" applyFill="0" applyBorder="0" applyAlignment="0" applyProtection="0"/>
    <xf numFmtId="194" fontId="22" fillId="0" borderId="0" applyFont="0" applyFill="0" applyBorder="0" applyAlignment="0" applyProtection="0"/>
    <xf numFmtId="0"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4"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93" fontId="22"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95" fontId="22" fillId="0" borderId="0" applyFont="0" applyFill="0" applyBorder="0" applyAlignment="0" applyProtection="0"/>
    <xf numFmtId="0" fontId="71"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3" fontId="22" fillId="0" borderId="0" applyFont="0" applyFill="0" applyBorder="0" applyAlignment="0" applyProtection="0"/>
    <xf numFmtId="181" fontId="22"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3" fontId="22" fillId="0" borderId="0" applyFont="0" applyFill="0" applyBorder="0" applyAlignment="0" applyProtection="0"/>
    <xf numFmtId="185" fontId="71" fillId="0" borderId="0" applyFont="0" applyFill="0" applyBorder="0" applyAlignment="0" applyProtection="0"/>
    <xf numFmtId="198"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98" fontId="73" fillId="0" borderId="0" applyFont="0" applyFill="0" applyBorder="0" applyAlignment="0" applyProtection="0"/>
    <xf numFmtId="198"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98" fontId="73" fillId="0" borderId="0" applyFont="0" applyFill="0" applyBorder="0" applyAlignment="0" applyProtection="0"/>
    <xf numFmtId="0" fontId="73" fillId="0" borderId="0" applyFont="0" applyFill="0" applyBorder="0" applyAlignment="0" applyProtection="0"/>
    <xf numFmtId="198" fontId="73" fillId="0" borderId="0" applyFont="0" applyFill="0" applyBorder="0" applyAlignment="0" applyProtection="0"/>
    <xf numFmtId="198" fontId="73" fillId="0" borderId="0" applyFont="0" applyFill="0" applyBorder="0" applyAlignment="0" applyProtection="0"/>
    <xf numFmtId="198"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74" fillId="0" borderId="0" applyFont="0" applyFill="0" applyBorder="0" applyAlignment="0" applyProtection="0"/>
    <xf numFmtId="182" fontId="75"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7" fontId="37" fillId="0" borderId="0" applyFont="0" applyFill="0" applyBorder="0" applyAlignment="0" applyProtection="0"/>
    <xf numFmtId="185" fontId="71" fillId="0" borderId="0" applyFont="0" applyFill="0" applyBorder="0" applyAlignment="0" applyProtection="0"/>
    <xf numFmtId="0" fontId="74"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0" fontId="74"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93" fontId="22"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197" fontId="37" fillId="0" borderId="0" applyFont="0" applyFill="0" applyBorder="0" applyAlignment="0" applyProtection="0"/>
    <xf numFmtId="0" fontId="74"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85" fontId="71"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185" fontId="71" fillId="0" borderId="0" applyFont="0" applyFill="0" applyBorder="0" applyAlignment="0" applyProtection="0"/>
    <xf numFmtId="0" fontId="74"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20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201" fontId="37" fillId="0" borderId="0" applyFont="0" applyFill="0" applyBorder="0" applyAlignment="0" applyProtection="0"/>
    <xf numFmtId="181" fontId="22" fillId="0" borderId="0" applyFont="0" applyFill="0" applyBorder="0" applyAlignment="0" applyProtection="0"/>
    <xf numFmtId="201" fontId="37" fillId="0" borderId="0" applyFont="0" applyFill="0" applyBorder="0" applyAlignment="0" applyProtection="0"/>
    <xf numFmtId="181" fontId="22" fillId="0" borderId="0" applyFont="0" applyFill="0" applyBorder="0" applyAlignment="0" applyProtection="0"/>
    <xf numFmtId="0" fontId="74"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201" fontId="37" fillId="0" borderId="0" applyFont="0" applyFill="0" applyBorder="0" applyAlignment="0" applyProtection="0"/>
    <xf numFmtId="0" fontId="71"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0" fontId="74" fillId="0" borderId="0" applyFont="0" applyFill="0" applyBorder="0" applyAlignment="0" applyProtection="0"/>
    <xf numFmtId="181" fontId="22" fillId="0" borderId="0" applyFont="0" applyFill="0" applyBorder="0" applyAlignment="0" applyProtection="0"/>
    <xf numFmtId="197" fontId="37" fillId="0" borderId="0" applyFont="0" applyFill="0" applyBorder="0" applyAlignment="0" applyProtection="0"/>
    <xf numFmtId="185" fontId="71" fillId="0" borderId="0" applyFont="0" applyFill="0" applyBorder="0" applyAlignment="0" applyProtection="0"/>
    <xf numFmtId="0" fontId="74"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202"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74"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93" fontId="22"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0" fontId="74"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4" fillId="0" borderId="0" applyFont="0" applyFill="0" applyBorder="0" applyAlignment="0" applyProtection="0"/>
    <xf numFmtId="181" fontId="22" fillId="0" borderId="0" applyFont="0" applyFill="0" applyBorder="0" applyAlignment="0" applyProtection="0"/>
    <xf numFmtId="0" fontId="74"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0" fontId="74" fillId="0" borderId="0" applyFont="0" applyFill="0" applyBorder="0" applyAlignment="0" applyProtection="0"/>
    <xf numFmtId="199" fontId="22" fillId="0" borderId="0" applyFont="0" applyFill="0" applyBorder="0" applyAlignment="0" applyProtection="0"/>
    <xf numFmtId="0" fontId="71" fillId="0" borderId="0" applyFont="0" applyFill="0" applyBorder="0" applyAlignment="0" applyProtection="0"/>
    <xf numFmtId="20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3" fontId="22" fillId="0" borderId="0" applyFont="0" applyFill="0" applyBorder="0" applyAlignment="0" applyProtection="0"/>
    <xf numFmtId="20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74"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199" fontId="22" fillId="0" borderId="0" applyFont="0" applyFill="0" applyBorder="0" applyAlignment="0" applyProtection="0"/>
    <xf numFmtId="185" fontId="71" fillId="0" borderId="0" applyFont="0" applyFill="0" applyBorder="0" applyAlignment="0" applyProtection="0"/>
    <xf numFmtId="204" fontId="22"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97" fontId="37"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4" fillId="0" borderId="0" applyFont="0" applyFill="0" applyBorder="0" applyAlignment="0" applyProtection="0"/>
    <xf numFmtId="197" fontId="37" fillId="0" borderId="0" applyFont="0" applyFill="0" applyBorder="0" applyAlignment="0" applyProtection="0"/>
    <xf numFmtId="199" fontId="22"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185" fontId="71" fillId="0" borderId="0" applyFont="0" applyFill="0" applyBorder="0" applyAlignment="0" applyProtection="0"/>
    <xf numFmtId="186" fontId="44" fillId="0" borderId="0" applyFont="0" applyFill="0" applyBorder="0" applyAlignment="0" applyProtection="0"/>
    <xf numFmtId="205" fontId="22"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206" fontId="37" fillId="0" borderId="0" applyFont="0" applyFill="0" applyBorder="0" applyAlignment="0" applyProtection="0"/>
    <xf numFmtId="206" fontId="37" fillId="0" borderId="0" applyFont="0" applyFill="0" applyBorder="0" applyAlignment="0" applyProtection="0"/>
    <xf numFmtId="206" fontId="37" fillId="0" borderId="0" applyFont="0" applyFill="0" applyBorder="0" applyAlignment="0" applyProtection="0"/>
    <xf numFmtId="206" fontId="37"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0" fontId="74"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93" fontId="22"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201" fontId="37"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202" fontId="22" fillId="0" borderId="0" applyFont="0" applyFill="0" applyBorder="0" applyAlignment="0" applyProtection="0"/>
    <xf numFmtId="185" fontId="71" fillId="0" borderId="0" applyFont="0" applyFill="0" applyBorder="0" applyAlignment="0" applyProtection="0"/>
    <xf numFmtId="199" fontId="22"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5" fontId="71" fillId="0" borderId="0" applyFont="0" applyFill="0" applyBorder="0" applyAlignment="0" applyProtection="0"/>
    <xf numFmtId="198"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98" fontId="73" fillId="0" borderId="0" applyFont="0" applyFill="0" applyBorder="0" applyAlignment="0" applyProtection="0"/>
    <xf numFmtId="198"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98" fontId="73" fillId="0" borderId="0" applyFont="0" applyFill="0" applyBorder="0" applyAlignment="0" applyProtection="0"/>
    <xf numFmtId="0" fontId="73" fillId="0" borderId="0" applyFont="0" applyFill="0" applyBorder="0" applyAlignment="0" applyProtection="0"/>
    <xf numFmtId="198" fontId="73" fillId="0" borderId="0" applyFont="0" applyFill="0" applyBorder="0" applyAlignment="0" applyProtection="0"/>
    <xf numFmtId="198" fontId="73" fillId="0" borderId="0" applyFont="0" applyFill="0" applyBorder="0" applyAlignment="0" applyProtection="0"/>
    <xf numFmtId="198"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98"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98" fontId="73" fillId="0" borderId="0" applyFont="0" applyFill="0" applyBorder="0" applyAlignment="0" applyProtection="0"/>
    <xf numFmtId="198"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98" fontId="73" fillId="0" borderId="0" applyFont="0" applyFill="0" applyBorder="0" applyAlignment="0" applyProtection="0"/>
    <xf numFmtId="0" fontId="73" fillId="0" borderId="0" applyFont="0" applyFill="0" applyBorder="0" applyAlignment="0" applyProtection="0"/>
    <xf numFmtId="198" fontId="73" fillId="0" borderId="0" applyFont="0" applyFill="0" applyBorder="0" applyAlignment="0" applyProtection="0"/>
    <xf numFmtId="198" fontId="73" fillId="0" borderId="0" applyFont="0" applyFill="0" applyBorder="0" applyAlignment="0" applyProtection="0"/>
    <xf numFmtId="198"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86" fontId="44" fillId="0" borderId="0" applyFont="0" applyFill="0" applyBorder="0" applyAlignment="0" applyProtection="0"/>
    <xf numFmtId="181" fontId="22" fillId="0" borderId="0" applyFont="0" applyFill="0" applyBorder="0" applyAlignment="0" applyProtection="0"/>
    <xf numFmtId="0" fontId="74" fillId="0" borderId="0" applyFont="0" applyFill="0" applyBorder="0" applyAlignment="0" applyProtection="0"/>
    <xf numFmtId="185" fontId="71" fillId="0" borderId="0" applyFont="0" applyFill="0" applyBorder="0" applyAlignment="0" applyProtection="0"/>
    <xf numFmtId="206" fontId="37" fillId="0" borderId="0" applyFont="0" applyFill="0" applyBorder="0" applyAlignment="0" applyProtection="0"/>
    <xf numFmtId="206" fontId="37"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202" fontId="22"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207" fontId="22" fillId="0" borderId="0" applyFont="0" applyFill="0" applyBorder="0" applyAlignment="0" applyProtection="0"/>
    <xf numFmtId="201" fontId="22" fillId="0" borderId="0" applyFont="0" applyFill="0" applyBorder="0" applyAlignment="0" applyProtection="0"/>
    <xf numFmtId="0" fontId="22" fillId="0" borderId="0" applyFont="0" applyFill="0" applyBorder="0" applyAlignment="0" applyProtection="0"/>
    <xf numFmtId="201" fontId="22" fillId="0" borderId="0" applyFont="0" applyFill="0" applyBorder="0" applyAlignment="0" applyProtection="0"/>
    <xf numFmtId="0" fontId="22" fillId="0" borderId="0" applyFont="0" applyFill="0" applyBorder="0" applyAlignment="0" applyProtection="0"/>
    <xf numFmtId="201" fontId="22" fillId="0" borderId="0" applyFont="0" applyFill="0" applyBorder="0" applyAlignment="0" applyProtection="0"/>
    <xf numFmtId="20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1" fontId="22" fillId="0" borderId="0" applyFont="0" applyFill="0" applyBorder="0" applyAlignment="0" applyProtection="0"/>
    <xf numFmtId="0" fontId="22" fillId="0" borderId="0" applyFont="0" applyFill="0" applyBorder="0" applyAlignment="0" applyProtection="0"/>
    <xf numFmtId="20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1" fontId="22" fillId="0" borderId="0" applyFont="0" applyFill="0" applyBorder="0" applyAlignment="0" applyProtection="0"/>
    <xf numFmtId="20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1" fontId="22" fillId="0" borderId="0" applyFont="0" applyFill="0" applyBorder="0" applyAlignment="0" applyProtection="0"/>
    <xf numFmtId="190" fontId="22" fillId="0" borderId="0" applyFont="0" applyFill="0" applyBorder="0" applyAlignment="0" applyProtection="0"/>
    <xf numFmtId="0" fontId="22" fillId="0" borderId="0" applyFont="0" applyFill="0" applyBorder="0" applyAlignment="0" applyProtection="0"/>
    <xf numFmtId="207" fontId="22" fillId="0" borderId="0" applyFont="0" applyFill="0" applyBorder="0" applyAlignment="0" applyProtection="0"/>
    <xf numFmtId="208" fontId="37"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207" fontId="22" fillId="0" borderId="0" applyFont="0" applyFill="0" applyBorder="0" applyAlignment="0" applyProtection="0"/>
    <xf numFmtId="207"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207" fontId="22" fillId="0" borderId="0" applyFont="0" applyFill="0" applyBorder="0" applyAlignment="0" applyProtection="0"/>
    <xf numFmtId="0" fontId="22" fillId="0" borderId="0" applyFont="0" applyFill="0" applyBorder="0" applyAlignment="0" applyProtection="0"/>
    <xf numFmtId="207"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7" fontId="22" fillId="0" borderId="0" applyFont="0" applyFill="0" applyBorder="0" applyAlignment="0" applyProtection="0"/>
    <xf numFmtId="207" fontId="22"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209" fontId="22" fillId="0" borderId="0" applyFont="0" applyFill="0" applyBorder="0" applyAlignment="0" applyProtection="0"/>
    <xf numFmtId="207" fontId="22"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210" fontId="74" fillId="0" borderId="0" applyFont="0" applyFill="0" applyBorder="0" applyAlignment="0" applyProtection="0"/>
    <xf numFmtId="0" fontId="71" fillId="0" borderId="0" applyFont="0" applyFill="0" applyBorder="0" applyAlignment="0" applyProtection="0"/>
    <xf numFmtId="199" fontId="22" fillId="0" borderId="0" applyFont="0" applyFill="0" applyBorder="0" applyAlignment="0" applyProtection="0"/>
    <xf numFmtId="186" fontId="44" fillId="0" borderId="0" applyFont="0" applyFill="0" applyBorder="0" applyAlignment="0" applyProtection="0"/>
    <xf numFmtId="185" fontId="71" fillId="0" borderId="0" applyFont="0" applyFill="0" applyBorder="0" applyAlignment="0" applyProtection="0"/>
    <xf numFmtId="186" fontId="44"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186" fontId="44"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71"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71" fillId="0" borderId="0" applyFont="0" applyFill="0" applyBorder="0" applyAlignment="0" applyProtection="0"/>
    <xf numFmtId="181" fontId="22" fillId="0" borderId="0" applyFont="0" applyFill="0" applyBorder="0" applyAlignment="0" applyProtection="0"/>
    <xf numFmtId="0" fontId="74"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4"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181" fontId="22" fillId="0" borderId="0" applyFont="0" applyFill="0" applyBorder="0" applyAlignment="0" applyProtection="0"/>
    <xf numFmtId="211" fontId="37"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199" fontId="22" fillId="0" borderId="0" applyFont="0" applyFill="0" applyBorder="0" applyAlignment="0" applyProtection="0"/>
    <xf numFmtId="0" fontId="74"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22" fillId="0" borderId="0" applyFont="0" applyFill="0" applyBorder="0" applyAlignment="0" applyProtection="0"/>
    <xf numFmtId="194" fontId="22" fillId="0" borderId="0" applyFont="0" applyFill="0" applyBorder="0" applyAlignment="0" applyProtection="0"/>
    <xf numFmtId="0"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0"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0" fontId="22" fillId="0" borderId="0" applyFont="0" applyFill="0" applyBorder="0" applyAlignment="0" applyProtection="0"/>
    <xf numFmtId="194" fontId="22" fillId="0" borderId="0" applyFont="0" applyFill="0" applyBorder="0" applyAlignment="0" applyProtection="0"/>
    <xf numFmtId="0"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4"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74" fillId="0" borderId="0" applyFont="0" applyFill="0" applyBorder="0" applyAlignment="0" applyProtection="0"/>
    <xf numFmtId="0" fontId="71" fillId="0" borderId="0" applyFont="0" applyFill="0" applyBorder="0" applyAlignment="0" applyProtection="0"/>
    <xf numFmtId="0" fontId="74"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0" fontId="71"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20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3" fontId="22" fillId="0" borderId="0" applyFont="0" applyFill="0" applyBorder="0" applyAlignment="0" applyProtection="0"/>
    <xf numFmtId="20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9" fontId="22" fillId="0" borderId="0" applyFont="0" applyFill="0" applyBorder="0" applyAlignment="0" applyProtection="0"/>
    <xf numFmtId="185" fontId="71"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185" fontId="71" fillId="0" borderId="0" applyFont="0" applyFill="0" applyBorder="0" applyAlignment="0" applyProtection="0"/>
    <xf numFmtId="212" fontId="37"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4"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0" fontId="75" fillId="0" borderId="0" applyFont="0" applyFill="0" applyBorder="0" applyAlignment="0" applyProtection="0"/>
    <xf numFmtId="213" fontId="75" fillId="0" borderId="0" applyFont="0" applyFill="0" applyBorder="0" applyAlignment="0" applyProtection="0"/>
    <xf numFmtId="0"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0" fontId="75" fillId="0" borderId="0" applyFont="0" applyFill="0" applyBorder="0" applyAlignment="0" applyProtection="0"/>
    <xf numFmtId="213" fontId="75" fillId="0" borderId="0" applyFont="0" applyFill="0" applyBorder="0" applyAlignment="0" applyProtection="0"/>
    <xf numFmtId="0" fontId="75" fillId="0" borderId="0" applyFont="0" applyFill="0" applyBorder="0" applyAlignment="0" applyProtection="0"/>
    <xf numFmtId="213" fontId="75" fillId="0" borderId="0" applyFont="0" applyFill="0" applyBorder="0" applyAlignment="0" applyProtection="0"/>
    <xf numFmtId="0"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0"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0" fontId="75" fillId="0" borderId="0" applyFont="0" applyFill="0" applyBorder="0" applyAlignment="0" applyProtection="0"/>
    <xf numFmtId="0"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0" fontId="75" fillId="0" borderId="0" applyFont="0" applyFill="0" applyBorder="0" applyAlignment="0" applyProtection="0"/>
    <xf numFmtId="213" fontId="75" fillId="0" borderId="0" applyFont="0" applyFill="0" applyBorder="0" applyAlignment="0" applyProtection="0"/>
    <xf numFmtId="0" fontId="75" fillId="0" borderId="0" applyFont="0" applyFill="0" applyBorder="0" applyAlignment="0" applyProtection="0"/>
    <xf numFmtId="0" fontId="75" fillId="0" borderId="0" applyFont="0" applyFill="0" applyBorder="0" applyAlignment="0" applyProtection="0"/>
    <xf numFmtId="0" fontId="22" fillId="0" borderId="0" applyFont="0" applyFill="0" applyBorder="0" applyAlignment="0" applyProtection="0"/>
    <xf numFmtId="214" fontId="22" fillId="0" borderId="0" applyFont="0" applyFill="0" applyBorder="0" applyAlignment="0" applyProtection="0"/>
    <xf numFmtId="0"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0"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0" fontId="22" fillId="0" borderId="0" applyFont="0" applyFill="0" applyBorder="0" applyAlignment="0" applyProtection="0"/>
    <xf numFmtId="214" fontId="22" fillId="0" borderId="0" applyFont="0" applyFill="0" applyBorder="0" applyAlignment="0" applyProtection="0"/>
    <xf numFmtId="0"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14"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3" fontId="75" fillId="0" borderId="0" applyFont="0" applyFill="0" applyBorder="0" applyAlignment="0" applyProtection="0"/>
    <xf numFmtId="215" fontId="74" fillId="0" borderId="0" applyFont="0" applyFill="0" applyBorder="0" applyAlignment="0" applyProtection="0"/>
    <xf numFmtId="216" fontId="74" fillId="0" borderId="0" applyFont="0" applyFill="0" applyBorder="0" applyAlignment="0" applyProtection="0"/>
    <xf numFmtId="0" fontId="71"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211" fontId="22"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0" fontId="71"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85" fontId="71" fillId="0" borderId="0" applyFont="0" applyFill="0" applyBorder="0" applyAlignment="0" applyProtection="0"/>
    <xf numFmtId="0" fontId="74" fillId="0" borderId="0" applyFont="0" applyFill="0" applyBorder="0" applyAlignment="0" applyProtection="0"/>
    <xf numFmtId="204" fontId="75" fillId="0" borderId="0" applyFont="0" applyFill="0" applyBorder="0" applyAlignment="0" applyProtection="0"/>
    <xf numFmtId="0" fontId="74"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0" fontId="74"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3"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4" fontId="22" fillId="0" borderId="0" applyFont="0" applyFill="0" applyBorder="0" applyAlignment="0" applyProtection="0"/>
    <xf numFmtId="0" fontId="74" fillId="0" borderId="0" applyFont="0" applyFill="0" applyBorder="0" applyAlignment="0" applyProtection="0"/>
    <xf numFmtId="197" fontId="37" fillId="0" borderId="0" applyFont="0" applyFill="0" applyBorder="0" applyAlignment="0" applyProtection="0"/>
    <xf numFmtId="185" fontId="71" fillId="0" borderId="0" applyFont="0" applyFill="0" applyBorder="0" applyAlignment="0" applyProtection="0"/>
    <xf numFmtId="217"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217" fontId="74" fillId="0" borderId="0" applyFont="0" applyFill="0" applyBorder="0" applyAlignment="0" applyProtection="0"/>
    <xf numFmtId="217"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217" fontId="74" fillId="0" borderId="0" applyFont="0" applyFill="0" applyBorder="0" applyAlignment="0" applyProtection="0"/>
    <xf numFmtId="0" fontId="74" fillId="0" borderId="0" applyFont="0" applyFill="0" applyBorder="0" applyAlignment="0" applyProtection="0"/>
    <xf numFmtId="217" fontId="74" fillId="0" borderId="0" applyFont="0" applyFill="0" applyBorder="0" applyAlignment="0" applyProtection="0"/>
    <xf numFmtId="217" fontId="74" fillId="0" borderId="0" applyFont="0" applyFill="0" applyBorder="0" applyAlignment="0" applyProtection="0"/>
    <xf numFmtId="217"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185" fontId="71" fillId="0" borderId="0" applyFont="0" applyFill="0" applyBorder="0" applyAlignment="0" applyProtection="0"/>
    <xf numFmtId="0" fontId="74" fillId="0" borderId="0" applyFont="0" applyFill="0" applyBorder="0" applyAlignment="0" applyProtection="0"/>
    <xf numFmtId="218" fontId="75" fillId="0" borderId="0" applyFont="0" applyFill="0" applyBorder="0" applyAlignment="0" applyProtection="0"/>
    <xf numFmtId="219" fontId="22" fillId="0" borderId="0" applyFont="0" applyFill="0" applyBorder="0" applyAlignment="0" applyProtection="0"/>
    <xf numFmtId="218" fontId="75"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221" fontId="75" fillId="0" borderId="0" applyFont="0" applyFill="0" applyBorder="0" applyAlignment="0" applyProtection="0"/>
    <xf numFmtId="0" fontId="75" fillId="0" borderId="0" applyFont="0" applyFill="0" applyBorder="0" applyAlignment="0" applyProtection="0"/>
    <xf numFmtId="221"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8" fontId="75"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8" fontId="75" fillId="0" borderId="0" applyFont="0" applyFill="0" applyBorder="0" applyAlignment="0" applyProtection="0"/>
    <xf numFmtId="219" fontId="22" fillId="0" borderId="0" applyFont="0" applyFill="0" applyBorder="0" applyAlignment="0" applyProtection="0"/>
    <xf numFmtId="221" fontId="75" fillId="0" borderId="0" applyFont="0" applyFill="0" applyBorder="0" applyAlignment="0" applyProtection="0"/>
    <xf numFmtId="0" fontId="75" fillId="0" borderId="0" applyFont="0" applyFill="0" applyBorder="0" applyAlignment="0" applyProtection="0"/>
    <xf numFmtId="221" fontId="75" fillId="0" borderId="0" applyFont="0" applyFill="0" applyBorder="0" applyAlignment="0" applyProtection="0"/>
    <xf numFmtId="190" fontId="74" fillId="0" borderId="0" applyFont="0" applyFill="0" applyBorder="0" applyAlignment="0" applyProtection="0"/>
    <xf numFmtId="0" fontId="71"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4"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222" fontId="74" fillId="0" borderId="0" applyFont="0" applyFill="0" applyBorder="0" applyAlignment="0" applyProtection="0"/>
    <xf numFmtId="222" fontId="74" fillId="0" borderId="0" applyFont="0" applyFill="0" applyBorder="0" applyAlignment="0" applyProtection="0"/>
    <xf numFmtId="0" fontId="71" fillId="0" borderId="0" applyFont="0" applyFill="0" applyBorder="0" applyAlignment="0" applyProtection="0"/>
    <xf numFmtId="0" fontId="74" fillId="0" borderId="0" applyFont="0" applyFill="0" applyBorder="0" applyAlignment="0" applyProtection="0"/>
    <xf numFmtId="181" fontId="22" fillId="0" borderId="0" applyFont="0" applyFill="0" applyBorder="0" applyAlignment="0" applyProtection="0"/>
    <xf numFmtId="199" fontId="22"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0" fontId="74"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4"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223" fontId="75" fillId="0" borderId="0" applyFont="0" applyFill="0" applyBorder="0" applyAlignment="0" applyProtection="0"/>
    <xf numFmtId="0" fontId="74"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99" fontId="22" fillId="0" borderId="0" applyFont="0" applyFill="0" applyBorder="0" applyAlignment="0" applyProtection="0"/>
    <xf numFmtId="185" fontId="71"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181" fontId="22"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4"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224" fontId="74" fillId="0" borderId="0" applyFont="0" applyFill="0" applyBorder="0" applyAlignment="0" applyProtection="0"/>
    <xf numFmtId="210" fontId="74" fillId="0" borderId="0" applyFont="0" applyFill="0" applyBorder="0" applyAlignment="0" applyProtection="0"/>
    <xf numFmtId="201" fontId="37" fillId="0" borderId="0" applyFont="0" applyFill="0" applyBorder="0" applyAlignment="0" applyProtection="0"/>
    <xf numFmtId="181" fontId="22" fillId="0" borderId="0" applyFont="0" applyFill="0" applyBorder="0" applyAlignment="0" applyProtection="0"/>
    <xf numFmtId="201" fontId="37"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93"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5" fontId="71" fillId="0" borderId="0" applyFont="0" applyFill="0" applyBorder="0" applyAlignment="0" applyProtection="0"/>
    <xf numFmtId="182" fontId="75" fillId="0" borderId="0" applyFont="0" applyFill="0" applyBorder="0" applyAlignment="0" applyProtection="0"/>
    <xf numFmtId="225" fontId="75" fillId="0" borderId="0" applyFont="0" applyFill="0" applyBorder="0" applyAlignment="0" applyProtection="0"/>
    <xf numFmtId="226" fontId="75" fillId="0" borderId="0" applyFont="0" applyFill="0" applyBorder="0" applyAlignment="0" applyProtection="0"/>
    <xf numFmtId="225" fontId="75" fillId="0" borderId="0" applyFont="0" applyFill="0" applyBorder="0" applyAlignment="0" applyProtection="0"/>
    <xf numFmtId="226" fontId="75" fillId="0" borderId="0" applyFont="0" applyFill="0" applyBorder="0" applyAlignment="0" applyProtection="0"/>
    <xf numFmtId="210" fontId="74" fillId="0" borderId="0" applyFont="0" applyFill="0" applyBorder="0" applyAlignment="0" applyProtection="0"/>
    <xf numFmtId="181" fontId="22" fillId="0" borderId="0" applyFont="0" applyFill="0" applyBorder="0" applyAlignment="0" applyProtection="0"/>
    <xf numFmtId="20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3" fontId="22" fillId="0" borderId="0" applyFont="0" applyFill="0" applyBorder="0" applyAlignment="0" applyProtection="0"/>
    <xf numFmtId="20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3" fontId="22" fillId="0" borderId="0" applyFont="0" applyFill="0" applyBorder="0" applyAlignment="0" applyProtection="0"/>
    <xf numFmtId="20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11" fontId="37"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1"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86" fontId="44"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71"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206" fontId="37" fillId="0" borderId="0" applyFont="0" applyFill="0" applyBorder="0" applyAlignment="0" applyProtection="0"/>
    <xf numFmtId="206" fontId="37" fillId="0" borderId="0" applyFont="0" applyFill="0" applyBorder="0" applyAlignment="0" applyProtection="0"/>
    <xf numFmtId="190" fontId="22" fillId="0" borderId="0" applyFont="0" applyFill="0" applyBorder="0" applyAlignment="0" applyProtection="0"/>
    <xf numFmtId="190" fontId="75" fillId="0" borderId="0" applyFont="0" applyFill="0" applyBorder="0" applyAlignment="0" applyProtection="0"/>
    <xf numFmtId="185" fontId="71" fillId="0" borderId="0" applyFont="0" applyFill="0" applyBorder="0" applyAlignment="0" applyProtection="0"/>
    <xf numFmtId="227"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6" fontId="44"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2" fontId="75" fillId="0" borderId="0" applyFont="0" applyFill="0" applyBorder="0" applyAlignment="0" applyProtection="0"/>
    <xf numFmtId="225" fontId="75" fillId="0" borderId="0" applyFont="0" applyFill="0" applyBorder="0" applyAlignment="0" applyProtection="0"/>
    <xf numFmtId="226" fontId="75" fillId="0" borderId="0" applyFont="0" applyFill="0" applyBorder="0" applyAlignment="0" applyProtection="0"/>
    <xf numFmtId="225" fontId="75" fillId="0" borderId="0" applyFont="0" applyFill="0" applyBorder="0" applyAlignment="0" applyProtection="0"/>
    <xf numFmtId="226" fontId="75" fillId="0" borderId="0" applyFont="0" applyFill="0" applyBorder="0" applyAlignment="0" applyProtection="0"/>
    <xf numFmtId="197" fontId="37"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0" fontId="37" fillId="0" borderId="0"/>
    <xf numFmtId="41" fontId="22" fillId="0" borderId="0" applyFont="0" applyFill="0" applyBorder="0" applyAlignment="0" applyProtection="0"/>
    <xf numFmtId="228" fontId="76" fillId="0" borderId="0" applyFont="0" applyFill="0" applyBorder="0" applyAlignment="0" applyProtection="0"/>
    <xf numFmtId="0" fontId="97" fillId="0" borderId="0">
      <alignment vertical="center"/>
    </xf>
    <xf numFmtId="0" fontId="15" fillId="0" borderId="0">
      <alignment vertical="center"/>
    </xf>
    <xf numFmtId="0" fontId="22" fillId="0" borderId="0">
      <alignment vertical="center"/>
    </xf>
    <xf numFmtId="0" fontId="98" fillId="0" borderId="0">
      <alignment vertical="center"/>
    </xf>
    <xf numFmtId="0" fontId="22" fillId="0" borderId="0"/>
    <xf numFmtId="0" fontId="15" fillId="0" borderId="0">
      <alignment vertical="center"/>
    </xf>
    <xf numFmtId="9" fontId="14" fillId="0" borderId="0" applyFont="0" applyFill="0" applyBorder="0" applyAlignment="0" applyProtection="0">
      <alignment vertical="center"/>
    </xf>
    <xf numFmtId="0" fontId="14" fillId="0" borderId="0">
      <alignment vertical="center"/>
    </xf>
    <xf numFmtId="41" fontId="14" fillId="0" borderId="0" applyFont="0" applyFill="0" applyBorder="0" applyAlignment="0" applyProtection="0">
      <alignment vertical="center"/>
    </xf>
    <xf numFmtId="9" fontId="97" fillId="0" borderId="0" applyFont="0" applyFill="0" applyBorder="0" applyAlignment="0" applyProtection="0">
      <alignment vertical="center"/>
    </xf>
    <xf numFmtId="0" fontId="40" fillId="0" borderId="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3" fillId="0" borderId="0">
      <alignment vertical="center"/>
    </xf>
    <xf numFmtId="0" fontId="12" fillId="0" borderId="0">
      <alignment vertical="center"/>
    </xf>
    <xf numFmtId="41" fontId="97" fillId="0" borderId="0" applyFont="0" applyFill="0" applyBorder="0" applyAlignment="0" applyProtection="0">
      <alignment vertical="center"/>
    </xf>
    <xf numFmtId="9" fontId="12"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0" fillId="0" borderId="0">
      <alignment vertical="center"/>
    </xf>
    <xf numFmtId="9" fontId="97" fillId="0" borderId="0" applyFont="0" applyFill="0" applyBorder="0" applyAlignment="0" applyProtection="0">
      <alignment vertical="center"/>
    </xf>
    <xf numFmtId="41" fontId="97" fillId="0" borderId="0" applyFont="0" applyFill="0" applyBorder="0" applyAlignment="0" applyProtection="0">
      <alignment vertical="center"/>
    </xf>
    <xf numFmtId="0" fontId="9" fillId="0" borderId="0">
      <alignment vertical="center"/>
    </xf>
    <xf numFmtId="41" fontId="9" fillId="0" borderId="0" applyFont="0" applyFill="0" applyBorder="0" applyAlignment="0" applyProtection="0">
      <alignment vertical="center"/>
    </xf>
    <xf numFmtId="0" fontId="8" fillId="0" borderId="0">
      <alignment vertical="center"/>
    </xf>
    <xf numFmtId="41" fontId="8" fillId="0" borderId="0" applyFont="0" applyFill="0" applyBorder="0" applyAlignment="0" applyProtection="0">
      <alignment vertical="center"/>
    </xf>
    <xf numFmtId="0" fontId="8" fillId="0" borderId="0">
      <alignment vertical="center"/>
    </xf>
    <xf numFmtId="0" fontId="8" fillId="0" borderId="0">
      <alignment vertical="center"/>
    </xf>
    <xf numFmtId="9" fontId="7" fillId="0" borderId="0" applyFont="0" applyFill="0" applyBorder="0" applyAlignment="0" applyProtection="0">
      <alignment vertical="center"/>
    </xf>
    <xf numFmtId="0" fontId="7" fillId="0" borderId="0">
      <alignment vertical="center"/>
    </xf>
    <xf numFmtId="41" fontId="7"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2805">
    <xf numFmtId="0" fontId="0" fillId="0" borderId="0" xfId="0">
      <alignment vertical="center"/>
    </xf>
    <xf numFmtId="0" fontId="18"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vertical="center"/>
    </xf>
    <xf numFmtId="0" fontId="94" fillId="0" borderId="0" xfId="0" applyFont="1">
      <alignment vertical="center"/>
    </xf>
    <xf numFmtId="0" fontId="28" fillId="0" borderId="0" xfId="0" applyFont="1" applyFill="1" applyBorder="1" applyAlignment="1">
      <alignment horizontal="center" vertical="center"/>
    </xf>
    <xf numFmtId="0" fontId="28" fillId="0" borderId="0" xfId="0" applyFont="1" applyAlignment="1">
      <alignment horizontal="left" vertical="center"/>
    </xf>
    <xf numFmtId="0" fontId="29" fillId="0" borderId="0" xfId="0" applyFont="1" applyBorder="1" applyAlignment="1">
      <alignment horizontal="center" vertical="center"/>
    </xf>
    <xf numFmtId="0" fontId="27" fillId="0" borderId="0" xfId="0" applyFont="1" applyAlignment="1">
      <alignment horizontal="center" vertical="center"/>
    </xf>
    <xf numFmtId="0" fontId="28" fillId="3" borderId="11" xfId="0" applyFont="1" applyFill="1" applyBorder="1" applyAlignment="1">
      <alignment horizontal="center" vertical="center"/>
    </xf>
    <xf numFmtId="0" fontId="28" fillId="3" borderId="12" xfId="0" applyFont="1" applyFill="1" applyBorder="1" applyAlignment="1">
      <alignment horizontal="center" vertical="center"/>
    </xf>
    <xf numFmtId="9" fontId="28" fillId="3" borderId="15" xfId="0" applyNumberFormat="1" applyFont="1" applyFill="1" applyBorder="1" applyAlignment="1">
      <alignment horizontal="center" vertical="center"/>
    </xf>
    <xf numFmtId="9" fontId="28" fillId="3" borderId="9" xfId="0" applyNumberFormat="1" applyFont="1" applyFill="1" applyBorder="1" applyAlignment="1">
      <alignment horizontal="center" vertical="center"/>
    </xf>
    <xf numFmtId="0" fontId="95" fillId="0" borderId="0" xfId="0" applyFont="1">
      <alignment vertical="center"/>
    </xf>
    <xf numFmtId="176" fontId="28" fillId="0" borderId="0" xfId="2452" applyNumberFormat="1" applyFont="1">
      <alignment vertical="center"/>
    </xf>
    <xf numFmtId="176" fontId="28" fillId="0" borderId="0" xfId="2452" applyNumberFormat="1" applyFont="1" applyAlignment="1">
      <alignment vertical="center"/>
    </xf>
    <xf numFmtId="176" fontId="28" fillId="3" borderId="17" xfId="0" applyNumberFormat="1" applyFont="1" applyFill="1" applyBorder="1" applyAlignment="1">
      <alignment horizontal="center" vertical="center"/>
    </xf>
    <xf numFmtId="176" fontId="28" fillId="3" borderId="7" xfId="0" applyNumberFormat="1" applyFont="1" applyFill="1" applyBorder="1" applyAlignment="1">
      <alignment horizontal="center" vertical="center"/>
    </xf>
    <xf numFmtId="176" fontId="28" fillId="3" borderId="18" xfId="0" applyNumberFormat="1" applyFont="1" applyFill="1" applyBorder="1" applyAlignment="1">
      <alignment horizontal="center" vertical="center"/>
    </xf>
    <xf numFmtId="176" fontId="28" fillId="4" borderId="19" xfId="2452" applyNumberFormat="1" applyFont="1" applyFill="1" applyBorder="1" applyAlignment="1">
      <alignment horizontal="right" vertical="center"/>
    </xf>
    <xf numFmtId="176" fontId="28" fillId="4" borderId="15" xfId="2452" applyNumberFormat="1" applyFont="1" applyFill="1" applyBorder="1" applyAlignment="1">
      <alignment horizontal="right" vertical="center"/>
    </xf>
    <xf numFmtId="176" fontId="28" fillId="4" borderId="20" xfId="2452" applyNumberFormat="1" applyFont="1" applyFill="1" applyBorder="1" applyAlignment="1">
      <alignment horizontal="right" vertical="center"/>
    </xf>
    <xf numFmtId="176" fontId="28" fillId="4" borderId="21" xfId="2452" applyNumberFormat="1" applyFont="1" applyFill="1" applyBorder="1" applyAlignment="1">
      <alignment horizontal="right" vertical="center"/>
    </xf>
    <xf numFmtId="176" fontId="28" fillId="4" borderId="4" xfId="2452" applyNumberFormat="1" applyFont="1" applyFill="1" applyBorder="1" applyAlignment="1">
      <alignment horizontal="right" vertical="center"/>
    </xf>
    <xf numFmtId="176" fontId="28" fillId="4" borderId="12" xfId="2452" applyNumberFormat="1" applyFont="1" applyFill="1" applyBorder="1" applyAlignment="1">
      <alignment horizontal="right" vertical="center"/>
    </xf>
    <xf numFmtId="176" fontId="29" fillId="0" borderId="0" xfId="2452" applyNumberFormat="1" applyFont="1" applyBorder="1" applyAlignment="1">
      <alignment horizontal="left" vertical="center"/>
    </xf>
    <xf numFmtId="176" fontId="28" fillId="0" borderId="0" xfId="2452" applyNumberFormat="1" applyFont="1" applyBorder="1" applyAlignment="1">
      <alignment horizontal="left" vertical="center"/>
    </xf>
    <xf numFmtId="176" fontId="28" fillId="0" borderId="0" xfId="2452" applyNumberFormat="1" applyFont="1" applyFill="1" applyBorder="1" applyAlignment="1">
      <alignment horizontal="left" vertical="center"/>
    </xf>
    <xf numFmtId="0" fontId="28" fillId="0" borderId="0" xfId="0" applyFont="1" applyFill="1" applyAlignment="1">
      <alignment vertical="center"/>
    </xf>
    <xf numFmtId="0" fontId="29" fillId="0" borderId="0" xfId="0" applyFont="1" applyAlignment="1">
      <alignment vertical="center"/>
    </xf>
    <xf numFmtId="0" fontId="28" fillId="0" borderId="0" xfId="0" applyFont="1" applyFill="1" applyAlignment="1">
      <alignment horizontal="center" vertical="center"/>
    </xf>
    <xf numFmtId="176" fontId="30" fillId="0" borderId="0" xfId="2452" applyNumberFormat="1" applyFont="1">
      <alignment vertical="center"/>
    </xf>
    <xf numFmtId="176" fontId="28" fillId="4" borderId="8" xfId="2452" applyNumberFormat="1" applyFont="1" applyFill="1" applyBorder="1" applyAlignment="1">
      <alignment horizontal="right" vertical="center"/>
    </xf>
    <xf numFmtId="176" fontId="28" fillId="4" borderId="9" xfId="2452" applyNumberFormat="1" applyFont="1" applyFill="1" applyBorder="1" applyAlignment="1">
      <alignment horizontal="right" vertical="center"/>
    </xf>
    <xf numFmtId="0" fontId="32" fillId="0" borderId="0" xfId="0" applyFont="1" applyAlignment="1">
      <alignment horizontal="left" vertical="center"/>
    </xf>
    <xf numFmtId="0" fontId="28" fillId="0" borderId="4" xfId="0" applyFont="1" applyBorder="1" applyAlignment="1">
      <alignment horizontal="center" vertical="center" wrapText="1"/>
    </xf>
    <xf numFmtId="176" fontId="28" fillId="0" borderId="0" xfId="0" applyNumberFormat="1" applyFont="1" applyAlignment="1">
      <alignment vertical="center"/>
    </xf>
    <xf numFmtId="9" fontId="28" fillId="3" borderId="7" xfId="0" applyNumberFormat="1" applyFont="1" applyFill="1" applyBorder="1" applyAlignment="1">
      <alignment horizontal="center" vertical="center"/>
    </xf>
    <xf numFmtId="9" fontId="28" fillId="3" borderId="4" xfId="0" applyNumberFormat="1" applyFont="1" applyFill="1" applyBorder="1" applyAlignment="1">
      <alignment horizontal="center" vertical="center"/>
    </xf>
    <xf numFmtId="177" fontId="28" fillId="0" borderId="18" xfId="0" applyNumberFormat="1" applyFont="1" applyBorder="1" applyAlignment="1">
      <alignment horizontal="center" vertical="center"/>
    </xf>
    <xf numFmtId="9" fontId="28" fillId="0" borderId="0" xfId="0" applyNumberFormat="1" applyFont="1" applyFill="1" applyBorder="1" applyAlignment="1">
      <alignment horizontal="center" vertical="center"/>
    </xf>
    <xf numFmtId="176" fontId="28" fillId="0" borderId="0" xfId="0" applyNumberFormat="1" applyFont="1" applyFill="1" applyBorder="1" applyAlignment="1">
      <alignment horizontal="center" vertical="center"/>
    </xf>
    <xf numFmtId="0" fontId="27" fillId="0" borderId="0" xfId="0" applyFont="1" applyFill="1" applyAlignment="1">
      <alignment horizontal="left" vertical="center"/>
    </xf>
    <xf numFmtId="0" fontId="30" fillId="0" borderId="0" xfId="2453" applyFont="1" applyFill="1" applyAlignment="1">
      <alignment vertical="center"/>
    </xf>
    <xf numFmtId="0" fontId="35" fillId="0" borderId="0" xfId="2453" applyFont="1" applyAlignment="1">
      <alignment vertical="center"/>
    </xf>
    <xf numFmtId="0" fontId="28" fillId="0" borderId="0" xfId="2453" applyFont="1" applyFill="1" applyAlignment="1">
      <alignment horizontal="center" vertical="center"/>
    </xf>
    <xf numFmtId="0" fontId="32" fillId="0" borderId="0" xfId="2453" applyFont="1" applyFill="1" applyAlignment="1">
      <alignment horizontal="left" vertical="center"/>
    </xf>
    <xf numFmtId="0" fontId="28" fillId="0" borderId="0" xfId="2453" applyFont="1" applyFill="1" applyAlignment="1">
      <alignment vertical="center"/>
    </xf>
    <xf numFmtId="0" fontId="93" fillId="0" borderId="0" xfId="2453" applyFont="1" applyFill="1" applyAlignment="1">
      <alignment vertical="center"/>
    </xf>
    <xf numFmtId="0" fontId="27" fillId="0" borderId="0" xfId="2453" applyFont="1" applyFill="1" applyAlignment="1">
      <alignment vertical="center"/>
    </xf>
    <xf numFmtId="0" fontId="33" fillId="0" borderId="0" xfId="2453" applyFont="1" applyFill="1" applyAlignment="1">
      <alignment vertical="center"/>
    </xf>
    <xf numFmtId="0" fontId="28" fillId="0" borderId="0" xfId="2453" applyFont="1" applyFill="1" applyAlignment="1">
      <alignment horizontal="left" vertical="center"/>
    </xf>
    <xf numFmtId="0" fontId="33" fillId="0" borderId="0" xfId="2453" applyFont="1" applyAlignment="1">
      <alignment vertical="center"/>
    </xf>
    <xf numFmtId="0" fontId="27" fillId="0" borderId="0" xfId="2453" applyFont="1" applyFill="1" applyAlignment="1">
      <alignment horizontal="center" vertical="center"/>
    </xf>
    <xf numFmtId="0" fontId="27" fillId="3" borderId="33" xfId="2453" applyFont="1" applyFill="1" applyBorder="1" applyAlignment="1">
      <alignment horizontal="center" vertical="center"/>
    </xf>
    <xf numFmtId="0" fontId="98" fillId="0" borderId="0" xfId="2453">
      <alignment vertical="center"/>
    </xf>
    <xf numFmtId="176" fontId="28" fillId="0" borderId="0" xfId="2452" applyNumberFormat="1" applyFont="1" applyFill="1">
      <alignment vertical="center"/>
    </xf>
    <xf numFmtId="176" fontId="28" fillId="3" borderId="34" xfId="2452" applyNumberFormat="1" applyFont="1" applyFill="1" applyBorder="1" applyAlignment="1">
      <alignment horizontal="center" vertical="center" wrapText="1"/>
    </xf>
    <xf numFmtId="176" fontId="28" fillId="3" borderId="18" xfId="2452" applyNumberFormat="1" applyFont="1" applyFill="1" applyBorder="1" applyAlignment="1">
      <alignment horizontal="center" vertical="center"/>
    </xf>
    <xf numFmtId="176" fontId="29" fillId="0" borderId="0" xfId="2452" applyNumberFormat="1" applyFont="1" applyFill="1" applyBorder="1" applyAlignment="1">
      <alignment horizontal="left" vertical="center"/>
    </xf>
    <xf numFmtId="176" fontId="28" fillId="0" borderId="0" xfId="2452" applyNumberFormat="1" applyFont="1" applyFill="1" applyBorder="1" applyAlignment="1">
      <alignment horizontal="center" vertical="center"/>
    </xf>
    <xf numFmtId="0" fontId="29" fillId="0" borderId="0" xfId="2453" applyFont="1" applyFill="1" applyAlignment="1">
      <alignment vertical="center"/>
    </xf>
    <xf numFmtId="0" fontId="29" fillId="0" borderId="0" xfId="2453" applyFont="1" applyFill="1" applyAlignment="1">
      <alignment horizontal="center" vertical="center"/>
    </xf>
    <xf numFmtId="0" fontId="30" fillId="0" borderId="0" xfId="2450" applyFont="1" applyAlignment="1">
      <alignment vertical="center"/>
    </xf>
    <xf numFmtId="0" fontId="32" fillId="0" borderId="0" xfId="2450" applyFont="1" applyAlignment="1">
      <alignment horizontal="left" vertical="center"/>
    </xf>
    <xf numFmtId="0" fontId="28" fillId="0" borderId="0" xfId="2450" applyFont="1" applyAlignment="1">
      <alignment horizontal="center" vertical="center"/>
    </xf>
    <xf numFmtId="0" fontId="28" fillId="0" borderId="0" xfId="2450" applyFont="1" applyAlignment="1">
      <alignment vertical="center"/>
    </xf>
    <xf numFmtId="0" fontId="27" fillId="0" borderId="0" xfId="2450" applyFont="1" applyAlignment="1">
      <alignment vertical="center"/>
    </xf>
    <xf numFmtId="9" fontId="28" fillId="0" borderId="7" xfId="2450" applyNumberFormat="1" applyFont="1" applyFill="1" applyBorder="1" applyAlignment="1">
      <alignment horizontal="center" vertical="center"/>
    </xf>
    <xf numFmtId="9" fontId="28" fillId="0" borderId="4" xfId="2450" applyNumberFormat="1" applyFont="1" applyBorder="1" applyAlignment="1">
      <alignment horizontal="center" vertical="center"/>
    </xf>
    <xf numFmtId="0" fontId="26" fillId="0" borderId="0" xfId="2450" applyFont="1">
      <alignment vertical="center"/>
    </xf>
    <xf numFmtId="176" fontId="28" fillId="0" borderId="0" xfId="2452" applyNumberFormat="1" applyFont="1" applyAlignment="1">
      <alignment horizontal="center" vertical="center"/>
    </xf>
    <xf numFmtId="177" fontId="26" fillId="3" borderId="37" xfId="2452" applyNumberFormat="1" applyFont="1" applyFill="1" applyBorder="1" applyAlignment="1">
      <alignment horizontal="center" vertical="center"/>
    </xf>
    <xf numFmtId="177" fontId="26" fillId="3" borderId="39" xfId="2452" applyNumberFormat="1" applyFont="1" applyFill="1" applyBorder="1" applyAlignment="1">
      <alignment horizontal="center" vertical="center"/>
    </xf>
    <xf numFmtId="0" fontId="27" fillId="0" borderId="0" xfId="2453" applyFont="1" applyAlignment="1">
      <alignment vertical="center"/>
    </xf>
    <xf numFmtId="0" fontId="28" fillId="0" borderId="0" xfId="2453" applyFont="1" applyAlignment="1">
      <alignment horizontal="center" vertical="center"/>
    </xf>
    <xf numFmtId="0" fontId="28" fillId="0" borderId="0" xfId="2453" applyFont="1" applyAlignment="1">
      <alignment vertical="center"/>
    </xf>
    <xf numFmtId="0" fontId="29" fillId="0" borderId="0" xfId="2453" applyFont="1" applyAlignment="1">
      <alignment vertical="center"/>
    </xf>
    <xf numFmtId="0" fontId="77" fillId="0" borderId="0" xfId="2455" applyFont="1">
      <alignment vertical="center"/>
    </xf>
    <xf numFmtId="0" fontId="79" fillId="0" borderId="0" xfId="2455" applyFont="1">
      <alignment vertical="center"/>
    </xf>
    <xf numFmtId="0" fontId="80" fillId="0" borderId="0" xfId="2455" applyFont="1">
      <alignment vertical="center"/>
    </xf>
    <xf numFmtId="0" fontId="21" fillId="0" borderId="0" xfId="2455" applyFont="1" applyAlignment="1">
      <alignment vertical="center"/>
    </xf>
    <xf numFmtId="0" fontId="81" fillId="0" borderId="0" xfId="2455" applyFont="1" applyAlignment="1">
      <alignment vertical="center"/>
    </xf>
    <xf numFmtId="0" fontId="77" fillId="0" borderId="0" xfId="2455" applyFont="1" applyFill="1">
      <alignment vertical="center"/>
    </xf>
    <xf numFmtId="0" fontId="28" fillId="3" borderId="40" xfId="0" applyFont="1" applyFill="1" applyBorder="1" applyAlignment="1">
      <alignment vertical="center"/>
    </xf>
    <xf numFmtId="0" fontId="28" fillId="3" borderId="0" xfId="0" applyFont="1" applyFill="1" applyBorder="1" applyAlignment="1">
      <alignment horizontal="center" vertical="center"/>
    </xf>
    <xf numFmtId="0" fontId="28" fillId="3" borderId="0" xfId="0" applyFont="1" applyFill="1" applyBorder="1" applyAlignment="1">
      <alignment vertical="center"/>
    </xf>
    <xf numFmtId="0" fontId="28" fillId="3" borderId="41" xfId="0" applyFont="1" applyFill="1" applyBorder="1" applyAlignment="1">
      <alignment vertical="center"/>
    </xf>
    <xf numFmtId="0" fontId="29" fillId="3" borderId="42" xfId="0" applyFont="1" applyFill="1" applyBorder="1" applyAlignment="1">
      <alignment vertical="center"/>
    </xf>
    <xf numFmtId="0" fontId="28" fillId="3" borderId="5" xfId="0" applyFont="1" applyFill="1" applyBorder="1" applyAlignment="1">
      <alignment horizontal="center" vertical="center"/>
    </xf>
    <xf numFmtId="0" fontId="28" fillId="3" borderId="5" xfId="0" applyFont="1" applyFill="1" applyBorder="1" applyAlignment="1">
      <alignment vertical="center"/>
    </xf>
    <xf numFmtId="0" fontId="28" fillId="3" borderId="34" xfId="0" applyFont="1" applyFill="1" applyBorder="1" applyAlignment="1">
      <alignment vertical="center"/>
    </xf>
    <xf numFmtId="0" fontId="85" fillId="0" borderId="0" xfId="0" applyFont="1" applyAlignment="1">
      <alignment vertical="center"/>
    </xf>
    <xf numFmtId="0" fontId="85" fillId="3" borderId="43" xfId="0" applyFont="1" applyFill="1" applyBorder="1" applyAlignment="1">
      <alignment vertical="center"/>
    </xf>
    <xf numFmtId="0" fontId="85" fillId="3" borderId="44" xfId="0" applyFont="1" applyFill="1" applyBorder="1" applyAlignment="1">
      <alignment horizontal="center" vertical="center"/>
    </xf>
    <xf numFmtId="0" fontId="85" fillId="3" borderId="44" xfId="0" applyFont="1" applyFill="1" applyBorder="1" applyAlignment="1">
      <alignment vertical="center"/>
    </xf>
    <xf numFmtId="0" fontId="85" fillId="3" borderId="45" xfId="0" applyFont="1" applyFill="1" applyBorder="1" applyAlignment="1">
      <alignment vertical="center"/>
    </xf>
    <xf numFmtId="0" fontId="96" fillId="0" borderId="0" xfId="0" applyFont="1">
      <alignment vertical="center"/>
    </xf>
    <xf numFmtId="0" fontId="85" fillId="3" borderId="40" xfId="0" applyFont="1" applyFill="1" applyBorder="1" applyAlignment="1">
      <alignment vertical="center"/>
    </xf>
    <xf numFmtId="0" fontId="85" fillId="3" borderId="0" xfId="0" applyFont="1" applyFill="1" applyBorder="1" applyAlignment="1">
      <alignment horizontal="center" vertical="center"/>
    </xf>
    <xf numFmtId="0" fontId="85" fillId="3" borderId="0" xfId="0" applyFont="1" applyFill="1" applyBorder="1" applyAlignment="1">
      <alignment vertical="center"/>
    </xf>
    <xf numFmtId="0" fontId="85" fillId="3" borderId="41" xfId="0" applyFont="1" applyFill="1" applyBorder="1" applyAlignment="1">
      <alignment vertical="center"/>
    </xf>
    <xf numFmtId="0" fontId="93" fillId="0" borderId="0" xfId="2453" applyFont="1">
      <alignment vertical="center"/>
    </xf>
    <xf numFmtId="176" fontId="28" fillId="3" borderId="26" xfId="2452" applyNumberFormat="1" applyFont="1" applyFill="1" applyBorder="1" applyAlignment="1">
      <alignment horizontal="center" vertical="center" wrapText="1"/>
    </xf>
    <xf numFmtId="176" fontId="28" fillId="4" borderId="46" xfId="2452" applyNumberFormat="1" applyFont="1" applyFill="1" applyBorder="1" applyAlignment="1">
      <alignment horizontal="right" vertical="center"/>
    </xf>
    <xf numFmtId="9" fontId="28" fillId="3" borderId="4" xfId="2452" applyNumberFormat="1" applyFont="1" applyFill="1" applyBorder="1" applyAlignment="1">
      <alignment horizontal="center" vertical="center"/>
    </xf>
    <xf numFmtId="9" fontId="28" fillId="3" borderId="12" xfId="2452" applyNumberFormat="1" applyFont="1" applyFill="1" applyBorder="1" applyAlignment="1">
      <alignment horizontal="center" vertical="center"/>
    </xf>
    <xf numFmtId="176" fontId="28" fillId="4" borderId="6" xfId="2452" applyNumberFormat="1" applyFont="1" applyFill="1" applyBorder="1" applyAlignment="1">
      <alignment horizontal="right" vertical="center"/>
    </xf>
    <xf numFmtId="9" fontId="28" fillId="3" borderId="21" xfId="2453" applyNumberFormat="1" applyFont="1" applyFill="1" applyBorder="1" applyAlignment="1">
      <alignment horizontal="center" vertical="center"/>
    </xf>
    <xf numFmtId="41" fontId="28" fillId="0" borderId="0" xfId="219" applyFont="1" applyAlignment="1">
      <alignment vertical="center"/>
    </xf>
    <xf numFmtId="9" fontId="28" fillId="0" borderId="7" xfId="2450" applyNumberFormat="1" applyFont="1" applyBorder="1" applyAlignment="1">
      <alignment horizontal="center" vertical="center"/>
    </xf>
    <xf numFmtId="0" fontId="86" fillId="0" borderId="0" xfId="2450" applyFont="1" applyAlignment="1">
      <alignment horizontal="center" vertical="center"/>
    </xf>
    <xf numFmtId="0" fontId="86" fillId="0" borderId="0" xfId="2450" applyFont="1" applyAlignment="1">
      <alignment vertical="center"/>
    </xf>
    <xf numFmtId="176" fontId="28" fillId="0" borderId="0" xfId="2453" applyNumberFormat="1" applyFont="1" applyAlignment="1">
      <alignment vertical="center"/>
    </xf>
    <xf numFmtId="176" fontId="28" fillId="3" borderId="26" xfId="0" applyNumberFormat="1" applyFont="1" applyFill="1" applyBorder="1" applyAlignment="1">
      <alignment horizontal="center" vertical="center"/>
    </xf>
    <xf numFmtId="176" fontId="28" fillId="4" borderId="19" xfId="0" applyNumberFormat="1" applyFont="1" applyFill="1" applyBorder="1" applyAlignment="1">
      <alignment horizontal="right" vertical="center"/>
    </xf>
    <xf numFmtId="176" fontId="28" fillId="4" borderId="15" xfId="0" applyNumberFormat="1" applyFont="1" applyFill="1" applyBorder="1" applyAlignment="1">
      <alignment horizontal="right" vertical="center"/>
    </xf>
    <xf numFmtId="176" fontId="28" fillId="4" borderId="20" xfId="0" applyNumberFormat="1" applyFont="1" applyFill="1" applyBorder="1" applyAlignment="1">
      <alignment horizontal="right" vertical="center"/>
    </xf>
    <xf numFmtId="176" fontId="28" fillId="4" borderId="46" xfId="0" applyNumberFormat="1" applyFont="1" applyFill="1" applyBorder="1" applyAlignment="1">
      <alignment horizontal="right" vertical="center"/>
    </xf>
    <xf numFmtId="9" fontId="26" fillId="3" borderId="21" xfId="0" applyNumberFormat="1" applyFont="1" applyFill="1" applyBorder="1" applyAlignment="1">
      <alignment horizontal="center" vertical="center"/>
    </xf>
    <xf numFmtId="177" fontId="28" fillId="0" borderId="21" xfId="0" applyNumberFormat="1" applyFont="1" applyBorder="1" applyAlignment="1">
      <alignment horizontal="center" vertical="center"/>
    </xf>
    <xf numFmtId="177" fontId="28" fillId="0" borderId="12" xfId="0" applyNumberFormat="1" applyFont="1" applyBorder="1" applyAlignment="1">
      <alignment horizontal="center" vertical="center"/>
    </xf>
    <xf numFmtId="177" fontId="28" fillId="0" borderId="6" xfId="0" applyNumberFormat="1" applyFont="1" applyBorder="1" applyAlignment="1">
      <alignment horizontal="center" vertical="center"/>
    </xf>
    <xf numFmtId="176" fontId="28" fillId="4" borderId="21" xfId="0" applyNumberFormat="1" applyFont="1" applyFill="1" applyBorder="1" applyAlignment="1">
      <alignment horizontal="right" vertical="center"/>
    </xf>
    <xf numFmtId="176" fontId="28" fillId="4" borderId="4" xfId="0" applyNumberFormat="1" applyFont="1" applyFill="1" applyBorder="1" applyAlignment="1">
      <alignment horizontal="right" vertical="center"/>
    </xf>
    <xf numFmtId="176" fontId="28" fillId="4" borderId="12" xfId="0" applyNumberFormat="1" applyFont="1" applyFill="1" applyBorder="1" applyAlignment="1">
      <alignment horizontal="right" vertical="center"/>
    </xf>
    <xf numFmtId="177" fontId="28" fillId="0" borderId="21" xfId="0" applyNumberFormat="1" applyFont="1" applyFill="1" applyBorder="1" applyAlignment="1">
      <alignment horizontal="center" vertical="center"/>
    </xf>
    <xf numFmtId="177" fontId="28" fillId="0" borderId="12" xfId="0" applyNumberFormat="1" applyFont="1" applyFill="1" applyBorder="1" applyAlignment="1">
      <alignment horizontal="center" vertical="center"/>
    </xf>
    <xf numFmtId="9" fontId="26" fillId="3" borderId="17" xfId="0" applyNumberFormat="1" applyFont="1" applyFill="1" applyBorder="1" applyAlignment="1">
      <alignment horizontal="center" vertical="center"/>
    </xf>
    <xf numFmtId="0" fontId="30" fillId="0" borderId="0" xfId="0" applyFont="1" applyAlignment="1">
      <alignment vertical="center"/>
    </xf>
    <xf numFmtId="0" fontId="28" fillId="3" borderId="53" xfId="0" applyFont="1" applyFill="1" applyBorder="1" applyAlignment="1">
      <alignment horizontal="center" vertical="center"/>
    </xf>
    <xf numFmtId="0" fontId="26" fillId="0" borderId="15" xfId="0" applyFont="1" applyFill="1" applyBorder="1" applyAlignment="1">
      <alignment horizontal="center" vertical="center"/>
    </xf>
    <xf numFmtId="0" fontId="84" fillId="0" borderId="0" xfId="0" applyFont="1" applyAlignment="1">
      <alignment vertical="center"/>
    </xf>
    <xf numFmtId="0" fontId="20" fillId="0" borderId="0" xfId="0" applyFont="1" applyAlignment="1">
      <alignment vertical="center"/>
    </xf>
    <xf numFmtId="0" fontId="27" fillId="0" borderId="0" xfId="0" applyFont="1" applyBorder="1" applyAlignment="1">
      <alignment vertical="center"/>
    </xf>
    <xf numFmtId="0" fontId="29" fillId="0" borderId="0" xfId="0" applyFont="1" applyBorder="1" applyAlignment="1">
      <alignment vertical="center"/>
    </xf>
    <xf numFmtId="0" fontId="19" fillId="0" borderId="0" xfId="0" applyFont="1" applyFill="1" applyAlignment="1">
      <alignment vertical="center"/>
    </xf>
    <xf numFmtId="0" fontId="87" fillId="0" borderId="0" xfId="2450" applyFont="1" applyAlignment="1">
      <alignment vertical="center"/>
    </xf>
    <xf numFmtId="0" fontId="32" fillId="0" borderId="0" xfId="2450" applyFont="1" applyFill="1" applyAlignment="1">
      <alignment horizontal="left" vertical="center"/>
    </xf>
    <xf numFmtId="0" fontId="28" fillId="0" borderId="0" xfId="2450" applyFont="1" applyFill="1" applyAlignment="1">
      <alignment horizontal="center" vertical="center"/>
    </xf>
    <xf numFmtId="0" fontId="28" fillId="0" borderId="0" xfId="2450" applyFont="1" applyFill="1" applyAlignment="1">
      <alignment vertical="center"/>
    </xf>
    <xf numFmtId="0" fontId="28" fillId="0" borderId="27" xfId="2450" applyFont="1" applyBorder="1" applyAlignment="1">
      <alignment horizontal="center" vertical="center"/>
    </xf>
    <xf numFmtId="0" fontId="28" fillId="0" borderId="18" xfId="2450" applyFont="1" applyBorder="1" applyAlignment="1">
      <alignment horizontal="center" vertical="center"/>
    </xf>
    <xf numFmtId="0" fontId="90" fillId="0" borderId="0" xfId="2450" applyFont="1">
      <alignment vertical="center"/>
    </xf>
    <xf numFmtId="0" fontId="97" fillId="0" borderId="0" xfId="2450">
      <alignment vertical="center"/>
    </xf>
    <xf numFmtId="176" fontId="87" fillId="0" borderId="0" xfId="2452" applyNumberFormat="1" applyFont="1">
      <alignment vertical="center"/>
    </xf>
    <xf numFmtId="176" fontId="19" fillId="0" borderId="0" xfId="2452" applyNumberFormat="1" applyFont="1">
      <alignment vertical="center"/>
    </xf>
    <xf numFmtId="176" fontId="19" fillId="0" borderId="0" xfId="2452" applyNumberFormat="1" applyFont="1" applyAlignment="1">
      <alignment horizontal="center" vertical="center"/>
    </xf>
    <xf numFmtId="176" fontId="19" fillId="0" borderId="0" xfId="2452" applyNumberFormat="1" applyFont="1" applyFill="1">
      <alignment vertical="center"/>
    </xf>
    <xf numFmtId="176" fontId="28" fillId="4" borderId="32" xfId="2452" applyNumberFormat="1" applyFont="1" applyFill="1" applyBorder="1" applyAlignment="1">
      <alignment horizontal="right" vertical="center"/>
    </xf>
    <xf numFmtId="176" fontId="28" fillId="4" borderId="56" xfId="2452" applyNumberFormat="1" applyFont="1" applyFill="1" applyBorder="1" applyAlignment="1">
      <alignment horizontal="right" vertical="center"/>
    </xf>
    <xf numFmtId="176" fontId="28" fillId="4" borderId="16" xfId="2452" applyNumberFormat="1" applyFont="1" applyFill="1" applyBorder="1" applyAlignment="1">
      <alignment horizontal="right" vertical="center"/>
    </xf>
    <xf numFmtId="176" fontId="28" fillId="4" borderId="25" xfId="2452" applyNumberFormat="1" applyFont="1" applyFill="1" applyBorder="1" applyAlignment="1">
      <alignment horizontal="right" vertical="center"/>
    </xf>
    <xf numFmtId="176" fontId="28" fillId="4" borderId="29" xfId="2452" applyNumberFormat="1" applyFont="1" applyFill="1" applyBorder="1" applyAlignment="1">
      <alignment horizontal="righ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84" fillId="0" borderId="0" xfId="0" applyFont="1" applyFill="1" applyAlignment="1">
      <alignment vertical="center"/>
    </xf>
    <xf numFmtId="176" fontId="29" fillId="0" borderId="0" xfId="2452" applyNumberFormat="1" applyFont="1" applyAlignment="1">
      <alignment horizontal="left" vertical="center" wrapText="1"/>
    </xf>
    <xf numFmtId="176" fontId="19" fillId="0" borderId="0" xfId="2452" applyNumberFormat="1" applyFont="1" applyAlignment="1">
      <alignment vertical="center"/>
    </xf>
    <xf numFmtId="177" fontId="28" fillId="0" borderId="17" xfId="0" applyNumberFormat="1" applyFont="1" applyBorder="1" applyAlignment="1">
      <alignment horizontal="center" vertical="center"/>
    </xf>
    <xf numFmtId="177" fontId="28" fillId="0" borderId="26" xfId="0" applyNumberFormat="1" applyFont="1" applyBorder="1" applyAlignment="1">
      <alignment horizontal="center" vertical="center"/>
    </xf>
    <xf numFmtId="9" fontId="28" fillId="0" borderId="6" xfId="0" applyNumberFormat="1" applyFont="1" applyBorder="1" applyAlignment="1">
      <alignment horizontal="center" vertical="center"/>
    </xf>
    <xf numFmtId="9" fontId="28" fillId="0" borderId="12" xfId="0" applyNumberFormat="1" applyFont="1" applyBorder="1" applyAlignment="1">
      <alignment horizontal="center" vertical="center"/>
    </xf>
    <xf numFmtId="9" fontId="28" fillId="0" borderId="22" xfId="0" quotePrefix="1" applyNumberFormat="1" applyFont="1" applyBorder="1" applyAlignment="1">
      <alignment horizontal="center" vertical="center"/>
    </xf>
    <xf numFmtId="9" fontId="28" fillId="0" borderId="26" xfId="0" quotePrefix="1" applyNumberFormat="1" applyFont="1" applyBorder="1" applyAlignment="1">
      <alignment horizontal="center" vertical="center"/>
    </xf>
    <xf numFmtId="176" fontId="28" fillId="4" borderId="8" xfId="0" applyNumberFormat="1" applyFont="1" applyFill="1" applyBorder="1" applyAlignment="1">
      <alignment horizontal="right" vertical="center"/>
    </xf>
    <xf numFmtId="9" fontId="26" fillId="3" borderId="22" xfId="0" applyNumberFormat="1" applyFont="1" applyFill="1" applyBorder="1" applyAlignment="1">
      <alignment horizontal="center" vertical="center"/>
    </xf>
    <xf numFmtId="177" fontId="28" fillId="0" borderId="9" xfId="0" applyNumberFormat="1" applyFont="1" applyBorder="1" applyAlignment="1">
      <alignment horizontal="center" vertical="center"/>
    </xf>
    <xf numFmtId="176" fontId="28" fillId="4" borderId="6" xfId="0" applyNumberFormat="1" applyFont="1" applyFill="1" applyBorder="1" applyAlignment="1">
      <alignment horizontal="right" vertical="center"/>
    </xf>
    <xf numFmtId="176" fontId="28" fillId="4" borderId="9" xfId="0" applyNumberFormat="1" applyFont="1" applyFill="1" applyBorder="1" applyAlignment="1">
      <alignment horizontal="right" vertical="center"/>
    </xf>
    <xf numFmtId="177" fontId="28" fillId="0" borderId="24" xfId="0" applyNumberFormat="1" applyFont="1" applyBorder="1" applyAlignment="1">
      <alignment horizontal="center" vertical="center"/>
    </xf>
    <xf numFmtId="177" fontId="28" fillId="0" borderId="17" xfId="2452" applyNumberFormat="1" applyFont="1" applyFill="1" applyBorder="1" applyAlignment="1">
      <alignment horizontal="center" vertical="center"/>
    </xf>
    <xf numFmtId="177" fontId="28" fillId="0" borderId="7" xfId="2452" applyNumberFormat="1" applyFont="1" applyFill="1" applyBorder="1" applyAlignment="1">
      <alignment horizontal="center" vertical="center"/>
    </xf>
    <xf numFmtId="177" fontId="28" fillId="0" borderId="18" xfId="2452" applyNumberFormat="1" applyFont="1" applyFill="1" applyBorder="1" applyAlignment="1">
      <alignment horizontal="center" vertical="center"/>
    </xf>
    <xf numFmtId="0" fontId="26" fillId="0" borderId="0" xfId="0" applyFont="1" applyAlignment="1">
      <alignment vertical="center"/>
    </xf>
    <xf numFmtId="0" fontId="26" fillId="0" borderId="0" xfId="2451" applyFont="1">
      <alignment vertical="center"/>
    </xf>
    <xf numFmtId="0" fontId="26" fillId="0" borderId="0" xfId="2451" applyFont="1" applyAlignment="1">
      <alignment horizontal="left" vertical="center"/>
    </xf>
    <xf numFmtId="177" fontId="26" fillId="3" borderId="23" xfId="0" applyNumberFormat="1" applyFont="1" applyFill="1" applyBorder="1" applyAlignment="1">
      <alignment horizontal="center" vertical="center"/>
    </xf>
    <xf numFmtId="176" fontId="28" fillId="3" borderId="14" xfId="2452" applyNumberFormat="1" applyFont="1" applyFill="1" applyBorder="1" applyAlignment="1">
      <alignment horizontal="center" vertical="center"/>
    </xf>
    <xf numFmtId="176" fontId="28" fillId="3" borderId="58" xfId="2452" applyNumberFormat="1" applyFont="1" applyFill="1" applyBorder="1" applyAlignment="1">
      <alignment horizontal="center" vertical="center" wrapText="1"/>
    </xf>
    <xf numFmtId="9" fontId="28" fillId="3" borderId="21" xfId="2452" applyNumberFormat="1" applyFont="1" applyFill="1" applyBorder="1" applyAlignment="1">
      <alignment horizontal="center" vertical="center"/>
    </xf>
    <xf numFmtId="9" fontId="28" fillId="3" borderId="4" xfId="2453" applyNumberFormat="1" applyFont="1" applyFill="1" applyBorder="1" applyAlignment="1">
      <alignment horizontal="center" vertical="center"/>
    </xf>
    <xf numFmtId="9" fontId="28" fillId="3" borderId="12" xfId="2453" applyNumberFormat="1" applyFont="1" applyFill="1" applyBorder="1" applyAlignment="1">
      <alignment horizontal="center" vertical="center"/>
    </xf>
    <xf numFmtId="177" fontId="28" fillId="0" borderId="21" xfId="2452" applyNumberFormat="1" applyFont="1" applyFill="1" applyBorder="1" applyAlignment="1">
      <alignment horizontal="center" vertical="center"/>
    </xf>
    <xf numFmtId="177" fontId="28" fillId="0" borderId="9" xfId="2452" applyNumberFormat="1" applyFont="1" applyFill="1" applyBorder="1" applyAlignment="1">
      <alignment horizontal="center" vertical="center"/>
    </xf>
    <xf numFmtId="177" fontId="28" fillId="0" borderId="12" xfId="2452" applyNumberFormat="1" applyFont="1" applyFill="1" applyBorder="1" applyAlignment="1">
      <alignment horizontal="center" vertical="center"/>
    </xf>
    <xf numFmtId="177" fontId="28" fillId="0" borderId="4" xfId="2452" applyNumberFormat="1" applyFont="1" applyFill="1" applyBorder="1" applyAlignment="1">
      <alignment horizontal="center" vertical="center"/>
    </xf>
    <xf numFmtId="177" fontId="28" fillId="0" borderId="6" xfId="2452" applyNumberFormat="1" applyFont="1" applyFill="1" applyBorder="1" applyAlignment="1">
      <alignment horizontal="center" vertical="center"/>
    </xf>
    <xf numFmtId="176" fontId="28" fillId="3" borderId="24" xfId="2452" applyNumberFormat="1" applyFont="1" applyFill="1" applyBorder="1" applyAlignment="1">
      <alignment horizontal="center" vertical="center" wrapText="1"/>
    </xf>
    <xf numFmtId="9" fontId="28" fillId="0" borderId="4" xfId="0" applyNumberFormat="1" applyFont="1" applyBorder="1" applyAlignment="1">
      <alignment horizontal="center" vertical="center"/>
    </xf>
    <xf numFmtId="177" fontId="28" fillId="0" borderId="24" xfId="2452" applyNumberFormat="1" applyFont="1" applyFill="1" applyBorder="1" applyAlignment="1">
      <alignment horizontal="center" vertical="center"/>
    </xf>
    <xf numFmtId="177" fontId="28" fillId="0" borderId="26" xfId="2452" applyNumberFormat="1" applyFont="1" applyFill="1" applyBorder="1" applyAlignment="1">
      <alignment horizontal="center" vertical="center"/>
    </xf>
    <xf numFmtId="176" fontId="28" fillId="4" borderId="51" xfId="0" applyNumberFormat="1" applyFont="1" applyFill="1" applyBorder="1" applyAlignment="1">
      <alignment horizontal="right" vertical="center"/>
    </xf>
    <xf numFmtId="176" fontId="28" fillId="4" borderId="3" xfId="0" applyNumberFormat="1" applyFont="1" applyFill="1" applyBorder="1" applyAlignment="1">
      <alignment horizontal="right" vertical="center"/>
    </xf>
    <xf numFmtId="177" fontId="28" fillId="0" borderId="3" xfId="0" applyNumberFormat="1" applyFont="1" applyBorder="1" applyAlignment="1">
      <alignment horizontal="center" vertical="center"/>
    </xf>
    <xf numFmtId="177" fontId="28" fillId="0" borderId="58" xfId="0" applyNumberFormat="1" applyFont="1" applyBorder="1" applyAlignment="1">
      <alignment horizontal="center" vertical="center"/>
    </xf>
    <xf numFmtId="176" fontId="28" fillId="3" borderId="61" xfId="0" applyNumberFormat="1" applyFont="1" applyFill="1" applyBorder="1" applyAlignment="1">
      <alignment horizontal="center" vertical="center" wrapText="1"/>
    </xf>
    <xf numFmtId="9" fontId="28" fillId="3" borderId="12" xfId="0" applyNumberFormat="1" applyFont="1" applyFill="1" applyBorder="1" applyAlignment="1">
      <alignment horizontal="center" vertical="center"/>
    </xf>
    <xf numFmtId="0" fontId="28" fillId="3" borderId="9" xfId="2450" quotePrefix="1" applyFont="1" applyFill="1" applyBorder="1" applyAlignment="1">
      <alignment horizontal="center" vertical="center"/>
    </xf>
    <xf numFmtId="9" fontId="28" fillId="3" borderId="18" xfId="2452" applyNumberFormat="1" applyFont="1" applyFill="1" applyBorder="1" applyAlignment="1">
      <alignment horizontal="center" vertical="center"/>
    </xf>
    <xf numFmtId="0" fontId="28" fillId="5" borderId="67" xfId="2450" applyFont="1" applyFill="1" applyBorder="1" applyAlignment="1">
      <alignment horizontal="center" vertical="center"/>
    </xf>
    <xf numFmtId="0" fontId="28" fillId="5" borderId="95" xfId="2450" applyFont="1" applyFill="1" applyBorder="1" applyAlignment="1">
      <alignment horizontal="center" vertical="center"/>
    </xf>
    <xf numFmtId="0" fontId="26" fillId="5" borderId="4" xfId="2450" applyFont="1" applyFill="1" applyBorder="1" applyAlignment="1">
      <alignment horizontal="center" vertical="center"/>
    </xf>
    <xf numFmtId="9" fontId="26" fillId="5" borderId="4" xfId="2450" applyNumberFormat="1" applyFont="1" applyFill="1" applyBorder="1" applyAlignment="1">
      <alignment horizontal="center" vertical="center"/>
    </xf>
    <xf numFmtId="0" fontId="26" fillId="5" borderId="12" xfId="2450" applyFont="1" applyFill="1" applyBorder="1" applyAlignment="1">
      <alignment horizontal="center" vertical="center"/>
    </xf>
    <xf numFmtId="0" fontId="26" fillId="0" borderId="4" xfId="2450" applyFont="1" applyBorder="1" applyAlignment="1">
      <alignment horizontal="center" vertical="center"/>
    </xf>
    <xf numFmtId="0" fontId="26" fillId="0" borderId="12" xfId="2450" applyFont="1" applyBorder="1" applyAlignment="1">
      <alignment horizontal="center" vertical="center"/>
    </xf>
    <xf numFmtId="0" fontId="26" fillId="0" borderId="14" xfId="2450" applyFont="1" applyBorder="1" applyAlignment="1">
      <alignment horizontal="center" vertical="center"/>
    </xf>
    <xf numFmtId="0" fontId="26" fillId="5" borderId="9" xfId="2450" applyFont="1" applyFill="1" applyBorder="1" applyAlignment="1">
      <alignment horizontal="center" vertical="center"/>
    </xf>
    <xf numFmtId="9" fontId="28" fillId="0" borderId="18" xfId="2450" applyNumberFormat="1" applyFont="1" applyBorder="1" applyAlignment="1">
      <alignment horizontal="center" vertical="center"/>
    </xf>
    <xf numFmtId="0" fontId="19" fillId="0" borderId="0" xfId="2452" applyNumberFormat="1" applyFont="1" applyAlignment="1">
      <alignment horizontal="center" vertical="center"/>
    </xf>
    <xf numFmtId="176" fontId="28" fillId="3" borderId="17" xfId="2457" applyNumberFormat="1" applyFont="1" applyFill="1" applyBorder="1" applyAlignment="1">
      <alignment horizontal="center" vertical="center"/>
    </xf>
    <xf numFmtId="176" fontId="28" fillId="3" borderId="18" xfId="2457" applyNumberFormat="1" applyFont="1" applyFill="1" applyBorder="1" applyAlignment="1">
      <alignment horizontal="center" vertical="center"/>
    </xf>
    <xf numFmtId="0" fontId="26" fillId="3" borderId="21" xfId="2452" applyNumberFormat="1" applyFont="1" applyFill="1" applyBorder="1" applyAlignment="1">
      <alignment horizontal="center" vertical="center"/>
    </xf>
    <xf numFmtId="0" fontId="29" fillId="0" borderId="0" xfId="2452" applyNumberFormat="1" applyFont="1" applyBorder="1" applyAlignment="1">
      <alignment horizontal="left" vertical="center"/>
    </xf>
    <xf numFmtId="0" fontId="28" fillId="0" borderId="0" xfId="2452" applyNumberFormat="1" applyFont="1" applyBorder="1" applyAlignment="1">
      <alignment horizontal="left" vertical="center"/>
    </xf>
    <xf numFmtId="0" fontId="28" fillId="0" borderId="0" xfId="2452" applyNumberFormat="1" applyFont="1" applyAlignment="1">
      <alignment horizontal="center" vertical="center"/>
    </xf>
    <xf numFmtId="0" fontId="29" fillId="0" borderId="0" xfId="2452" applyNumberFormat="1" applyFont="1" applyAlignment="1">
      <alignment horizontal="left" vertical="center" wrapText="1"/>
    </xf>
    <xf numFmtId="0" fontId="28" fillId="0" borderId="0" xfId="2452" applyNumberFormat="1" applyFont="1" applyAlignment="1">
      <alignment vertical="center"/>
    </xf>
    <xf numFmtId="0" fontId="19" fillId="0" borderId="0" xfId="2452" applyNumberFormat="1" applyFont="1" applyAlignment="1">
      <alignment vertical="center"/>
    </xf>
    <xf numFmtId="0" fontId="28" fillId="3" borderId="40" xfId="0" applyFont="1" applyFill="1" applyBorder="1" applyAlignment="1">
      <alignment vertical="center"/>
    </xf>
    <xf numFmtId="0" fontId="28" fillId="0" borderId="0" xfId="0" applyFont="1" applyBorder="1" applyAlignment="1">
      <alignment horizontal="center" vertical="center"/>
    </xf>
    <xf numFmtId="177" fontId="26" fillId="3" borderId="22" xfId="0" applyNumberFormat="1" applyFont="1" applyFill="1" applyBorder="1" applyAlignment="1">
      <alignment horizontal="center" vertical="center"/>
    </xf>
    <xf numFmtId="0" fontId="101" fillId="0" borderId="0" xfId="0" applyFont="1">
      <alignment vertical="center"/>
    </xf>
    <xf numFmtId="0" fontId="28" fillId="3" borderId="17" xfId="2452" applyNumberFormat="1" applyFont="1" applyFill="1" applyBorder="1" applyAlignment="1">
      <alignment horizontal="center" vertical="center" wrapText="1"/>
    </xf>
    <xf numFmtId="0" fontId="26" fillId="0" borderId="0" xfId="0" applyFont="1">
      <alignment vertical="center"/>
    </xf>
    <xf numFmtId="177" fontId="28" fillId="0" borderId="48" xfId="2452" applyNumberFormat="1" applyFont="1" applyFill="1" applyBorder="1" applyAlignment="1">
      <alignment horizontal="center" vertical="center"/>
    </xf>
    <xf numFmtId="177" fontId="28" fillId="0" borderId="14" xfId="2452" applyNumberFormat="1" applyFont="1" applyFill="1" applyBorder="1" applyAlignment="1">
      <alignment horizontal="center" vertical="center"/>
    </xf>
    <xf numFmtId="177" fontId="28" fillId="0" borderId="10" xfId="2452" applyNumberFormat="1" applyFont="1" applyFill="1" applyBorder="1" applyAlignment="1">
      <alignment horizontal="center" vertical="center"/>
    </xf>
    <xf numFmtId="177" fontId="28" fillId="0" borderId="62" xfId="2452" applyNumberFormat="1" applyFont="1" applyFill="1" applyBorder="1" applyAlignment="1">
      <alignment horizontal="center" vertical="center"/>
    </xf>
    <xf numFmtId="177" fontId="28" fillId="0" borderId="27" xfId="2452" applyNumberFormat="1" applyFont="1" applyFill="1" applyBorder="1" applyAlignment="1">
      <alignment horizontal="center" vertical="center"/>
    </xf>
    <xf numFmtId="0" fontId="28" fillId="3" borderId="97" xfId="0" applyFont="1" applyFill="1" applyBorder="1" applyAlignment="1">
      <alignment horizontal="center" vertical="center"/>
    </xf>
    <xf numFmtId="9" fontId="28" fillId="0" borderId="99" xfId="0" quotePrefix="1" applyNumberFormat="1" applyFont="1" applyBorder="1" applyAlignment="1">
      <alignment horizontal="center" vertical="center"/>
    </xf>
    <xf numFmtId="177" fontId="26" fillId="3" borderId="12" xfId="2452" applyNumberFormat="1" applyFont="1" applyFill="1" applyBorder="1" applyAlignment="1">
      <alignment horizontal="center" vertical="center"/>
    </xf>
    <xf numFmtId="0" fontId="107" fillId="0" borderId="0" xfId="0" applyFont="1">
      <alignment vertical="center"/>
    </xf>
    <xf numFmtId="9" fontId="28" fillId="3" borderId="24" xfId="0" applyNumberFormat="1" applyFont="1" applyFill="1" applyBorder="1" applyAlignment="1">
      <alignment horizontal="center" vertical="center"/>
    </xf>
    <xf numFmtId="177" fontId="28" fillId="2" borderId="7" xfId="2459" applyNumberFormat="1" applyFont="1" applyFill="1" applyBorder="1" applyAlignment="1">
      <alignment horizontal="center" vertical="center"/>
    </xf>
    <xf numFmtId="177" fontId="28" fillId="2" borderId="18" xfId="2459" applyNumberFormat="1" applyFont="1" applyFill="1" applyBorder="1" applyAlignment="1">
      <alignment horizontal="center" vertical="center"/>
    </xf>
    <xf numFmtId="9" fontId="28" fillId="3" borderId="8" xfId="0" applyNumberFormat="1" applyFont="1" applyFill="1" applyBorder="1" applyAlignment="1">
      <alignment horizontal="center" vertical="center"/>
    </xf>
    <xf numFmtId="177" fontId="28" fillId="0" borderId="0" xfId="2459" applyNumberFormat="1" applyFont="1" applyFill="1" applyBorder="1" applyAlignment="1">
      <alignment horizontal="center" vertical="center"/>
    </xf>
    <xf numFmtId="176" fontId="28" fillId="3" borderId="17" xfId="2452" applyNumberFormat="1" applyFont="1" applyFill="1" applyBorder="1" applyAlignment="1">
      <alignment horizontal="center" vertical="center" wrapText="1"/>
    </xf>
    <xf numFmtId="9" fontId="28" fillId="3" borderId="16" xfId="2452" applyNumberFormat="1" applyFont="1" applyFill="1" applyBorder="1" applyAlignment="1">
      <alignment horizontal="center" vertical="center"/>
    </xf>
    <xf numFmtId="0" fontId="28" fillId="3" borderId="20" xfId="0" applyFont="1" applyFill="1" applyBorder="1" applyAlignment="1">
      <alignment horizontal="center" vertical="center"/>
    </xf>
    <xf numFmtId="0" fontId="19" fillId="0" borderId="0" xfId="2450" applyFont="1" applyAlignment="1">
      <alignment horizontal="center" vertical="center"/>
    </xf>
    <xf numFmtId="0" fontId="28" fillId="3" borderId="22" xfId="0" applyFont="1" applyFill="1" applyBorder="1" applyAlignment="1">
      <alignment horizontal="center" vertical="center"/>
    </xf>
    <xf numFmtId="0" fontId="26" fillId="0" borderId="12" xfId="0" applyFont="1" applyFill="1" applyBorder="1" applyAlignment="1">
      <alignment horizontal="center" vertical="center"/>
    </xf>
    <xf numFmtId="0" fontId="105" fillId="0" borderId="0" xfId="2453" applyFont="1">
      <alignment vertical="center"/>
    </xf>
    <xf numFmtId="9" fontId="26" fillId="0" borderId="7" xfId="2453" applyNumberFormat="1" applyFont="1" applyBorder="1" applyAlignment="1">
      <alignment horizontal="center" vertical="center"/>
    </xf>
    <xf numFmtId="0" fontId="101" fillId="0" borderId="0" xfId="0" applyFont="1" applyAlignment="1">
      <alignment vertical="center"/>
    </xf>
    <xf numFmtId="0" fontId="28" fillId="5" borderId="15" xfId="0" applyFont="1" applyFill="1" applyBorder="1" applyAlignment="1">
      <alignment horizontal="center" vertical="center"/>
    </xf>
    <xf numFmtId="0" fontId="28" fillId="2" borderId="0" xfId="2451" applyFont="1" applyFill="1" applyAlignment="1">
      <alignment horizontal="center" vertical="center"/>
    </xf>
    <xf numFmtId="0" fontId="32" fillId="2" borderId="0" xfId="2451" applyFont="1" applyFill="1" applyAlignment="1">
      <alignment horizontal="left" vertical="center"/>
    </xf>
    <xf numFmtId="0" fontId="27" fillId="2" borderId="0" xfId="2451" applyFont="1" applyFill="1" applyAlignment="1">
      <alignment horizontal="center" vertical="center"/>
    </xf>
    <xf numFmtId="177" fontId="27" fillId="0" borderId="0" xfId="2459" applyNumberFormat="1" applyFont="1" applyFill="1" applyBorder="1" applyAlignment="1">
      <alignment horizontal="center" vertical="center"/>
    </xf>
    <xf numFmtId="0" fontId="36" fillId="0" borderId="0" xfId="2451" applyFont="1">
      <alignment vertical="center"/>
    </xf>
    <xf numFmtId="9" fontId="28" fillId="3" borderId="20" xfId="0" applyNumberFormat="1" applyFont="1" applyFill="1" applyBorder="1" applyAlignment="1">
      <alignment horizontal="center" vertical="center"/>
    </xf>
    <xf numFmtId="177" fontId="28" fillId="2" borderId="17" xfId="2459" applyNumberFormat="1" applyFont="1" applyFill="1" applyBorder="1" applyAlignment="1">
      <alignment horizontal="center" vertical="center"/>
    </xf>
    <xf numFmtId="9" fontId="28" fillId="3" borderId="16" xfId="2459" applyFont="1" applyFill="1" applyBorder="1" applyAlignment="1">
      <alignment horizontal="center" vertical="center"/>
    </xf>
    <xf numFmtId="176" fontId="28" fillId="4" borderId="30" xfId="0" applyNumberFormat="1" applyFont="1" applyFill="1" applyBorder="1" applyAlignment="1">
      <alignment horizontal="right" vertical="center"/>
    </xf>
    <xf numFmtId="176" fontId="28" fillId="4" borderId="31" xfId="0" applyNumberFormat="1" applyFont="1" applyFill="1" applyBorder="1" applyAlignment="1">
      <alignment horizontal="right" vertical="center"/>
    </xf>
    <xf numFmtId="176" fontId="28" fillId="4" borderId="65" xfId="0" applyNumberFormat="1" applyFont="1" applyFill="1" applyBorder="1" applyAlignment="1">
      <alignment horizontal="right" vertical="center"/>
    </xf>
    <xf numFmtId="176" fontId="28" fillId="4" borderId="32" xfId="0" applyNumberFormat="1" applyFont="1" applyFill="1" applyBorder="1" applyAlignment="1">
      <alignment horizontal="right" vertical="center"/>
    </xf>
    <xf numFmtId="176" fontId="28" fillId="4" borderId="25" xfId="0" applyNumberFormat="1" applyFont="1" applyFill="1" applyBorder="1" applyAlignment="1">
      <alignment horizontal="right" vertical="center"/>
    </xf>
    <xf numFmtId="176" fontId="28" fillId="4" borderId="16" xfId="0" applyNumberFormat="1" applyFont="1" applyFill="1" applyBorder="1" applyAlignment="1">
      <alignment horizontal="right" vertical="center"/>
    </xf>
    <xf numFmtId="176" fontId="28" fillId="7" borderId="21" xfId="0" applyNumberFormat="1" applyFont="1" applyFill="1" applyBorder="1" applyAlignment="1">
      <alignment horizontal="right" vertical="center"/>
    </xf>
    <xf numFmtId="176" fontId="28" fillId="7" borderId="4" xfId="0" applyNumberFormat="1" applyFont="1" applyFill="1" applyBorder="1" applyAlignment="1">
      <alignment horizontal="right" vertical="center"/>
    </xf>
    <xf numFmtId="176" fontId="28" fillId="7" borderId="12" xfId="0" applyNumberFormat="1" applyFont="1" applyFill="1" applyBorder="1" applyAlignment="1">
      <alignment horizontal="right" vertical="center"/>
    </xf>
    <xf numFmtId="177" fontId="26" fillId="5" borderId="18" xfId="2452" applyNumberFormat="1" applyFont="1" applyFill="1" applyBorder="1" applyAlignment="1">
      <alignment horizontal="center" vertical="center"/>
    </xf>
    <xf numFmtId="9" fontId="28" fillId="0" borderId="24" xfId="2450" applyNumberFormat="1" applyFont="1" applyFill="1" applyBorder="1" applyAlignment="1">
      <alignment horizontal="center" vertical="center"/>
    </xf>
    <xf numFmtId="9" fontId="28" fillId="0" borderId="18" xfId="2450" applyNumberFormat="1" applyFont="1" applyFill="1" applyBorder="1" applyAlignment="1">
      <alignment horizontal="center" vertical="center"/>
    </xf>
    <xf numFmtId="0" fontId="110" fillId="0" borderId="0" xfId="2450" applyFont="1" applyAlignment="1">
      <alignment horizontal="left" vertical="center"/>
    </xf>
    <xf numFmtId="0" fontId="111" fillId="0" borderId="0" xfId="2450" applyFont="1" applyAlignment="1">
      <alignment horizontal="center" vertical="center"/>
    </xf>
    <xf numFmtId="0" fontId="111" fillId="0" borderId="0" xfId="2450" applyFont="1" applyAlignment="1">
      <alignment vertical="center"/>
    </xf>
    <xf numFmtId="9" fontId="28" fillId="0" borderId="6" xfId="2450" applyNumberFormat="1" applyFont="1" applyBorder="1" applyAlignment="1">
      <alignment horizontal="center" vertical="center"/>
    </xf>
    <xf numFmtId="9" fontId="28" fillId="0" borderId="9" xfId="2450" applyNumberFormat="1" applyFont="1" applyBorder="1" applyAlignment="1">
      <alignment horizontal="center" vertical="center"/>
    </xf>
    <xf numFmtId="10" fontId="100" fillId="3" borderId="18" xfId="2452" applyNumberFormat="1" applyFont="1" applyFill="1" applyBorder="1" applyAlignment="1">
      <alignment horizontal="center" vertical="center"/>
    </xf>
    <xf numFmtId="177" fontId="26" fillId="3" borderId="4" xfId="2452" applyNumberFormat="1" applyFont="1" applyFill="1" applyBorder="1" applyAlignment="1">
      <alignment horizontal="center" vertical="center"/>
    </xf>
    <xf numFmtId="177" fontId="100" fillId="3" borderId="7" xfId="2452" applyNumberFormat="1" applyFont="1" applyFill="1" applyBorder="1" applyAlignment="1">
      <alignment horizontal="center" vertical="center"/>
    </xf>
    <xf numFmtId="177" fontId="26" fillId="3" borderId="7" xfId="2452" applyNumberFormat="1" applyFont="1" applyFill="1" applyBorder="1" applyAlignment="1">
      <alignment horizontal="center" vertical="center"/>
    </xf>
    <xf numFmtId="177" fontId="28" fillId="0" borderId="0" xfId="2452" applyNumberFormat="1" applyFont="1" applyFill="1" applyBorder="1" applyAlignment="1">
      <alignment horizontal="left" vertical="center"/>
    </xf>
    <xf numFmtId="9" fontId="28" fillId="0" borderId="99" xfId="2450" applyNumberFormat="1" applyFont="1" applyBorder="1" applyAlignment="1">
      <alignment horizontal="center" vertical="center"/>
    </xf>
    <xf numFmtId="0" fontId="29" fillId="6" borderId="41" xfId="2450" applyFont="1" applyFill="1" applyBorder="1" applyAlignment="1">
      <alignment vertical="center"/>
    </xf>
    <xf numFmtId="0" fontId="29" fillId="6" borderId="0" xfId="2450" applyFont="1" applyFill="1" applyBorder="1" applyAlignment="1">
      <alignment vertical="center"/>
    </xf>
    <xf numFmtId="0" fontId="28" fillId="6" borderId="0" xfId="2450" applyFont="1" applyFill="1" applyBorder="1" applyAlignment="1">
      <alignment vertical="center"/>
    </xf>
    <xf numFmtId="0" fontId="28" fillId="6" borderId="36" xfId="2450" quotePrefix="1" applyFont="1" applyFill="1" applyBorder="1" applyAlignment="1">
      <alignment vertical="center"/>
    </xf>
    <xf numFmtId="0" fontId="29" fillId="6" borderId="49" xfId="2450" applyFont="1" applyFill="1" applyBorder="1" applyAlignment="1">
      <alignment vertical="center"/>
    </xf>
    <xf numFmtId="0" fontId="29" fillId="6" borderId="47" xfId="2450" applyFont="1" applyFill="1" applyBorder="1" applyAlignment="1">
      <alignment vertical="center"/>
    </xf>
    <xf numFmtId="0" fontId="28" fillId="6" borderId="10" xfId="2450" applyFont="1" applyFill="1" applyBorder="1" applyAlignment="1">
      <alignment vertical="center"/>
    </xf>
    <xf numFmtId="0" fontId="28" fillId="8" borderId="14" xfId="2452" applyNumberFormat="1" applyFont="1" applyFill="1" applyBorder="1" applyAlignment="1">
      <alignment horizontal="center" vertical="center" wrapText="1"/>
    </xf>
    <xf numFmtId="176" fontId="98" fillId="0" borderId="0" xfId="2453" applyNumberFormat="1">
      <alignment vertical="center"/>
    </xf>
    <xf numFmtId="9" fontId="26" fillId="3" borderId="6" xfId="2452" applyNumberFormat="1" applyFont="1" applyFill="1" applyBorder="1" applyAlignment="1">
      <alignment horizontal="center" vertical="center"/>
    </xf>
    <xf numFmtId="9" fontId="26" fillId="3" borderId="26" xfId="2452" applyNumberFormat="1" applyFont="1" applyFill="1" applyBorder="1" applyAlignment="1">
      <alignment horizontal="center" vertical="center"/>
    </xf>
    <xf numFmtId="9" fontId="28" fillId="3" borderId="25" xfId="2461" applyFont="1" applyFill="1" applyBorder="1" applyAlignment="1">
      <alignment horizontal="center" vertical="center"/>
    </xf>
    <xf numFmtId="177" fontId="28" fillId="0" borderId="17" xfId="2461" applyNumberFormat="1" applyFont="1" applyFill="1" applyBorder="1" applyAlignment="1">
      <alignment horizontal="center" vertical="center"/>
    </xf>
    <xf numFmtId="177" fontId="28" fillId="0" borderId="24" xfId="2461" applyNumberFormat="1" applyFont="1" applyFill="1" applyBorder="1" applyAlignment="1">
      <alignment horizontal="center" vertical="center"/>
    </xf>
    <xf numFmtId="177" fontId="28" fillId="0" borderId="18" xfId="2461" applyNumberFormat="1" applyFont="1" applyFill="1" applyBorder="1" applyAlignment="1">
      <alignment horizontal="center" vertical="center"/>
    </xf>
    <xf numFmtId="177" fontId="28" fillId="0" borderId="7" xfId="2461" applyNumberFormat="1" applyFont="1" applyFill="1" applyBorder="1" applyAlignment="1">
      <alignment horizontal="center" vertical="center"/>
    </xf>
    <xf numFmtId="177" fontId="28" fillId="0" borderId="26" xfId="2461" applyNumberFormat="1" applyFont="1" applyFill="1" applyBorder="1" applyAlignment="1">
      <alignment horizontal="center" vertical="center"/>
    </xf>
    <xf numFmtId="177" fontId="28" fillId="2" borderId="21" xfId="2461" applyNumberFormat="1" applyFont="1" applyFill="1" applyBorder="1" applyAlignment="1">
      <alignment horizontal="center" vertical="center"/>
    </xf>
    <xf numFmtId="177" fontId="28" fillId="2" borderId="4" xfId="2461" applyNumberFormat="1" applyFont="1" applyFill="1" applyBorder="1" applyAlignment="1">
      <alignment horizontal="center" vertical="center"/>
    </xf>
    <xf numFmtId="177" fontId="28" fillId="2" borderId="6" xfId="2461" applyNumberFormat="1" applyFont="1" applyFill="1" applyBorder="1" applyAlignment="1">
      <alignment horizontal="center" vertical="center"/>
    </xf>
    <xf numFmtId="177" fontId="28" fillId="2" borderId="17" xfId="2461" applyNumberFormat="1" applyFont="1" applyFill="1" applyBorder="1" applyAlignment="1">
      <alignment horizontal="center" vertical="center"/>
    </xf>
    <xf numFmtId="177" fontId="28" fillId="2" borderId="7" xfId="2461" applyNumberFormat="1" applyFont="1" applyFill="1" applyBorder="1" applyAlignment="1">
      <alignment horizontal="center" vertical="center"/>
    </xf>
    <xf numFmtId="177" fontId="28" fillId="2" borderId="18" xfId="2461" applyNumberFormat="1" applyFont="1" applyFill="1" applyBorder="1" applyAlignment="1">
      <alignment horizontal="center" vertical="center"/>
    </xf>
    <xf numFmtId="176" fontId="28" fillId="3" borderId="7" xfId="2457" applyNumberFormat="1" applyFont="1" applyFill="1" applyBorder="1" applyAlignment="1">
      <alignment horizontal="center" vertical="center" wrapText="1"/>
    </xf>
    <xf numFmtId="176" fontId="28" fillId="3" borderId="78" xfId="0" applyNumberFormat="1" applyFont="1" applyFill="1" applyBorder="1" applyAlignment="1">
      <alignment horizontal="center" vertical="center" wrapText="1"/>
    </xf>
    <xf numFmtId="0" fontId="28" fillId="0" borderId="22" xfId="0" applyFont="1" applyBorder="1" applyAlignment="1">
      <alignment horizontal="center" vertical="center"/>
    </xf>
    <xf numFmtId="0" fontId="28" fillId="3" borderId="15" xfId="0" applyFont="1" applyFill="1" applyBorder="1" applyAlignment="1">
      <alignment horizontal="center" vertical="center"/>
    </xf>
    <xf numFmtId="9" fontId="28" fillId="0" borderId="18" xfId="0" quotePrefix="1" applyNumberFormat="1" applyFont="1" applyBorder="1" applyAlignment="1">
      <alignment horizontal="center" vertical="center"/>
    </xf>
    <xf numFmtId="176" fontId="28" fillId="2" borderId="118" xfId="0" applyNumberFormat="1" applyFont="1" applyFill="1" applyBorder="1" applyAlignment="1">
      <alignment horizontal="center" vertical="center"/>
    </xf>
    <xf numFmtId="176" fontId="27" fillId="2" borderId="61" xfId="0" applyNumberFormat="1" applyFont="1" applyFill="1" applyBorder="1" applyAlignment="1">
      <alignment horizontal="center" vertical="center"/>
    </xf>
    <xf numFmtId="176" fontId="27" fillId="2" borderId="113" xfId="0" applyNumberFormat="1" applyFont="1" applyFill="1" applyBorder="1" applyAlignment="1">
      <alignment horizontal="center" vertical="center"/>
    </xf>
    <xf numFmtId="176" fontId="27" fillId="2" borderId="76" xfId="0" applyNumberFormat="1" applyFont="1" applyFill="1" applyBorder="1" applyAlignment="1">
      <alignment horizontal="center" vertical="center"/>
    </xf>
    <xf numFmtId="176" fontId="27" fillId="2" borderId="118" xfId="0" applyNumberFormat="1" applyFont="1" applyFill="1" applyBorder="1" applyAlignment="1">
      <alignment horizontal="center" vertical="center"/>
    </xf>
    <xf numFmtId="176" fontId="28" fillId="6" borderId="101" xfId="0" applyNumberFormat="1" applyFont="1" applyFill="1" applyBorder="1" applyAlignment="1">
      <alignment horizontal="center" vertical="center"/>
    </xf>
    <xf numFmtId="176" fontId="28" fillId="6" borderId="111" xfId="0" applyNumberFormat="1" applyFont="1" applyFill="1" applyBorder="1" applyAlignment="1">
      <alignment horizontal="center" vertical="center"/>
    </xf>
    <xf numFmtId="176" fontId="28" fillId="6" borderId="61" xfId="0" applyNumberFormat="1" applyFont="1" applyFill="1" applyBorder="1" applyAlignment="1">
      <alignment horizontal="center" vertical="center"/>
    </xf>
    <xf numFmtId="176" fontId="28" fillId="6" borderId="113" xfId="0" applyNumberFormat="1" applyFont="1" applyFill="1" applyBorder="1" applyAlignment="1">
      <alignment horizontal="center" vertical="center"/>
    </xf>
    <xf numFmtId="177" fontId="106" fillId="3" borderId="21" xfId="2452" applyNumberFormat="1" applyFont="1" applyFill="1" applyBorder="1" applyAlignment="1">
      <alignment horizontal="center" vertical="center"/>
    </xf>
    <xf numFmtId="177" fontId="106" fillId="5" borderId="17" xfId="2452" applyNumberFormat="1" applyFont="1" applyFill="1" applyBorder="1" applyAlignment="1">
      <alignment horizontal="center" vertical="center"/>
    </xf>
    <xf numFmtId="0" fontId="106" fillId="0" borderId="0" xfId="2453" applyFont="1" applyFill="1" applyAlignment="1">
      <alignment vertical="center"/>
    </xf>
    <xf numFmtId="0" fontId="28" fillId="5" borderId="18" xfId="2450" applyFont="1" applyFill="1" applyBorder="1" applyAlignment="1">
      <alignment horizontal="center" vertical="center"/>
    </xf>
    <xf numFmtId="0" fontId="87" fillId="0" borderId="0" xfId="2450" applyFont="1" applyFill="1" applyAlignment="1">
      <alignment vertical="center"/>
    </xf>
    <xf numFmtId="0" fontId="107" fillId="0" borderId="0" xfId="0" applyFont="1" applyFill="1" applyAlignment="1">
      <alignment vertical="center"/>
    </xf>
    <xf numFmtId="0" fontId="30" fillId="0" borderId="0" xfId="2450" applyFont="1" applyFill="1" applyAlignment="1">
      <alignment vertical="center"/>
    </xf>
    <xf numFmtId="0" fontId="30" fillId="0" borderId="0" xfId="0" applyFont="1" applyFill="1" applyAlignment="1">
      <alignment vertical="center"/>
    </xf>
    <xf numFmtId="0" fontId="95" fillId="0" borderId="0" xfId="0" applyFont="1" applyFill="1">
      <alignment vertical="center"/>
    </xf>
    <xf numFmtId="0" fontId="0" fillId="0" borderId="0" xfId="0" applyFill="1">
      <alignment vertical="center"/>
    </xf>
    <xf numFmtId="9" fontId="28" fillId="5" borderId="12" xfId="2452" applyNumberFormat="1" applyFont="1" applyFill="1" applyBorder="1" applyAlignment="1">
      <alignment horizontal="center" vertical="center"/>
    </xf>
    <xf numFmtId="0" fontId="28" fillId="3" borderId="98" xfId="0" applyFont="1" applyFill="1" applyBorder="1" applyAlignment="1">
      <alignment horizontal="center" vertical="center"/>
    </xf>
    <xf numFmtId="9" fontId="28" fillId="8" borderId="28" xfId="2452" applyNumberFormat="1" applyFont="1" applyFill="1" applyBorder="1" applyAlignment="1">
      <alignment horizontal="center" vertical="center"/>
    </xf>
    <xf numFmtId="177" fontId="28" fillId="3" borderId="4" xfId="2452" applyNumberFormat="1" applyFont="1" applyFill="1" applyBorder="1" applyAlignment="1">
      <alignment horizontal="center" vertical="center"/>
    </xf>
    <xf numFmtId="177" fontId="28" fillId="3" borderId="7" xfId="2452" applyNumberFormat="1" applyFont="1" applyFill="1" applyBorder="1" applyAlignment="1">
      <alignment horizontal="center" vertical="center"/>
    </xf>
    <xf numFmtId="176" fontId="112" fillId="0" borderId="0" xfId="2452" applyNumberFormat="1" applyFont="1" applyFill="1" applyBorder="1" applyAlignment="1">
      <alignment horizontal="left" vertical="center"/>
    </xf>
    <xf numFmtId="0" fontId="28" fillId="0" borderId="0" xfId="2450" applyFont="1" applyBorder="1" applyAlignment="1">
      <alignment vertical="center"/>
    </xf>
    <xf numFmtId="0" fontId="27" fillId="0" borderId="0" xfId="2453" applyFont="1" applyFill="1" applyBorder="1" applyAlignment="1">
      <alignment vertical="center"/>
    </xf>
    <xf numFmtId="9" fontId="28" fillId="0" borderId="4" xfId="2450" applyNumberFormat="1" applyFont="1" applyFill="1" applyBorder="1" applyAlignment="1">
      <alignment horizontal="center" vertical="center"/>
    </xf>
    <xf numFmtId="177" fontId="28" fillId="0" borderId="4" xfId="2450" applyNumberFormat="1" applyFont="1" applyFill="1" applyBorder="1" applyAlignment="1">
      <alignment horizontal="center" vertical="center"/>
    </xf>
    <xf numFmtId="9" fontId="27" fillId="5" borderId="4" xfId="2450" applyNumberFormat="1" applyFont="1" applyFill="1" applyBorder="1" applyAlignment="1">
      <alignment horizontal="center" vertical="center"/>
    </xf>
    <xf numFmtId="9" fontId="27" fillId="5" borderId="12" xfId="2450" applyNumberFormat="1" applyFont="1" applyFill="1" applyBorder="1" applyAlignment="1">
      <alignment horizontal="center" vertical="center"/>
    </xf>
    <xf numFmtId="0" fontId="27" fillId="5" borderId="95" xfId="2450" applyFont="1" applyFill="1" applyBorder="1" applyAlignment="1">
      <alignment horizontal="center" vertical="center"/>
    </xf>
    <xf numFmtId="0" fontId="27" fillId="5" borderId="56" xfId="2450" applyFont="1" applyFill="1" applyBorder="1" applyAlignment="1">
      <alignment horizontal="center" vertical="center"/>
    </xf>
    <xf numFmtId="9" fontId="28" fillId="0" borderId="96" xfId="2450" applyNumberFormat="1" applyFont="1" applyFill="1" applyBorder="1" applyAlignment="1">
      <alignment horizontal="center" vertical="center"/>
    </xf>
    <xf numFmtId="0" fontId="27" fillId="5" borderId="97" xfId="2450" quotePrefix="1" applyFont="1" applyFill="1" applyBorder="1" applyAlignment="1">
      <alignment horizontal="center" vertical="center"/>
    </xf>
    <xf numFmtId="0" fontId="27" fillId="5" borderId="9" xfId="2450" quotePrefix="1" applyFont="1" applyFill="1" applyBorder="1" applyAlignment="1">
      <alignment horizontal="center" vertical="center"/>
    </xf>
    <xf numFmtId="0" fontId="27" fillId="5" borderId="12" xfId="2450" quotePrefix="1" applyFont="1" applyFill="1" applyBorder="1" applyAlignment="1">
      <alignment horizontal="center" vertical="center"/>
    </xf>
    <xf numFmtId="9" fontId="27" fillId="5" borderId="17" xfId="2450" applyNumberFormat="1" applyFont="1" applyFill="1" applyBorder="1" applyAlignment="1">
      <alignment horizontal="center" vertical="center"/>
    </xf>
    <xf numFmtId="9" fontId="28" fillId="0" borderId="48" xfId="2450" applyNumberFormat="1" applyFont="1" applyFill="1" applyBorder="1" applyAlignment="1">
      <alignment horizontal="center" vertical="center"/>
    </xf>
    <xf numFmtId="9" fontId="26" fillId="0" borderId="0" xfId="2450" applyNumberFormat="1" applyFont="1">
      <alignment vertical="center"/>
    </xf>
    <xf numFmtId="9" fontId="28" fillId="0" borderId="0" xfId="2450" applyNumberFormat="1" applyFont="1" applyFill="1" applyBorder="1" applyAlignment="1">
      <alignment vertical="center"/>
    </xf>
    <xf numFmtId="230" fontId="26" fillId="0" borderId="0" xfId="2450" applyNumberFormat="1" applyFont="1">
      <alignment vertical="center"/>
    </xf>
    <xf numFmtId="176" fontId="28" fillId="8" borderId="28" xfId="2452" applyNumberFormat="1" applyFont="1" applyFill="1" applyBorder="1" applyAlignment="1">
      <alignment horizontal="center" vertical="center"/>
    </xf>
    <xf numFmtId="9" fontId="28" fillId="8" borderId="81" xfId="2452" applyNumberFormat="1" applyFont="1" applyFill="1" applyBorder="1" applyAlignment="1">
      <alignment horizontal="center" vertical="center"/>
    </xf>
    <xf numFmtId="177" fontId="28" fillId="0" borderId="18" xfId="216" applyNumberFormat="1" applyFont="1" applyFill="1" applyBorder="1" applyAlignment="1">
      <alignment horizontal="center" vertical="center"/>
    </xf>
    <xf numFmtId="177" fontId="28" fillId="0" borderId="7" xfId="216" applyNumberFormat="1" applyFont="1" applyFill="1" applyBorder="1" applyAlignment="1">
      <alignment horizontal="center" vertical="center"/>
    </xf>
    <xf numFmtId="0" fontId="28" fillId="6" borderId="46" xfId="2450" quotePrefix="1" applyFont="1" applyFill="1" applyBorder="1" applyAlignment="1">
      <alignment vertical="center"/>
    </xf>
    <xf numFmtId="0" fontId="29" fillId="6" borderId="51" xfId="2450" applyFont="1" applyFill="1" applyBorder="1" applyAlignment="1">
      <alignment vertical="center"/>
    </xf>
    <xf numFmtId="0" fontId="29" fillId="6" borderId="60" xfId="2450" applyFont="1" applyFill="1" applyBorder="1" applyAlignment="1">
      <alignment vertical="center"/>
    </xf>
    <xf numFmtId="177" fontId="28" fillId="3" borderId="12" xfId="2461" applyNumberFormat="1" applyFont="1" applyFill="1" applyBorder="1" applyAlignment="1">
      <alignment horizontal="center" vertical="center"/>
    </xf>
    <xf numFmtId="177" fontId="28" fillId="3" borderId="18" xfId="2461" applyNumberFormat="1" applyFont="1" applyFill="1" applyBorder="1" applyAlignment="1">
      <alignment horizontal="center" vertical="center"/>
    </xf>
    <xf numFmtId="0" fontId="113" fillId="0" borderId="0" xfId="0" applyFont="1">
      <alignment vertical="center"/>
    </xf>
    <xf numFmtId="0" fontId="114" fillId="0" borderId="0" xfId="2450" applyFont="1" applyAlignment="1">
      <alignment horizontal="left" vertical="center"/>
    </xf>
    <xf numFmtId="0" fontId="115" fillId="0" borderId="0" xfId="2450" applyFont="1" applyFill="1" applyAlignment="1">
      <alignment vertical="center"/>
    </xf>
    <xf numFmtId="0" fontId="115" fillId="0" borderId="0" xfId="2450" applyFont="1" applyAlignment="1">
      <alignment vertical="center"/>
    </xf>
    <xf numFmtId="0" fontId="117" fillId="0" borderId="0" xfId="2450" applyFont="1" applyAlignment="1">
      <alignment horizontal="center" vertical="center"/>
    </xf>
    <xf numFmtId="0" fontId="118" fillId="0" borderId="0" xfId="2450" applyFont="1" applyAlignment="1">
      <alignment horizontal="left" vertical="center"/>
    </xf>
    <xf numFmtId="0" fontId="117" fillId="0" borderId="0" xfId="2450" applyFont="1" applyAlignment="1">
      <alignment vertical="center"/>
    </xf>
    <xf numFmtId="0" fontId="117" fillId="0" borderId="0" xfId="2453" applyFont="1" applyFill="1" applyAlignment="1">
      <alignment vertical="center"/>
    </xf>
    <xf numFmtId="0" fontId="119" fillId="0" borderId="0" xfId="2453" applyFont="1" applyFill="1" applyAlignment="1">
      <alignment vertical="center"/>
    </xf>
    <xf numFmtId="0" fontId="117" fillId="0" borderId="0" xfId="2453" applyFont="1" applyFill="1" applyAlignment="1">
      <alignment horizontal="center" vertical="center"/>
    </xf>
    <xf numFmtId="0" fontId="117" fillId="0" borderId="0" xfId="2453" applyFont="1" applyFill="1" applyBorder="1" applyAlignment="1">
      <alignment horizontal="left" vertical="center"/>
    </xf>
    <xf numFmtId="0" fontId="117" fillId="0" borderId="0" xfId="2453" applyFont="1" applyFill="1" applyBorder="1" applyAlignment="1">
      <alignment vertical="center"/>
    </xf>
    <xf numFmtId="0" fontId="117" fillId="0" borderId="0" xfId="2453" applyFont="1" applyFill="1" applyAlignment="1">
      <alignment horizontal="left" vertical="center"/>
    </xf>
    <xf numFmtId="0" fontId="119" fillId="0" borderId="0" xfId="2453" applyFont="1" applyFill="1" applyAlignment="1">
      <alignment horizontal="left" vertical="center"/>
    </xf>
    <xf numFmtId="0" fontId="119" fillId="0" borderId="0" xfId="2453" applyFont="1" applyFill="1" applyAlignment="1">
      <alignment horizontal="center" vertical="center"/>
    </xf>
    <xf numFmtId="9" fontId="122" fillId="5" borderId="97" xfId="2453" applyNumberFormat="1" applyFont="1" applyFill="1" applyBorder="1" applyAlignment="1">
      <alignment horizontal="center" vertical="center"/>
    </xf>
    <xf numFmtId="9" fontId="117" fillId="0" borderId="7" xfId="2461" applyFont="1" applyFill="1" applyBorder="1" applyAlignment="1">
      <alignment horizontal="center" vertical="center"/>
    </xf>
    <xf numFmtId="9" fontId="117" fillId="0" borderId="26" xfId="2461" applyFont="1" applyFill="1" applyBorder="1" applyAlignment="1">
      <alignment horizontal="center" vertical="center"/>
    </xf>
    <xf numFmtId="9" fontId="124" fillId="0" borderId="99" xfId="2461" applyFont="1" applyFill="1" applyBorder="1" applyAlignment="1">
      <alignment horizontal="center" vertical="center"/>
    </xf>
    <xf numFmtId="0" fontId="32" fillId="0" borderId="0" xfId="2450" applyFont="1" applyAlignment="1">
      <alignment horizontal="center" vertical="center"/>
    </xf>
    <xf numFmtId="176" fontId="28" fillId="3" borderId="18" xfId="2453" applyNumberFormat="1" applyFont="1" applyFill="1" applyBorder="1" applyAlignment="1">
      <alignment horizontal="center" vertical="center" wrapText="1"/>
    </xf>
    <xf numFmtId="176" fontId="28" fillId="4" borderId="32" xfId="2453" applyNumberFormat="1" applyFont="1" applyFill="1" applyBorder="1" applyAlignment="1">
      <alignment horizontal="right" vertical="center"/>
    </xf>
    <xf numFmtId="176" fontId="28" fillId="4" borderId="25" xfId="2453" applyNumberFormat="1" applyFont="1" applyFill="1" applyBorder="1" applyAlignment="1">
      <alignment horizontal="right" vertical="center"/>
    </xf>
    <xf numFmtId="176" fontId="28" fillId="4" borderId="16" xfId="2453" applyNumberFormat="1" applyFont="1" applyFill="1" applyBorder="1" applyAlignment="1">
      <alignment horizontal="right" vertical="center"/>
    </xf>
    <xf numFmtId="176" fontId="28" fillId="4" borderId="56" xfId="2453" applyNumberFormat="1" applyFont="1" applyFill="1" applyBorder="1" applyAlignment="1">
      <alignment horizontal="right" vertical="center"/>
    </xf>
    <xf numFmtId="9" fontId="28" fillId="5" borderId="12" xfId="2453" applyNumberFormat="1" applyFont="1" applyFill="1" applyBorder="1" applyAlignment="1">
      <alignment horizontal="center" vertical="center"/>
    </xf>
    <xf numFmtId="9" fontId="28" fillId="2" borderId="21" xfId="216" applyNumberFormat="1" applyFont="1" applyFill="1" applyBorder="1" applyAlignment="1">
      <alignment horizontal="center" vertical="center"/>
    </xf>
    <xf numFmtId="9" fontId="28" fillId="2" borderId="4" xfId="216" applyNumberFormat="1" applyFont="1" applyFill="1" applyBorder="1" applyAlignment="1">
      <alignment horizontal="center" vertical="center"/>
    </xf>
    <xf numFmtId="9" fontId="28" fillId="2" borderId="12" xfId="216" applyNumberFormat="1" applyFont="1" applyFill="1" applyBorder="1" applyAlignment="1">
      <alignment horizontal="center" vertical="center"/>
    </xf>
    <xf numFmtId="9" fontId="28" fillId="2" borderId="9" xfId="216" applyNumberFormat="1" applyFont="1" applyFill="1" applyBorder="1" applyAlignment="1">
      <alignment horizontal="center" vertical="center"/>
    </xf>
    <xf numFmtId="176" fontId="28" fillId="4" borderId="21" xfId="2453" applyNumberFormat="1" applyFont="1" applyFill="1" applyBorder="1" applyAlignment="1">
      <alignment horizontal="right" vertical="center"/>
    </xf>
    <xf numFmtId="176" fontId="28" fillId="4" borderId="4" xfId="2453" applyNumberFormat="1" applyFont="1" applyFill="1" applyBorder="1" applyAlignment="1">
      <alignment horizontal="right" vertical="center"/>
    </xf>
    <xf numFmtId="176" fontId="28" fillId="4" borderId="12" xfId="2453" applyNumberFormat="1" applyFont="1" applyFill="1" applyBorder="1" applyAlignment="1">
      <alignment horizontal="right" vertical="center"/>
    </xf>
    <xf numFmtId="176" fontId="28" fillId="4" borderId="9" xfId="2453" applyNumberFormat="1" applyFont="1" applyFill="1" applyBorder="1" applyAlignment="1">
      <alignment horizontal="right" vertical="center"/>
    </xf>
    <xf numFmtId="9" fontId="28" fillId="5" borderId="18" xfId="2453" applyNumberFormat="1" applyFont="1" applyFill="1" applyBorder="1" applyAlignment="1">
      <alignment horizontal="center" vertical="center"/>
    </xf>
    <xf numFmtId="9" fontId="28" fillId="0" borderId="21" xfId="216" applyNumberFormat="1" applyFont="1" applyFill="1" applyBorder="1" applyAlignment="1">
      <alignment horizontal="center" vertical="center"/>
    </xf>
    <xf numFmtId="9" fontId="28" fillId="0" borderId="4" xfId="216" applyNumberFormat="1" applyFont="1" applyFill="1" applyBorder="1" applyAlignment="1">
      <alignment horizontal="center" vertical="center"/>
    </xf>
    <xf numFmtId="9" fontId="28" fillId="5" borderId="27" xfId="2453" applyNumberFormat="1" applyFont="1" applyFill="1" applyBorder="1" applyAlignment="1">
      <alignment horizontal="center" vertical="center"/>
    </xf>
    <xf numFmtId="9" fontId="28" fillId="0" borderId="17" xfId="216" applyNumberFormat="1" applyFont="1" applyFill="1" applyBorder="1" applyAlignment="1">
      <alignment horizontal="center" vertical="center"/>
    </xf>
    <xf numFmtId="9" fontId="28" fillId="0" borderId="7" xfId="216" applyNumberFormat="1" applyFont="1" applyFill="1" applyBorder="1" applyAlignment="1">
      <alignment horizontal="center" vertical="center"/>
    </xf>
    <xf numFmtId="9" fontId="28" fillId="2" borderId="7" xfId="216" applyNumberFormat="1" applyFont="1" applyFill="1" applyBorder="1" applyAlignment="1">
      <alignment horizontal="center" vertical="center"/>
    </xf>
    <xf numFmtId="9" fontId="28" fillId="2" borderId="18" xfId="216" applyNumberFormat="1" applyFont="1" applyFill="1" applyBorder="1" applyAlignment="1">
      <alignment horizontal="center" vertical="center"/>
    </xf>
    <xf numFmtId="9" fontId="28" fillId="2" borderId="17" xfId="216" applyNumberFormat="1" applyFont="1" applyFill="1" applyBorder="1" applyAlignment="1">
      <alignment horizontal="center" vertical="center"/>
    </xf>
    <xf numFmtId="9" fontId="28" fillId="2" borderId="24" xfId="216" applyNumberFormat="1" applyFont="1" applyFill="1" applyBorder="1" applyAlignment="1">
      <alignment horizontal="center" vertical="center"/>
    </xf>
    <xf numFmtId="9" fontId="28" fillId="0" borderId="12" xfId="216" applyNumberFormat="1" applyFont="1" applyFill="1" applyBorder="1" applyAlignment="1">
      <alignment horizontal="center" vertical="center"/>
    </xf>
    <xf numFmtId="9" fontId="28" fillId="0" borderId="9" xfId="216" applyNumberFormat="1" applyFont="1" applyFill="1" applyBorder="1" applyAlignment="1">
      <alignment horizontal="center" vertical="center"/>
    </xf>
    <xf numFmtId="9" fontId="28" fillId="0" borderId="18" xfId="216" applyNumberFormat="1" applyFont="1" applyFill="1" applyBorder="1" applyAlignment="1">
      <alignment horizontal="center" vertical="center"/>
    </xf>
    <xf numFmtId="9" fontId="28" fillId="0" borderId="24" xfId="216" applyNumberFormat="1" applyFont="1" applyFill="1" applyBorder="1" applyAlignment="1">
      <alignment horizontal="center" vertical="center"/>
    </xf>
    <xf numFmtId="9" fontId="100" fillId="5" borderId="7" xfId="2453" applyNumberFormat="1" applyFont="1" applyFill="1" applyBorder="1" applyAlignment="1">
      <alignment horizontal="center" vertical="center"/>
    </xf>
    <xf numFmtId="10" fontId="100" fillId="5" borderId="7" xfId="2453" applyNumberFormat="1" applyFont="1" applyFill="1" applyBorder="1" applyAlignment="1">
      <alignment horizontal="center" vertical="center"/>
    </xf>
    <xf numFmtId="177" fontId="100" fillId="5" borderId="18" xfId="2453" applyNumberFormat="1" applyFont="1" applyFill="1" applyBorder="1" applyAlignment="1">
      <alignment horizontal="center" vertical="center"/>
    </xf>
    <xf numFmtId="177" fontId="28" fillId="2" borderId="17" xfId="216" applyNumberFormat="1" applyFont="1" applyFill="1" applyBorder="1" applyAlignment="1">
      <alignment horizontal="center" vertical="center"/>
    </xf>
    <xf numFmtId="177" fontId="28" fillId="2" borderId="7" xfId="216" applyNumberFormat="1" applyFont="1" applyFill="1" applyBorder="1" applyAlignment="1">
      <alignment horizontal="center" vertical="center"/>
    </xf>
    <xf numFmtId="177" fontId="28" fillId="2" borderId="18" xfId="216" applyNumberFormat="1" applyFont="1" applyFill="1" applyBorder="1" applyAlignment="1">
      <alignment horizontal="center" vertical="center"/>
    </xf>
    <xf numFmtId="177" fontId="28" fillId="2" borderId="24" xfId="216" applyNumberFormat="1" applyFont="1" applyFill="1" applyBorder="1" applyAlignment="1">
      <alignment horizontal="center" vertical="center"/>
    </xf>
    <xf numFmtId="0" fontId="106" fillId="0" borderId="0" xfId="2453" applyFont="1" applyAlignment="1">
      <alignment vertical="center"/>
    </xf>
    <xf numFmtId="0" fontId="106" fillId="0" borderId="0" xfId="2453" applyFont="1" applyAlignment="1">
      <alignment horizontal="center" vertical="center"/>
    </xf>
    <xf numFmtId="176" fontId="106" fillId="0" borderId="0" xfId="2453" applyNumberFormat="1" applyFont="1" applyAlignment="1">
      <alignment vertical="center"/>
    </xf>
    <xf numFmtId="0" fontId="98" fillId="0" borderId="0" xfId="2460" applyFont="1" applyFill="1" applyBorder="1" applyAlignment="1">
      <alignment horizontal="left" vertical="center"/>
    </xf>
    <xf numFmtId="0" fontId="127" fillId="0" borderId="0" xfId="2460" applyFont="1" applyFill="1" applyBorder="1" applyAlignment="1">
      <alignment horizontal="left" vertical="center"/>
    </xf>
    <xf numFmtId="9" fontId="28" fillId="0" borderId="9" xfId="0" quotePrefix="1" applyNumberFormat="1" applyFont="1" applyBorder="1" applyAlignment="1">
      <alignment horizontal="center" vertical="center"/>
    </xf>
    <xf numFmtId="0" fontId="27" fillId="3" borderId="95" xfId="2453" applyFont="1" applyFill="1" applyBorder="1" applyAlignment="1">
      <alignment horizontal="center" vertical="center"/>
    </xf>
    <xf numFmtId="0" fontId="28" fillId="2" borderId="96" xfId="2453" applyFont="1" applyFill="1" applyBorder="1" applyAlignment="1">
      <alignment horizontal="center" vertical="center"/>
    </xf>
    <xf numFmtId="0" fontId="26" fillId="0" borderId="97" xfId="2453" applyNumberFormat="1" applyFont="1" applyBorder="1" applyAlignment="1">
      <alignment horizontal="center" vertical="center"/>
    </xf>
    <xf numFmtId="9" fontId="26" fillId="0" borderId="26" xfId="2453" applyNumberFormat="1" applyFont="1" applyBorder="1" applyAlignment="1">
      <alignment horizontal="center" vertical="center"/>
    </xf>
    <xf numFmtId="9" fontId="26" fillId="0" borderId="99" xfId="2453" applyNumberFormat="1" applyFont="1" applyBorder="1" applyAlignment="1">
      <alignment horizontal="center" vertical="center"/>
    </xf>
    <xf numFmtId="0" fontId="27" fillId="5" borderId="62" xfId="2450" applyFont="1" applyFill="1" applyBorder="1" applyAlignment="1">
      <alignment horizontal="center" vertical="center"/>
    </xf>
    <xf numFmtId="9" fontId="28" fillId="0" borderId="14" xfId="2450" applyNumberFormat="1" applyFont="1" applyFill="1" applyBorder="1" applyAlignment="1">
      <alignment horizontal="center" vertical="center"/>
    </xf>
    <xf numFmtId="9" fontId="28" fillId="0" borderId="99" xfId="2450" applyNumberFormat="1" applyFont="1" applyFill="1" applyBorder="1" applyAlignment="1">
      <alignment horizontal="center" vertical="center"/>
    </xf>
    <xf numFmtId="0" fontId="28" fillId="3" borderId="97" xfId="2450" applyFont="1" applyFill="1" applyBorder="1" applyAlignment="1">
      <alignment horizontal="center" vertical="center"/>
    </xf>
    <xf numFmtId="0" fontId="28" fillId="3" borderId="21" xfId="2452" applyNumberFormat="1" applyFont="1" applyFill="1" applyBorder="1" applyAlignment="1">
      <alignment horizontal="center" vertical="center"/>
    </xf>
    <xf numFmtId="9" fontId="28" fillId="3" borderId="6" xfId="2452" applyNumberFormat="1" applyFont="1" applyFill="1" applyBorder="1" applyAlignment="1">
      <alignment horizontal="center" vertical="center"/>
    </xf>
    <xf numFmtId="177" fontId="106" fillId="3" borderId="37" xfId="2452" applyNumberFormat="1" applyFont="1" applyFill="1" applyBorder="1" applyAlignment="1">
      <alignment horizontal="center" vertical="center"/>
    </xf>
    <xf numFmtId="177" fontId="106" fillId="3" borderId="39" xfId="2452" applyNumberFormat="1" applyFont="1" applyFill="1" applyBorder="1" applyAlignment="1">
      <alignment horizontal="center" vertical="center"/>
    </xf>
    <xf numFmtId="9" fontId="106" fillId="3" borderId="17" xfId="0" applyNumberFormat="1" applyFont="1" applyFill="1" applyBorder="1" applyAlignment="1">
      <alignment horizontal="center" vertical="center"/>
    </xf>
    <xf numFmtId="9" fontId="106" fillId="3" borderId="17" xfId="2452" applyNumberFormat="1" applyFont="1" applyFill="1" applyBorder="1" applyAlignment="1">
      <alignment horizontal="center" vertical="center"/>
    </xf>
    <xf numFmtId="0" fontId="106" fillId="3" borderId="17" xfId="2452" applyNumberFormat="1" applyFont="1" applyFill="1" applyBorder="1" applyAlignment="1">
      <alignment horizontal="center" vertical="center"/>
    </xf>
    <xf numFmtId="176" fontId="106" fillId="7" borderId="15" xfId="2453" applyNumberFormat="1" applyFont="1" applyFill="1" applyBorder="1" applyAlignment="1">
      <alignment horizontal="center" vertical="center"/>
    </xf>
    <xf numFmtId="176" fontId="106" fillId="7" borderId="20" xfId="2453" applyNumberFormat="1" applyFont="1" applyFill="1" applyBorder="1" applyAlignment="1">
      <alignment horizontal="center" vertical="center"/>
    </xf>
    <xf numFmtId="9" fontId="26" fillId="5" borderId="18" xfId="2452" applyNumberFormat="1" applyFont="1" applyFill="1" applyBorder="1" applyAlignment="1">
      <alignment horizontal="center" vertical="center"/>
    </xf>
    <xf numFmtId="9" fontId="26" fillId="3" borderId="7" xfId="2452" applyNumberFormat="1" applyFont="1" applyFill="1" applyBorder="1" applyAlignment="1">
      <alignment horizontal="center" vertical="center"/>
    </xf>
    <xf numFmtId="9" fontId="26" fillId="3" borderId="18" xfId="2452" applyNumberFormat="1" applyFont="1" applyFill="1" applyBorder="1" applyAlignment="1">
      <alignment horizontal="center" vertical="center"/>
    </xf>
    <xf numFmtId="9" fontId="26" fillId="3" borderId="12" xfId="2452" applyNumberFormat="1" applyFont="1" applyFill="1" applyBorder="1" applyAlignment="1">
      <alignment horizontal="center" vertical="center"/>
    </xf>
    <xf numFmtId="176" fontId="28" fillId="3" borderId="18" xfId="2452" applyNumberFormat="1" applyFont="1" applyFill="1" applyBorder="1" applyAlignment="1">
      <alignment horizontal="center" vertical="center" wrapText="1"/>
    </xf>
    <xf numFmtId="176" fontId="28" fillId="8" borderId="14" xfId="2452" applyNumberFormat="1" applyFont="1" applyFill="1" applyBorder="1" applyAlignment="1">
      <alignment horizontal="center" vertical="center" wrapText="1"/>
    </xf>
    <xf numFmtId="0" fontId="28" fillId="8" borderId="27" xfId="2452" applyNumberFormat="1" applyFont="1" applyFill="1" applyBorder="1" applyAlignment="1">
      <alignment horizontal="center" vertical="center" wrapText="1"/>
    </xf>
    <xf numFmtId="177" fontId="28" fillId="8" borderId="28" xfId="2461" applyNumberFormat="1" applyFont="1" applyFill="1" applyBorder="1" applyAlignment="1">
      <alignment horizontal="center" vertical="center"/>
    </xf>
    <xf numFmtId="176" fontId="28" fillId="3" borderId="27" xfId="2452" applyNumberFormat="1" applyFont="1" applyFill="1" applyBorder="1" applyAlignment="1">
      <alignment horizontal="center" vertical="center"/>
    </xf>
    <xf numFmtId="177" fontId="28" fillId="8" borderId="28" xfId="2452" applyNumberFormat="1" applyFont="1" applyFill="1" applyBorder="1" applyAlignment="1">
      <alignment horizontal="center" vertical="center"/>
    </xf>
    <xf numFmtId="176" fontId="29" fillId="0" borderId="0" xfId="2452" applyNumberFormat="1" applyFont="1" applyBorder="1" applyAlignment="1">
      <alignment horizontal="center" vertical="center"/>
    </xf>
    <xf numFmtId="176" fontId="28" fillId="3" borderId="17" xfId="2452" applyNumberFormat="1" applyFont="1" applyFill="1" applyBorder="1" applyAlignment="1">
      <alignment horizontal="center" vertical="center"/>
    </xf>
    <xf numFmtId="176" fontId="28" fillId="3" borderId="7" xfId="2452" applyNumberFormat="1" applyFont="1" applyFill="1" applyBorder="1" applyAlignment="1">
      <alignment horizontal="center" vertical="center"/>
    </xf>
    <xf numFmtId="9" fontId="28" fillId="3" borderId="7" xfId="2459" applyFont="1" applyFill="1" applyBorder="1" applyAlignment="1">
      <alignment horizontal="center" vertical="center"/>
    </xf>
    <xf numFmtId="0" fontId="28" fillId="5" borderId="22" xfId="2450" applyFont="1" applyFill="1" applyBorder="1" applyAlignment="1">
      <alignment horizontal="center" vertical="center"/>
    </xf>
    <xf numFmtId="9" fontId="28" fillId="0" borderId="4" xfId="2459" applyFont="1" applyFill="1" applyBorder="1" applyAlignment="1">
      <alignment horizontal="center" vertical="center"/>
    </xf>
    <xf numFmtId="9" fontId="28" fillId="0" borderId="12" xfId="2459" applyFont="1" applyFill="1" applyBorder="1" applyAlignment="1">
      <alignment horizontal="center" vertical="center"/>
    </xf>
    <xf numFmtId="177" fontId="28" fillId="8" borderId="33" xfId="2461" applyNumberFormat="1" applyFont="1" applyFill="1" applyBorder="1" applyAlignment="1">
      <alignment horizontal="center" vertical="center" wrapText="1"/>
    </xf>
    <xf numFmtId="0" fontId="30" fillId="0" borderId="0" xfId="2451" applyFont="1" applyBorder="1" applyAlignment="1">
      <alignment vertical="center"/>
    </xf>
    <xf numFmtId="176" fontId="28" fillId="3" borderId="124" xfId="0" applyNumberFormat="1" applyFont="1" applyFill="1" applyBorder="1" applyAlignment="1">
      <alignment horizontal="center" vertical="center" wrapText="1"/>
    </xf>
    <xf numFmtId="176" fontId="28" fillId="2" borderId="49" xfId="0" applyNumberFormat="1" applyFont="1" applyFill="1" applyBorder="1" applyAlignment="1">
      <alignment horizontal="center" vertical="center"/>
    </xf>
    <xf numFmtId="41" fontId="28" fillId="4" borderId="21" xfId="2463" applyFont="1" applyFill="1" applyBorder="1" applyAlignment="1">
      <alignment horizontal="center" vertical="center"/>
    </xf>
    <xf numFmtId="41" fontId="28" fillId="4" borderId="16" xfId="2463" applyFont="1" applyFill="1" applyBorder="1" applyAlignment="1">
      <alignment horizontal="center" vertical="center"/>
    </xf>
    <xf numFmtId="41" fontId="28" fillId="4" borderId="9" xfId="2463" applyFont="1" applyFill="1" applyBorder="1" applyAlignment="1">
      <alignment horizontal="center" vertical="center"/>
    </xf>
    <xf numFmtId="41" fontId="28" fillId="4" borderId="12" xfId="2463" applyFont="1" applyFill="1" applyBorder="1" applyAlignment="1">
      <alignment horizontal="center" vertical="center"/>
    </xf>
    <xf numFmtId="176" fontId="28" fillId="2" borderId="132" xfId="0" applyNumberFormat="1" applyFont="1" applyFill="1" applyBorder="1" applyAlignment="1">
      <alignment horizontal="center" vertical="center"/>
    </xf>
    <xf numFmtId="176" fontId="28" fillId="2" borderId="41" xfId="0" applyNumberFormat="1" applyFont="1" applyFill="1" applyBorder="1" applyAlignment="1">
      <alignment horizontal="center" vertical="center"/>
    </xf>
    <xf numFmtId="41" fontId="28" fillId="4" borderId="19" xfId="2463" applyFont="1" applyFill="1" applyBorder="1" applyAlignment="1">
      <alignment horizontal="center" vertical="center"/>
    </xf>
    <xf numFmtId="41" fontId="28" fillId="4" borderId="8" xfId="2463" applyFont="1" applyFill="1" applyBorder="1" applyAlignment="1">
      <alignment horizontal="center" vertical="center"/>
    </xf>
    <xf numFmtId="176" fontId="28" fillId="3" borderId="86" xfId="0" applyNumberFormat="1" applyFont="1" applyFill="1" applyBorder="1" applyAlignment="1">
      <alignment horizontal="center" vertical="center" wrapText="1"/>
    </xf>
    <xf numFmtId="176" fontId="28" fillId="4" borderId="56" xfId="0" applyNumberFormat="1" applyFont="1" applyFill="1" applyBorder="1" applyAlignment="1">
      <alignment horizontal="right" vertical="center"/>
    </xf>
    <xf numFmtId="0" fontId="98" fillId="0" borderId="0" xfId="2453" applyAlignment="1">
      <alignment horizontal="center" vertical="center"/>
    </xf>
    <xf numFmtId="9" fontId="28" fillId="8" borderId="7" xfId="2461" applyNumberFormat="1" applyFont="1" applyFill="1" applyBorder="1" applyAlignment="1">
      <alignment horizontal="center" vertical="center"/>
    </xf>
    <xf numFmtId="176" fontId="28" fillId="8" borderId="7" xfId="2452" applyNumberFormat="1" applyFont="1" applyFill="1" applyBorder="1" applyAlignment="1">
      <alignment horizontal="center" vertical="center" wrapText="1"/>
    </xf>
    <xf numFmtId="176" fontId="28" fillId="8" borderId="26" xfId="2452" applyNumberFormat="1" applyFont="1" applyFill="1" applyBorder="1" applyAlignment="1">
      <alignment horizontal="center" vertical="center" wrapText="1"/>
    </xf>
    <xf numFmtId="0" fontId="129" fillId="0" borderId="0" xfId="2453" applyFont="1">
      <alignment vertical="center"/>
    </xf>
    <xf numFmtId="0" fontId="28" fillId="5" borderId="20" xfId="2450" applyFont="1" applyFill="1" applyBorder="1" applyAlignment="1">
      <alignment horizontal="center" vertical="center"/>
    </xf>
    <xf numFmtId="0" fontId="26" fillId="5" borderId="3" xfId="2450" applyFont="1" applyFill="1" applyBorder="1" applyAlignment="1">
      <alignment horizontal="center" vertical="center"/>
    </xf>
    <xf numFmtId="9" fontId="28" fillId="0" borderId="99" xfId="2461" applyNumberFormat="1" applyFont="1" applyFill="1" applyBorder="1" applyAlignment="1">
      <alignment horizontal="center" vertical="center"/>
    </xf>
    <xf numFmtId="9" fontId="28" fillId="0" borderId="12" xfId="2461" applyNumberFormat="1" applyFont="1" applyFill="1" applyBorder="1" applyAlignment="1">
      <alignment horizontal="center" vertical="center"/>
    </xf>
    <xf numFmtId="223" fontId="26" fillId="0" borderId="0" xfId="2463" applyNumberFormat="1" applyFont="1">
      <alignment vertical="center"/>
    </xf>
    <xf numFmtId="177" fontId="100" fillId="3" borderId="23" xfId="2452" applyNumberFormat="1" applyFont="1" applyFill="1" applyBorder="1" applyAlignment="1">
      <alignment horizontal="center" vertical="center"/>
    </xf>
    <xf numFmtId="176" fontId="28" fillId="8" borderId="25" xfId="2453" applyNumberFormat="1" applyFont="1" applyFill="1" applyBorder="1" applyAlignment="1">
      <alignment horizontal="center" vertical="center"/>
    </xf>
    <xf numFmtId="41" fontId="19" fillId="0" borderId="0" xfId="2463" applyFont="1">
      <alignment vertical="center"/>
    </xf>
    <xf numFmtId="41" fontId="29" fillId="0" borderId="0" xfId="2463" applyFont="1" applyFill="1" applyAlignment="1">
      <alignment vertical="center"/>
    </xf>
    <xf numFmtId="41" fontId="28" fillId="0" borderId="0" xfId="2463" applyFont="1" applyFill="1" applyAlignment="1">
      <alignment vertical="center"/>
    </xf>
    <xf numFmtId="41" fontId="28" fillId="0" borderId="0" xfId="2463" applyFont="1" applyAlignment="1">
      <alignment vertical="center"/>
    </xf>
    <xf numFmtId="9" fontId="117" fillId="0" borderId="24" xfId="2453" applyNumberFormat="1" applyFont="1" applyFill="1" applyBorder="1" applyAlignment="1">
      <alignment horizontal="center" vertical="center"/>
    </xf>
    <xf numFmtId="0" fontId="26" fillId="0" borderId="0" xfId="2451" applyFont="1" applyBorder="1">
      <alignment vertical="center"/>
    </xf>
    <xf numFmtId="176" fontId="27" fillId="2" borderId="101" xfId="0" applyNumberFormat="1" applyFont="1" applyFill="1" applyBorder="1" applyAlignment="1">
      <alignment horizontal="center" vertical="center"/>
    </xf>
    <xf numFmtId="176" fontId="27" fillId="2" borderId="111" xfId="0" applyNumberFormat="1" applyFont="1" applyFill="1" applyBorder="1" applyAlignment="1">
      <alignment horizontal="center" vertical="center"/>
    </xf>
    <xf numFmtId="0" fontId="26" fillId="0" borderId="0" xfId="2451" applyFont="1" applyFill="1" applyBorder="1">
      <alignment vertical="center"/>
    </xf>
    <xf numFmtId="0" fontId="36" fillId="0" borderId="0" xfId="0" applyFont="1">
      <alignment vertical="center"/>
    </xf>
    <xf numFmtId="0" fontId="132" fillId="0" borderId="0" xfId="0" applyFont="1" applyAlignment="1">
      <alignment vertical="center"/>
    </xf>
    <xf numFmtId="9" fontId="28" fillId="0" borderId="97" xfId="0" applyNumberFormat="1" applyFont="1" applyBorder="1" applyAlignment="1">
      <alignment horizontal="center" vertical="center"/>
    </xf>
    <xf numFmtId="9" fontId="28" fillId="0" borderId="4" xfId="0" applyNumberFormat="1" applyFont="1" applyBorder="1" applyAlignment="1">
      <alignment horizontal="center" vertical="center" wrapText="1"/>
    </xf>
    <xf numFmtId="0" fontId="28" fillId="0" borderId="146" xfId="0" applyFont="1" applyBorder="1" applyAlignment="1">
      <alignment horizontal="center" vertical="center" wrapText="1"/>
    </xf>
    <xf numFmtId="41" fontId="28" fillId="4" borderId="32" xfId="2463" applyFont="1" applyFill="1" applyBorder="1" applyAlignment="1">
      <alignment horizontal="center" vertical="center"/>
    </xf>
    <xf numFmtId="41" fontId="28" fillId="4" borderId="25" xfId="2463" applyFont="1" applyFill="1" applyBorder="1" applyAlignment="1">
      <alignment horizontal="center" vertical="center"/>
    </xf>
    <xf numFmtId="41" fontId="28" fillId="4" borderId="56" xfId="2463" applyFont="1" applyFill="1" applyBorder="1" applyAlignment="1">
      <alignment horizontal="center" vertical="center"/>
    </xf>
    <xf numFmtId="9" fontId="117" fillId="0" borderId="23" xfId="2461" applyFont="1" applyBorder="1" applyAlignment="1">
      <alignment horizontal="center" vertical="center"/>
    </xf>
    <xf numFmtId="9" fontId="28" fillId="0" borderId="0" xfId="2459" applyFont="1" applyFill="1" applyAlignment="1">
      <alignment vertical="center"/>
    </xf>
    <xf numFmtId="0" fontId="28" fillId="0" borderId="0" xfId="2450" applyFont="1" applyFill="1" applyBorder="1" applyAlignment="1">
      <alignment horizontal="center" vertical="center"/>
    </xf>
    <xf numFmtId="176" fontId="28" fillId="3" borderId="25" xfId="2452" applyNumberFormat="1" applyFont="1" applyFill="1" applyBorder="1" applyAlignment="1">
      <alignment horizontal="center" vertical="center" wrapText="1"/>
    </xf>
    <xf numFmtId="9" fontId="28" fillId="3" borderId="25" xfId="2452" applyNumberFormat="1" applyFont="1" applyFill="1" applyBorder="1" applyAlignment="1">
      <alignment horizontal="center" vertical="center"/>
    </xf>
    <xf numFmtId="0" fontId="28" fillId="0" borderId="7" xfId="2450" applyFont="1" applyBorder="1" applyAlignment="1">
      <alignment horizontal="center" vertical="center"/>
    </xf>
    <xf numFmtId="0" fontId="28" fillId="3" borderId="6" xfId="0" applyFont="1" applyFill="1" applyBorder="1" applyAlignment="1">
      <alignment horizontal="center" vertical="center"/>
    </xf>
    <xf numFmtId="9" fontId="28" fillId="3" borderId="29" xfId="0" applyNumberFormat="1" applyFont="1" applyFill="1" applyBorder="1" applyAlignment="1">
      <alignment horizontal="center" vertical="center"/>
    </xf>
    <xf numFmtId="9" fontId="28" fillId="3" borderId="16" xfId="0" applyNumberFormat="1" applyFont="1" applyFill="1" applyBorder="1" applyAlignment="1">
      <alignment horizontal="center" vertical="center"/>
    </xf>
    <xf numFmtId="0" fontId="28" fillId="0" borderId="14" xfId="2450" applyFont="1" applyBorder="1" applyAlignment="1">
      <alignment horizontal="center" vertical="center"/>
    </xf>
    <xf numFmtId="177" fontId="26" fillId="3" borderId="6" xfId="2452" applyNumberFormat="1" applyFont="1" applyFill="1" applyBorder="1" applyAlignment="1">
      <alignment horizontal="center" vertical="center"/>
    </xf>
    <xf numFmtId="0" fontId="28" fillId="0" borderId="0" xfId="2450" applyFont="1" applyBorder="1" applyAlignment="1">
      <alignment horizontal="center" vertical="center"/>
    </xf>
    <xf numFmtId="9" fontId="28" fillId="3" borderId="7" xfId="2461" applyFont="1" applyFill="1" applyBorder="1" applyAlignment="1">
      <alignment horizontal="center" vertical="center"/>
    </xf>
    <xf numFmtId="177" fontId="28" fillId="2" borderId="3" xfId="2461" applyNumberFormat="1" applyFont="1" applyFill="1" applyBorder="1" applyAlignment="1">
      <alignment horizontal="center" vertical="center"/>
    </xf>
    <xf numFmtId="177" fontId="28" fillId="2" borderId="58" xfId="2461" applyNumberFormat="1" applyFont="1" applyFill="1" applyBorder="1" applyAlignment="1">
      <alignment horizontal="center" vertical="center"/>
    </xf>
    <xf numFmtId="177" fontId="28" fillId="2" borderId="26" xfId="2461" applyNumberFormat="1" applyFont="1" applyFill="1" applyBorder="1" applyAlignment="1">
      <alignment horizontal="center" vertical="center"/>
    </xf>
    <xf numFmtId="9" fontId="28" fillId="0" borderId="54" xfId="2461" applyFont="1" applyBorder="1" applyAlignment="1">
      <alignment horizontal="center" vertical="center"/>
    </xf>
    <xf numFmtId="0" fontId="104" fillId="0" borderId="0" xfId="0" applyFont="1" applyAlignment="1">
      <alignment vertical="center"/>
    </xf>
    <xf numFmtId="177" fontId="26" fillId="0" borderId="9" xfId="0" applyNumberFormat="1" applyFont="1" applyFill="1" applyBorder="1" applyAlignment="1">
      <alignment horizontal="center" vertical="center"/>
    </xf>
    <xf numFmtId="177" fontId="26" fillId="0" borderId="4" xfId="0" applyNumberFormat="1" applyFont="1" applyFill="1" applyBorder="1" applyAlignment="1">
      <alignment horizontal="center" vertical="center"/>
    </xf>
    <xf numFmtId="177" fontId="26" fillId="0" borderId="12" xfId="0" applyNumberFormat="1" applyFont="1" applyFill="1" applyBorder="1" applyAlignment="1">
      <alignment horizontal="center" vertical="center"/>
    </xf>
    <xf numFmtId="0" fontId="26" fillId="0" borderId="8" xfId="0" applyFont="1" applyFill="1" applyBorder="1" applyAlignment="1">
      <alignment horizontal="center" vertical="center"/>
    </xf>
    <xf numFmtId="0" fontId="133" fillId="0" borderId="0" xfId="2453" applyFont="1">
      <alignment vertical="center"/>
    </xf>
    <xf numFmtId="9" fontId="28" fillId="0" borderId="0" xfId="2459" applyFont="1" applyFill="1" applyAlignment="1">
      <alignment horizontal="center" vertical="center"/>
    </xf>
    <xf numFmtId="3" fontId="28" fillId="3" borderId="4" xfId="2452" applyNumberFormat="1" applyFont="1" applyFill="1" applyBorder="1" applyAlignment="1">
      <alignment horizontal="center" vertical="center"/>
    </xf>
    <xf numFmtId="0" fontId="27" fillId="5" borderId="57" xfId="2450" applyFont="1" applyFill="1" applyBorder="1" applyAlignment="1">
      <alignment horizontal="center" vertical="center"/>
    </xf>
    <xf numFmtId="0" fontId="27" fillId="5" borderId="29" xfId="2450" applyFont="1" applyFill="1" applyBorder="1" applyAlignment="1">
      <alignment horizontal="center" vertical="center"/>
    </xf>
    <xf numFmtId="0" fontId="28" fillId="0" borderId="0" xfId="2450" applyFont="1" applyFill="1" applyBorder="1" applyAlignment="1">
      <alignment horizontal="center" vertical="center"/>
    </xf>
    <xf numFmtId="0" fontId="28" fillId="6" borderId="47" xfId="2450" applyFont="1" applyFill="1" applyBorder="1" applyAlignment="1">
      <alignment vertical="center"/>
    </xf>
    <xf numFmtId="0" fontId="28" fillId="6" borderId="51" xfId="2450" applyFont="1" applyFill="1" applyBorder="1" applyAlignment="1">
      <alignment vertical="center"/>
    </xf>
    <xf numFmtId="176" fontId="28" fillId="2" borderId="60" xfId="0" applyNumberFormat="1" applyFont="1" applyFill="1" applyBorder="1" applyAlignment="1">
      <alignment horizontal="center" vertical="center"/>
    </xf>
    <xf numFmtId="176" fontId="28" fillId="2" borderId="109" xfId="0" applyNumberFormat="1" applyFont="1" applyFill="1" applyBorder="1" applyAlignment="1">
      <alignment horizontal="center" vertical="center"/>
    </xf>
    <xf numFmtId="9" fontId="28" fillId="3" borderId="18" xfId="0" applyNumberFormat="1" applyFont="1" applyFill="1" applyBorder="1" applyAlignment="1">
      <alignment horizontal="center" vertical="center"/>
    </xf>
    <xf numFmtId="176" fontId="28" fillId="3" borderId="112" xfId="0" applyNumberFormat="1" applyFont="1" applyFill="1" applyBorder="1" applyAlignment="1">
      <alignment horizontal="center" vertical="center" wrapText="1"/>
    </xf>
    <xf numFmtId="0" fontId="27" fillId="5" borderId="15" xfId="2450" applyFont="1" applyFill="1" applyBorder="1" applyAlignment="1">
      <alignment horizontal="center" vertical="center"/>
    </xf>
    <xf numFmtId="0" fontId="27" fillId="5" borderId="20" xfId="2450" applyFont="1" applyFill="1" applyBorder="1" applyAlignment="1">
      <alignment horizontal="center" vertical="center"/>
    </xf>
    <xf numFmtId="177" fontId="28" fillId="8" borderId="33" xfId="2452" applyNumberFormat="1" applyFont="1" applyFill="1" applyBorder="1" applyAlignment="1">
      <alignment horizontal="center" vertical="center" wrapText="1"/>
    </xf>
    <xf numFmtId="177" fontId="28" fillId="2" borderId="28" xfId="2453" applyNumberFormat="1" applyFont="1" applyFill="1" applyBorder="1" applyAlignment="1">
      <alignment horizontal="center" vertical="center"/>
    </xf>
    <xf numFmtId="177" fontId="28" fillId="2" borderId="26" xfId="2453" applyNumberFormat="1" applyFont="1" applyFill="1" applyBorder="1" applyAlignment="1">
      <alignment horizontal="center" vertical="center"/>
    </xf>
    <xf numFmtId="177" fontId="28" fillId="2" borderId="18" xfId="2453" applyNumberFormat="1" applyFont="1" applyFill="1" applyBorder="1" applyAlignment="1">
      <alignment horizontal="center" vertical="center"/>
    </xf>
    <xf numFmtId="0" fontId="26" fillId="0" borderId="4" xfId="2453" applyNumberFormat="1" applyFont="1" applyBorder="1" applyAlignment="1">
      <alignment horizontal="center" vertical="center"/>
    </xf>
    <xf numFmtId="0" fontId="26" fillId="0" borderId="6" xfId="2453" applyNumberFormat="1" applyFont="1" applyBorder="1" applyAlignment="1">
      <alignment horizontal="center" vertical="center"/>
    </xf>
    <xf numFmtId="0" fontId="28" fillId="0" borderId="6" xfId="0" applyFont="1" applyBorder="1" applyAlignment="1">
      <alignment horizontal="center" vertical="center"/>
    </xf>
    <xf numFmtId="0" fontId="28" fillId="0" borderId="4" xfId="0" applyFont="1" applyBorder="1" applyAlignment="1">
      <alignment horizontal="center" vertical="center"/>
    </xf>
    <xf numFmtId="0" fontId="28" fillId="5" borderId="4" xfId="0" applyFont="1" applyFill="1" applyBorder="1" applyAlignment="1">
      <alignment horizontal="center" vertical="center" wrapText="1"/>
    </xf>
    <xf numFmtId="0" fontId="28" fillId="5" borderId="14" xfId="0" applyFont="1" applyFill="1" applyBorder="1" applyAlignment="1">
      <alignment horizontal="center" vertical="center" wrapText="1"/>
    </xf>
    <xf numFmtId="9" fontId="28" fillId="0" borderId="150" xfId="0" applyNumberFormat="1" applyFont="1" applyBorder="1" applyAlignment="1">
      <alignment horizontal="center" vertical="center"/>
    </xf>
    <xf numFmtId="0" fontId="28" fillId="5" borderId="7" xfId="0" applyFont="1" applyFill="1" applyBorder="1" applyAlignment="1">
      <alignment horizontal="center" vertical="center" wrapText="1"/>
    </xf>
    <xf numFmtId="9" fontId="101" fillId="0" borderId="24" xfId="0" applyNumberFormat="1" applyFont="1" applyBorder="1" applyAlignment="1">
      <alignment horizontal="center" vertical="center"/>
    </xf>
    <xf numFmtId="9" fontId="101" fillId="0" borderId="7" xfId="0" applyNumberFormat="1" applyFont="1" applyBorder="1" applyAlignment="1">
      <alignment horizontal="center" vertical="center"/>
    </xf>
    <xf numFmtId="9" fontId="101" fillId="0" borderId="34" xfId="0" applyNumberFormat="1" applyFont="1" applyBorder="1" applyAlignment="1">
      <alignment horizontal="center" vertical="center"/>
    </xf>
    <xf numFmtId="0" fontId="28" fillId="0" borderId="0" xfId="0" applyFont="1" applyFill="1" applyBorder="1" applyAlignment="1">
      <alignment vertical="center" wrapText="1"/>
    </xf>
    <xf numFmtId="9" fontId="28" fillId="3" borderId="23" xfId="0" applyNumberFormat="1" applyFont="1" applyFill="1" applyBorder="1" applyAlignment="1">
      <alignment horizontal="center" vertical="center"/>
    </xf>
    <xf numFmtId="9" fontId="28" fillId="3" borderId="17" xfId="0" applyNumberFormat="1" applyFont="1" applyFill="1" applyBorder="1" applyAlignment="1">
      <alignment horizontal="center" vertical="center"/>
    </xf>
    <xf numFmtId="0" fontId="27" fillId="3" borderId="15" xfId="2453" applyFont="1" applyFill="1" applyBorder="1" applyAlignment="1">
      <alignment horizontal="center" vertical="center" wrapText="1"/>
    </xf>
    <xf numFmtId="0" fontId="27" fillId="3" borderId="20" xfId="2453" applyFont="1" applyFill="1" applyBorder="1" applyAlignment="1">
      <alignment horizontal="center" vertical="center"/>
    </xf>
    <xf numFmtId="9" fontId="28" fillId="2" borderId="154" xfId="2453" applyNumberFormat="1" applyFont="1" applyFill="1" applyBorder="1" applyAlignment="1">
      <alignment horizontal="center" vertical="center"/>
    </xf>
    <xf numFmtId="9" fontId="28" fillId="2" borderId="50" xfId="2453" applyNumberFormat="1" applyFont="1" applyFill="1" applyBorder="1" applyAlignment="1">
      <alignment horizontal="center" vertical="center"/>
    </xf>
    <xf numFmtId="9" fontId="28" fillId="2" borderId="28" xfId="2453" applyNumberFormat="1" applyFont="1" applyFill="1" applyBorder="1" applyAlignment="1">
      <alignment horizontal="center" vertical="center" wrapText="1"/>
    </xf>
    <xf numFmtId="9" fontId="28" fillId="2" borderId="70" xfId="2453" applyNumberFormat="1" applyFont="1" applyFill="1" applyBorder="1" applyAlignment="1">
      <alignment horizontal="center" vertical="center"/>
    </xf>
    <xf numFmtId="177" fontId="28" fillId="0" borderId="7" xfId="2450" applyNumberFormat="1" applyFont="1" applyFill="1" applyBorder="1" applyAlignment="1">
      <alignment horizontal="center" vertical="center"/>
    </xf>
    <xf numFmtId="9" fontId="28" fillId="0" borderId="155" xfId="2450" applyNumberFormat="1" applyFont="1" applyFill="1" applyBorder="1" applyAlignment="1">
      <alignment horizontal="center" vertical="center"/>
    </xf>
    <xf numFmtId="0" fontId="86" fillId="0" borderId="0" xfId="0" applyFont="1" applyFill="1" applyAlignment="1">
      <alignment vertical="center"/>
    </xf>
    <xf numFmtId="0" fontId="88" fillId="0" borderId="0" xfId="0" applyFont="1" applyFill="1" applyAlignment="1">
      <alignment vertical="center"/>
    </xf>
    <xf numFmtId="0" fontId="86" fillId="0" borderId="0" xfId="0" applyFont="1" applyFill="1" applyAlignment="1">
      <alignment horizontal="center" vertical="center"/>
    </xf>
    <xf numFmtId="9" fontId="100" fillId="3" borderId="7" xfId="2461" applyFont="1" applyFill="1" applyBorder="1" applyAlignment="1">
      <alignment horizontal="center" vertical="center"/>
    </xf>
    <xf numFmtId="41" fontId="28" fillId="4" borderId="46" xfId="2463" applyFont="1" applyFill="1" applyBorder="1" applyAlignment="1">
      <alignment horizontal="center" vertical="center"/>
    </xf>
    <xf numFmtId="41" fontId="28" fillId="4" borderId="6" xfId="2463" applyFont="1" applyFill="1" applyBorder="1" applyAlignment="1">
      <alignment horizontal="center" vertical="center"/>
    </xf>
    <xf numFmtId="9" fontId="28" fillId="3" borderId="7" xfId="2461" applyFont="1" applyFill="1" applyBorder="1" applyAlignment="1">
      <alignment horizontal="center" vertical="center" wrapText="1"/>
    </xf>
    <xf numFmtId="9" fontId="100" fillId="3" borderId="26" xfId="2461" applyFont="1" applyFill="1" applyBorder="1" applyAlignment="1">
      <alignment horizontal="center" vertical="center"/>
    </xf>
    <xf numFmtId="177" fontId="28" fillId="3" borderId="26" xfId="2461" applyNumberFormat="1" applyFont="1" applyFill="1" applyBorder="1" applyAlignment="1">
      <alignment horizontal="center" vertical="center"/>
    </xf>
    <xf numFmtId="0" fontId="28" fillId="5" borderId="21" xfId="0" applyFont="1" applyFill="1" applyBorder="1" applyAlignment="1">
      <alignment horizontal="center" vertical="center"/>
    </xf>
    <xf numFmtId="177" fontId="28" fillId="2" borderId="12" xfId="2461" applyNumberFormat="1" applyFont="1" applyFill="1" applyBorder="1" applyAlignment="1">
      <alignment horizontal="center" vertical="center"/>
    </xf>
    <xf numFmtId="0" fontId="100" fillId="5" borderId="21" xfId="0" applyFont="1" applyFill="1" applyBorder="1" applyAlignment="1">
      <alignment horizontal="center" vertical="center"/>
    </xf>
    <xf numFmtId="0" fontId="100" fillId="5" borderId="17" xfId="0" applyFont="1" applyFill="1" applyBorder="1" applyAlignment="1">
      <alignment horizontal="center" vertical="center"/>
    </xf>
    <xf numFmtId="9" fontId="27" fillId="5" borderId="6" xfId="2450" applyNumberFormat="1" applyFont="1" applyFill="1" applyBorder="1" applyAlignment="1">
      <alignment horizontal="center" vertical="center"/>
    </xf>
    <xf numFmtId="9" fontId="27" fillId="5" borderId="97" xfId="2450" applyNumberFormat="1" applyFont="1" applyFill="1" applyBorder="1" applyAlignment="1">
      <alignment horizontal="center" vertical="center"/>
    </xf>
    <xf numFmtId="9" fontId="27" fillId="5" borderId="9" xfId="2450" applyNumberFormat="1" applyFont="1" applyFill="1" applyBorder="1" applyAlignment="1">
      <alignment horizontal="center" vertical="center"/>
    </xf>
    <xf numFmtId="9" fontId="28" fillId="0" borderId="26" xfId="2450" applyNumberFormat="1" applyFont="1" applyFill="1" applyBorder="1" applyAlignment="1">
      <alignment horizontal="center" vertical="center"/>
    </xf>
    <xf numFmtId="0" fontId="27" fillId="5" borderId="156" xfId="2450" applyFont="1" applyFill="1" applyBorder="1" applyAlignment="1">
      <alignment horizontal="center" vertical="center"/>
    </xf>
    <xf numFmtId="9" fontId="28" fillId="0" borderId="157" xfId="2450" applyNumberFormat="1" applyFont="1" applyFill="1" applyBorder="1" applyAlignment="1">
      <alignment horizontal="center" vertical="center"/>
    </xf>
    <xf numFmtId="41" fontId="28" fillId="0" borderId="0" xfId="2453" applyNumberFormat="1" applyFont="1" applyAlignment="1">
      <alignment vertical="center"/>
    </xf>
    <xf numFmtId="9" fontId="28" fillId="0" borderId="96" xfId="2459" applyFont="1" applyFill="1" applyBorder="1" applyAlignment="1">
      <alignment horizontal="center" vertical="center"/>
    </xf>
    <xf numFmtId="0" fontId="28" fillId="5" borderId="16" xfId="2450" applyFont="1" applyFill="1" applyBorder="1" applyAlignment="1">
      <alignment horizontal="center" vertical="center"/>
    </xf>
    <xf numFmtId="0" fontId="26" fillId="3" borderId="17" xfId="2452" applyNumberFormat="1" applyFont="1" applyFill="1" applyBorder="1" applyAlignment="1">
      <alignment horizontal="center" vertical="center"/>
    </xf>
    <xf numFmtId="0" fontId="95" fillId="0" borderId="0" xfId="0" applyFont="1" applyFill="1" applyAlignment="1"/>
    <xf numFmtId="0" fontId="95" fillId="0" borderId="0" xfId="0" applyFont="1" applyAlignment="1"/>
    <xf numFmtId="0" fontId="0" fillId="0" borderId="0" xfId="0" applyAlignment="1"/>
    <xf numFmtId="0" fontId="26" fillId="0" borderId="0" xfId="0" applyFont="1" applyAlignment="1"/>
    <xf numFmtId="9" fontId="28" fillId="0" borderId="13" xfId="0" applyNumberFormat="1" applyFont="1" applyFill="1" applyBorder="1" applyAlignment="1">
      <alignment horizontal="center" vertical="center"/>
    </xf>
    <xf numFmtId="9" fontId="28" fillId="0" borderId="9" xfId="0" applyNumberFormat="1" applyFont="1" applyFill="1" applyBorder="1" applyAlignment="1">
      <alignment horizontal="center" vertical="center"/>
    </xf>
    <xf numFmtId="9" fontId="28" fillId="0" borderId="4" xfId="0" applyNumberFormat="1" applyFont="1" applyFill="1" applyBorder="1" applyAlignment="1">
      <alignment horizontal="center" vertical="center"/>
    </xf>
    <xf numFmtId="9" fontId="28" fillId="0" borderId="12" xfId="0" applyNumberFormat="1" applyFont="1" applyFill="1" applyBorder="1" applyAlignment="1">
      <alignment horizontal="center" vertical="center"/>
    </xf>
    <xf numFmtId="9" fontId="28" fillId="3" borderId="6" xfId="0" applyNumberFormat="1" applyFont="1" applyFill="1" applyBorder="1" applyAlignment="1">
      <alignment horizontal="center" vertical="center"/>
    </xf>
    <xf numFmtId="9" fontId="28" fillId="3" borderId="11" xfId="0" applyNumberFormat="1" applyFont="1" applyFill="1" applyBorder="1" applyAlignment="1">
      <alignment horizontal="center" vertical="center"/>
    </xf>
    <xf numFmtId="9" fontId="28" fillId="0" borderId="6" xfId="0" applyNumberFormat="1" applyFont="1" applyFill="1" applyBorder="1" applyAlignment="1">
      <alignment horizontal="center" vertical="center"/>
    </xf>
    <xf numFmtId="177" fontId="28" fillId="0" borderId="4" xfId="0" applyNumberFormat="1" applyFont="1" applyFill="1" applyBorder="1" applyAlignment="1">
      <alignment horizontal="center" vertical="center"/>
    </xf>
    <xf numFmtId="0" fontId="98" fillId="0" borderId="0" xfId="0" applyFont="1">
      <alignment vertical="center"/>
    </xf>
    <xf numFmtId="0" fontId="98" fillId="5" borderId="97" xfId="0" applyFont="1" applyFill="1" applyBorder="1" applyAlignment="1">
      <alignment horizontal="center" vertical="center"/>
    </xf>
    <xf numFmtId="9" fontId="98" fillId="0" borderId="4" xfId="2459" applyFont="1" applyBorder="1" applyAlignment="1">
      <alignment horizontal="center" vertical="center"/>
    </xf>
    <xf numFmtId="9" fontId="98" fillId="0" borderId="6" xfId="2459" applyFont="1" applyBorder="1" applyAlignment="1">
      <alignment horizontal="center" vertical="center"/>
    </xf>
    <xf numFmtId="9" fontId="98" fillId="0" borderId="98" xfId="2459" applyFont="1" applyBorder="1" applyAlignment="1">
      <alignment horizontal="center" vertical="center"/>
    </xf>
    <xf numFmtId="9" fontId="98" fillId="0" borderId="99" xfId="2459" applyFont="1" applyBorder="1" applyAlignment="1">
      <alignment horizontal="center" vertical="center"/>
    </xf>
    <xf numFmtId="9" fontId="28" fillId="3" borderId="28" xfId="2459" applyFont="1" applyFill="1" applyBorder="1" applyAlignment="1">
      <alignment horizontal="center" vertical="center"/>
    </xf>
    <xf numFmtId="176" fontId="28" fillId="3" borderId="17" xfId="2472" applyNumberFormat="1" applyFont="1" applyFill="1" applyBorder="1" applyAlignment="1">
      <alignment horizontal="center" vertical="center"/>
    </xf>
    <xf numFmtId="176" fontId="28" fillId="3" borderId="7" xfId="2472" applyNumberFormat="1" applyFont="1" applyFill="1" applyBorder="1" applyAlignment="1">
      <alignment horizontal="center" vertical="center" wrapText="1"/>
    </xf>
    <xf numFmtId="176" fontId="28" fillId="3" borderId="18" xfId="2472" applyNumberFormat="1" applyFont="1" applyFill="1" applyBorder="1" applyAlignment="1">
      <alignment horizontal="center" vertical="center"/>
    </xf>
    <xf numFmtId="177" fontId="28" fillId="3" borderId="23" xfId="0" applyNumberFormat="1" applyFont="1" applyFill="1" applyBorder="1" applyAlignment="1">
      <alignment horizontal="center" vertical="center"/>
    </xf>
    <xf numFmtId="41" fontId="28" fillId="0" borderId="0" xfId="2463" applyFont="1" applyBorder="1" applyAlignment="1">
      <alignment horizontal="left" vertical="center"/>
    </xf>
    <xf numFmtId="231" fontId="26" fillId="0" borderId="0" xfId="2463" applyNumberFormat="1" applyFont="1" applyAlignment="1"/>
    <xf numFmtId="0" fontId="98" fillId="5" borderId="6" xfId="0" applyFont="1" applyFill="1" applyBorder="1" applyAlignment="1">
      <alignment horizontal="center" vertical="center"/>
    </xf>
    <xf numFmtId="0" fontId="98" fillId="5" borderId="9" xfId="0" applyFont="1" applyFill="1" applyBorder="1" applyAlignment="1">
      <alignment horizontal="center" vertical="center"/>
    </xf>
    <xf numFmtId="0" fontId="98" fillId="5" borderId="22" xfId="0" applyFont="1" applyFill="1" applyBorder="1" applyAlignment="1">
      <alignment horizontal="center" vertical="center"/>
    </xf>
    <xf numFmtId="9" fontId="98" fillId="0" borderId="9" xfId="2459" applyFont="1" applyBorder="1" applyAlignment="1">
      <alignment horizontal="center" vertical="center"/>
    </xf>
    <xf numFmtId="9" fontId="98" fillId="0" borderId="22" xfId="2459" applyFont="1" applyBorder="1" applyAlignment="1">
      <alignment horizontal="center" vertical="center"/>
    </xf>
    <xf numFmtId="0" fontId="98" fillId="5" borderId="14" xfId="0" applyFont="1" applyFill="1" applyBorder="1" applyAlignment="1">
      <alignment horizontal="center" vertical="center"/>
    </xf>
    <xf numFmtId="9" fontId="98" fillId="0" borderId="14" xfId="2459" applyFont="1" applyBorder="1" applyAlignment="1">
      <alignment horizontal="center" vertical="center"/>
    </xf>
    <xf numFmtId="9" fontId="98" fillId="0" borderId="10" xfId="2459" applyFont="1" applyBorder="1" applyAlignment="1">
      <alignment horizontal="center" vertical="center"/>
    </xf>
    <xf numFmtId="176" fontId="28" fillId="3" borderId="14" xfId="2452" applyNumberFormat="1" applyFont="1" applyFill="1" applyBorder="1" applyAlignment="1">
      <alignment horizontal="center" vertical="center" wrapText="1"/>
    </xf>
    <xf numFmtId="0" fontId="28" fillId="3" borderId="4" xfId="2450" applyFont="1" applyFill="1" applyBorder="1" applyAlignment="1">
      <alignment horizontal="center" vertical="center"/>
    </xf>
    <xf numFmtId="0" fontId="28" fillId="3" borderId="10" xfId="0" applyFont="1" applyFill="1" applyBorder="1" applyAlignment="1">
      <alignment horizontal="center" vertical="center"/>
    </xf>
    <xf numFmtId="0" fontId="28" fillId="3" borderId="6" xfId="2450" applyFont="1" applyFill="1" applyBorder="1" applyAlignment="1">
      <alignment horizontal="center" vertical="center"/>
    </xf>
    <xf numFmtId="0" fontId="28" fillId="0" borderId="0" xfId="2450" applyFont="1" applyBorder="1" applyAlignment="1">
      <alignment horizontal="center" vertical="center"/>
    </xf>
    <xf numFmtId="177" fontId="28" fillId="0" borderId="0" xfId="2461" applyNumberFormat="1" applyFont="1" applyAlignment="1">
      <alignment vertical="center"/>
    </xf>
    <xf numFmtId="9" fontId="28" fillId="0" borderId="0" xfId="2461" applyFont="1" applyAlignment="1">
      <alignment vertical="center"/>
    </xf>
    <xf numFmtId="9" fontId="28" fillId="3" borderId="12" xfId="2467" applyNumberFormat="1" applyFont="1" applyFill="1" applyBorder="1" applyAlignment="1">
      <alignment horizontal="center" vertical="center"/>
    </xf>
    <xf numFmtId="9" fontId="32" fillId="0" borderId="0" xfId="2473" applyFont="1" applyAlignment="1">
      <alignment horizontal="left" vertical="center"/>
    </xf>
    <xf numFmtId="9" fontId="28" fillId="3" borderId="58" xfId="2473" applyFont="1" applyFill="1" applyBorder="1" applyAlignment="1">
      <alignment horizontal="center" vertical="center" wrapText="1"/>
    </xf>
    <xf numFmtId="9" fontId="28" fillId="3" borderId="7" xfId="2473" applyFont="1" applyFill="1" applyBorder="1" applyAlignment="1">
      <alignment horizontal="center" vertical="center" wrapText="1"/>
    </xf>
    <xf numFmtId="9" fontId="28" fillId="3" borderId="18" xfId="2473" applyFont="1" applyFill="1" applyBorder="1" applyAlignment="1">
      <alignment horizontal="center" vertical="center" wrapText="1"/>
    </xf>
    <xf numFmtId="9" fontId="28" fillId="3" borderId="26" xfId="2461" applyFont="1" applyFill="1" applyBorder="1" applyAlignment="1">
      <alignment horizontal="center" vertical="center" wrapText="1"/>
    </xf>
    <xf numFmtId="9" fontId="28" fillId="3" borderId="4" xfId="2473" applyFont="1" applyFill="1" applyBorder="1" applyAlignment="1">
      <alignment horizontal="center" vertical="center"/>
    </xf>
    <xf numFmtId="9" fontId="28" fillId="3" borderId="6" xfId="2473" applyFont="1" applyFill="1" applyBorder="1" applyAlignment="1">
      <alignment horizontal="center" vertical="center"/>
    </xf>
    <xf numFmtId="9" fontId="28" fillId="3" borderId="12" xfId="2473" applyFont="1" applyFill="1" applyBorder="1" applyAlignment="1">
      <alignment horizontal="center" vertical="center"/>
    </xf>
    <xf numFmtId="177" fontId="28" fillId="3" borderId="6" xfId="2473" applyNumberFormat="1" applyFont="1" applyFill="1" applyBorder="1" applyAlignment="1">
      <alignment horizontal="center" vertical="center"/>
    </xf>
    <xf numFmtId="9" fontId="28" fillId="3" borderId="7" xfId="2473" applyFont="1" applyFill="1" applyBorder="1" applyAlignment="1">
      <alignment horizontal="center" vertical="center"/>
    </xf>
    <xf numFmtId="9" fontId="28" fillId="3" borderId="18" xfId="2473" applyFont="1" applyFill="1" applyBorder="1" applyAlignment="1">
      <alignment horizontal="center" vertical="center"/>
    </xf>
    <xf numFmtId="9" fontId="28" fillId="0" borderId="0" xfId="2473" applyFont="1" applyBorder="1" applyAlignment="1">
      <alignment vertical="center"/>
    </xf>
    <xf numFmtId="9" fontId="28" fillId="0" borderId="0" xfId="2473" applyFont="1" applyBorder="1" applyAlignment="1">
      <alignment horizontal="center" vertical="center"/>
    </xf>
    <xf numFmtId="9" fontId="27" fillId="0" borderId="0" xfId="2473" applyFont="1" applyBorder="1" applyAlignment="1">
      <alignment vertical="center"/>
    </xf>
    <xf numFmtId="9" fontId="29" fillId="0" borderId="0" xfId="2473" applyFont="1" applyBorder="1" applyAlignment="1">
      <alignment vertical="center"/>
    </xf>
    <xf numFmtId="9" fontId="28" fillId="0" borderId="0" xfId="2473" applyFont="1" applyAlignment="1">
      <alignment vertical="center"/>
    </xf>
    <xf numFmtId="9" fontId="28" fillId="0" borderId="0" xfId="2473" applyFont="1" applyAlignment="1">
      <alignment horizontal="center" vertical="center"/>
    </xf>
    <xf numFmtId="9" fontId="29" fillId="0" borderId="0" xfId="2473" applyFont="1" applyAlignment="1">
      <alignment vertical="center"/>
    </xf>
    <xf numFmtId="9" fontId="19" fillId="0" borderId="0" xfId="2473" applyFont="1" applyAlignment="1">
      <alignment vertical="center"/>
    </xf>
    <xf numFmtId="9" fontId="19" fillId="0" borderId="0" xfId="2473" applyFont="1" applyAlignment="1">
      <alignment horizontal="center" vertical="center"/>
    </xf>
    <xf numFmtId="176" fontId="28" fillId="4" borderId="29" xfId="2453" applyNumberFormat="1" applyFont="1" applyFill="1" applyBorder="1" applyAlignment="1">
      <alignment horizontal="right" vertical="center"/>
    </xf>
    <xf numFmtId="9" fontId="28" fillId="2" borderId="6" xfId="216" applyNumberFormat="1" applyFont="1" applyFill="1" applyBorder="1" applyAlignment="1">
      <alignment horizontal="center" vertical="center"/>
    </xf>
    <xf numFmtId="176" fontId="28" fillId="4" borderId="6" xfId="2453" applyNumberFormat="1" applyFont="1" applyFill="1" applyBorder="1" applyAlignment="1">
      <alignment horizontal="right" vertical="center"/>
    </xf>
    <xf numFmtId="9" fontId="28" fillId="0" borderId="26" xfId="216" applyNumberFormat="1" applyFont="1" applyFill="1" applyBorder="1" applyAlignment="1">
      <alignment horizontal="center" vertical="center"/>
    </xf>
    <xf numFmtId="9" fontId="28" fillId="2" borderId="26" xfId="216" applyNumberFormat="1" applyFont="1" applyFill="1" applyBorder="1" applyAlignment="1">
      <alignment horizontal="center" vertical="center"/>
    </xf>
    <xf numFmtId="9" fontId="28" fillId="0" borderId="6" xfId="216" applyNumberFormat="1" applyFont="1" applyFill="1" applyBorder="1" applyAlignment="1">
      <alignment horizontal="center" vertical="center"/>
    </xf>
    <xf numFmtId="177" fontId="28" fillId="2" borderId="26" xfId="216" applyNumberFormat="1" applyFont="1" applyFill="1" applyBorder="1" applyAlignment="1">
      <alignment horizontal="center" vertical="center"/>
    </xf>
    <xf numFmtId="0" fontId="28" fillId="0" borderId="26" xfId="0" applyFont="1" applyFill="1" applyBorder="1" applyAlignment="1">
      <alignment horizontal="center" vertical="center"/>
    </xf>
    <xf numFmtId="10" fontId="28" fillId="3" borderId="7" xfId="2461" applyNumberFormat="1" applyFont="1" applyFill="1" applyBorder="1" applyAlignment="1">
      <alignment horizontal="center" vertical="center"/>
    </xf>
    <xf numFmtId="176" fontId="28" fillId="3" borderId="7" xfId="2457" applyNumberFormat="1" applyFont="1" applyFill="1" applyBorder="1" applyAlignment="1">
      <alignment horizontal="center" vertical="center"/>
    </xf>
    <xf numFmtId="176" fontId="28" fillId="3" borderId="24" xfId="2457" applyNumberFormat="1" applyFont="1" applyFill="1" applyBorder="1" applyAlignment="1">
      <alignment horizontal="center" vertical="center"/>
    </xf>
    <xf numFmtId="0" fontId="28" fillId="3" borderId="46" xfId="0" quotePrefix="1" applyNumberFormat="1" applyFont="1" applyFill="1" applyBorder="1" applyAlignment="1">
      <alignment horizontal="center" vertical="center"/>
    </xf>
    <xf numFmtId="9" fontId="28" fillId="0" borderId="48" xfId="2461" applyNumberFormat="1" applyFont="1" applyFill="1" applyBorder="1" applyAlignment="1">
      <alignment horizontal="center" vertical="center"/>
    </xf>
    <xf numFmtId="9" fontId="28" fillId="0" borderId="14" xfId="2461" applyNumberFormat="1" applyFont="1" applyFill="1" applyBorder="1" applyAlignment="1">
      <alignment horizontal="center" vertical="center"/>
    </xf>
    <xf numFmtId="9" fontId="28" fillId="0" borderId="15" xfId="2461" applyNumberFormat="1" applyFont="1" applyFill="1" applyBorder="1" applyAlignment="1">
      <alignment horizontal="center" vertical="center"/>
    </xf>
    <xf numFmtId="9" fontId="28" fillId="0" borderId="6" xfId="2461" applyNumberFormat="1" applyFont="1" applyFill="1" applyBorder="1" applyAlignment="1">
      <alignment horizontal="center" vertical="center"/>
    </xf>
    <xf numFmtId="9" fontId="28" fillId="0" borderId="97" xfId="2461" applyNumberFormat="1" applyFont="1" applyFill="1" applyBorder="1" applyAlignment="1">
      <alignment horizontal="center" vertical="center"/>
    </xf>
    <xf numFmtId="9" fontId="28" fillId="0" borderId="60" xfId="2461" applyNumberFormat="1" applyFont="1" applyFill="1" applyBorder="1" applyAlignment="1">
      <alignment horizontal="center" vertical="center"/>
    </xf>
    <xf numFmtId="0" fontId="28" fillId="3" borderId="55" xfId="0" applyFont="1" applyFill="1" applyBorder="1" applyAlignment="1">
      <alignment horizontal="center" vertical="center"/>
    </xf>
    <xf numFmtId="9" fontId="28" fillId="0" borderId="7" xfId="2461" applyNumberFormat="1" applyFont="1" applyFill="1" applyBorder="1" applyAlignment="1">
      <alignment horizontal="center" vertical="center"/>
    </xf>
    <xf numFmtId="9" fontId="28" fillId="0" borderId="26" xfId="2461" applyNumberFormat="1" applyFont="1" applyFill="1" applyBorder="1" applyAlignment="1">
      <alignment horizontal="center" vertical="center"/>
    </xf>
    <xf numFmtId="9" fontId="28" fillId="0" borderId="34" xfId="2461" applyNumberFormat="1" applyFont="1" applyFill="1" applyBorder="1" applyAlignment="1">
      <alignment horizontal="center" vertical="center"/>
    </xf>
    <xf numFmtId="41" fontId="28" fillId="4" borderId="19" xfId="2474" applyFont="1" applyFill="1" applyBorder="1" applyAlignment="1">
      <alignment horizontal="center" vertical="center"/>
    </xf>
    <xf numFmtId="41" fontId="28" fillId="4" borderId="4" xfId="2463" applyFont="1" applyFill="1" applyBorder="1" applyAlignment="1">
      <alignment horizontal="center" vertical="center"/>
    </xf>
    <xf numFmtId="41" fontId="28" fillId="4" borderId="32" xfId="2474" applyFont="1" applyFill="1" applyBorder="1" applyAlignment="1">
      <alignment horizontal="center" vertical="center"/>
    </xf>
    <xf numFmtId="177" fontId="100" fillId="3" borderId="4" xfId="2452" applyNumberFormat="1" applyFont="1" applyFill="1" applyBorder="1" applyAlignment="1">
      <alignment horizontal="center" vertical="center"/>
    </xf>
    <xf numFmtId="177" fontId="100" fillId="3" borderId="12" xfId="2452" applyNumberFormat="1" applyFont="1" applyFill="1" applyBorder="1" applyAlignment="1">
      <alignment horizontal="center" vertical="center"/>
    </xf>
    <xf numFmtId="3" fontId="100" fillId="3" borderId="7" xfId="2452" applyNumberFormat="1" applyFont="1" applyFill="1" applyBorder="1" applyAlignment="1">
      <alignment horizontal="center" vertical="center"/>
    </xf>
    <xf numFmtId="177" fontId="100" fillId="3" borderId="18" xfId="2467" applyNumberFormat="1" applyFont="1" applyFill="1" applyBorder="1" applyAlignment="1">
      <alignment horizontal="center" vertical="center"/>
    </xf>
    <xf numFmtId="0" fontId="27" fillId="3" borderId="16" xfId="2453" applyFont="1" applyFill="1" applyBorder="1" applyAlignment="1">
      <alignment horizontal="center" vertical="center"/>
    </xf>
    <xf numFmtId="0" fontId="27" fillId="5" borderId="21" xfId="2450" applyFont="1" applyFill="1" applyBorder="1" applyAlignment="1">
      <alignment horizontal="center" vertical="center"/>
    </xf>
    <xf numFmtId="177" fontId="106" fillId="4" borderId="52" xfId="2452" applyNumberFormat="1" applyFont="1" applyFill="1" applyBorder="1" applyAlignment="1">
      <alignment horizontal="center" vertical="center"/>
    </xf>
    <xf numFmtId="0" fontId="28" fillId="0" borderId="12" xfId="2450" applyFont="1" applyFill="1" applyBorder="1" applyAlignment="1">
      <alignment horizontal="center" vertical="center"/>
    </xf>
    <xf numFmtId="176" fontId="28" fillId="3" borderId="62" xfId="2453" applyNumberFormat="1" applyFont="1" applyFill="1" applyBorder="1" applyAlignment="1">
      <alignment horizontal="center" vertical="center"/>
    </xf>
    <xf numFmtId="9" fontId="28" fillId="3" borderId="16" xfId="0" applyNumberFormat="1" applyFont="1" applyFill="1" applyBorder="1" applyAlignment="1">
      <alignment horizontal="center" vertical="center"/>
    </xf>
    <xf numFmtId="0" fontId="28" fillId="2" borderId="33" xfId="2450" applyFont="1" applyFill="1" applyBorder="1" applyAlignment="1">
      <alignment horizontal="center" vertical="center"/>
    </xf>
    <xf numFmtId="0" fontId="28" fillId="2" borderId="15" xfId="2450" applyFont="1" applyFill="1" applyBorder="1" applyAlignment="1">
      <alignment horizontal="center" vertical="center"/>
    </xf>
    <xf numFmtId="0" fontId="27" fillId="5" borderId="32" xfId="2450" applyFont="1" applyFill="1" applyBorder="1" applyAlignment="1">
      <alignment horizontal="center" vertical="center"/>
    </xf>
    <xf numFmtId="0" fontId="27" fillId="5" borderId="16" xfId="2450" applyFont="1" applyFill="1" applyBorder="1" applyAlignment="1">
      <alignment horizontal="center" vertical="center"/>
    </xf>
    <xf numFmtId="0" fontId="27" fillId="5" borderId="25" xfId="2450" applyFont="1" applyFill="1" applyBorder="1" applyAlignment="1">
      <alignment horizontal="center" vertical="center"/>
    </xf>
    <xf numFmtId="0" fontId="27" fillId="5" borderId="17" xfId="2450" applyFont="1" applyFill="1" applyBorder="1" applyAlignment="1">
      <alignment horizontal="center" vertical="center"/>
    </xf>
    <xf numFmtId="0" fontId="28" fillId="0" borderId="0" xfId="2450" applyFont="1" applyBorder="1" applyAlignment="1">
      <alignment horizontal="center" vertical="center"/>
    </xf>
    <xf numFmtId="9" fontId="28" fillId="0" borderId="27" xfId="2450" applyNumberFormat="1" applyFont="1" applyFill="1" applyBorder="1" applyAlignment="1">
      <alignment horizontal="center" vertical="center"/>
    </xf>
    <xf numFmtId="0" fontId="95" fillId="0" borderId="0" xfId="2450" applyFont="1" applyFill="1">
      <alignment vertical="center"/>
    </xf>
    <xf numFmtId="0" fontId="95" fillId="0" borderId="0" xfId="2450" applyFont="1">
      <alignment vertical="center"/>
    </xf>
    <xf numFmtId="0" fontId="28" fillId="3" borderId="12" xfId="2450" applyFont="1" applyFill="1" applyBorder="1" applyAlignment="1">
      <alignment horizontal="center" vertical="center"/>
    </xf>
    <xf numFmtId="0" fontId="27" fillId="0" borderId="0" xfId="2450" applyFont="1" applyAlignment="1">
      <alignment horizontal="center" vertical="center"/>
    </xf>
    <xf numFmtId="9" fontId="105" fillId="8" borderId="7" xfId="2461" applyNumberFormat="1" applyFont="1" applyFill="1" applyBorder="1" applyAlignment="1">
      <alignment horizontal="center" vertical="center"/>
    </xf>
    <xf numFmtId="176" fontId="28" fillId="3" borderId="17" xfId="2475" applyNumberFormat="1" applyFont="1" applyFill="1" applyBorder="1" applyAlignment="1">
      <alignment horizontal="center" vertical="center"/>
    </xf>
    <xf numFmtId="176" fontId="28" fillId="3" borderId="7" xfId="2475" applyNumberFormat="1" applyFont="1" applyFill="1" applyBorder="1" applyAlignment="1">
      <alignment horizontal="center" vertical="center" wrapText="1"/>
    </xf>
    <xf numFmtId="176" fontId="28" fillId="3" borderId="18" xfId="2475" applyNumberFormat="1" applyFont="1" applyFill="1" applyBorder="1" applyAlignment="1">
      <alignment horizontal="center" vertical="center"/>
    </xf>
    <xf numFmtId="177" fontId="28" fillId="3" borderId="18" xfId="2452" applyNumberFormat="1" applyFont="1" applyFill="1" applyBorder="1" applyAlignment="1">
      <alignment horizontal="center" vertical="center"/>
    </xf>
    <xf numFmtId="10" fontId="100" fillId="3" borderId="12" xfId="2452" applyNumberFormat="1" applyFont="1" applyFill="1" applyBorder="1" applyAlignment="1">
      <alignment horizontal="center" vertical="center"/>
    </xf>
    <xf numFmtId="177" fontId="100" fillId="3" borderId="18" xfId="2452" applyNumberFormat="1" applyFont="1" applyFill="1" applyBorder="1" applyAlignment="1">
      <alignment horizontal="center" vertical="center"/>
    </xf>
    <xf numFmtId="0" fontId="19" fillId="0" borderId="0" xfId="2450" applyFont="1" applyAlignment="1">
      <alignment vertical="center"/>
    </xf>
    <xf numFmtId="0" fontId="88" fillId="0" borderId="0" xfId="2450" applyFont="1" applyAlignment="1">
      <alignment vertical="center"/>
    </xf>
    <xf numFmtId="0" fontId="28" fillId="0" borderId="0" xfId="2450" applyFont="1" applyAlignment="1">
      <alignment horizontal="left" vertical="center"/>
    </xf>
    <xf numFmtId="0" fontId="19" fillId="0" borderId="0" xfId="2450" applyFont="1" applyAlignment="1">
      <alignment horizontal="left" vertical="center"/>
    </xf>
    <xf numFmtId="0" fontId="28" fillId="2" borderId="6" xfId="2450" applyFont="1" applyFill="1" applyBorder="1" applyAlignment="1">
      <alignment horizontal="left" vertical="center"/>
    </xf>
    <xf numFmtId="0" fontId="28" fillId="2" borderId="3" xfId="2450" applyFont="1" applyFill="1" applyBorder="1" applyAlignment="1">
      <alignment vertical="center"/>
    </xf>
    <xf numFmtId="0" fontId="28" fillId="2" borderId="6" xfId="2450" applyFont="1" applyFill="1" applyBorder="1" applyAlignment="1">
      <alignment horizontal="center" vertical="center"/>
    </xf>
    <xf numFmtId="0" fontId="28" fillId="2" borderId="9" xfId="2450" applyFont="1" applyFill="1" applyBorder="1" applyAlignment="1">
      <alignment vertical="center"/>
    </xf>
    <xf numFmtId="0" fontId="28" fillId="2" borderId="3" xfId="2450" applyFont="1" applyFill="1" applyBorder="1" applyAlignment="1">
      <alignment horizontal="left" vertical="center"/>
    </xf>
    <xf numFmtId="0" fontId="28" fillId="2" borderId="4" xfId="2450" applyFont="1" applyFill="1" applyBorder="1" applyAlignment="1">
      <alignment horizontal="center" vertical="center"/>
    </xf>
    <xf numFmtId="0" fontId="28" fillId="2" borderId="36" xfId="2450" applyFont="1" applyFill="1" applyBorder="1" applyAlignment="1">
      <alignment horizontal="left" vertical="center"/>
    </xf>
    <xf numFmtId="0" fontId="28" fillId="2" borderId="0" xfId="2450" applyFont="1" applyFill="1" applyBorder="1" applyAlignment="1">
      <alignment horizontal="left" vertical="center"/>
    </xf>
    <xf numFmtId="0" fontId="28" fillId="2" borderId="35" xfId="2450" applyFont="1" applyFill="1" applyBorder="1" applyAlignment="1">
      <alignment horizontal="left" vertical="center"/>
    </xf>
    <xf numFmtId="0" fontId="28" fillId="2" borderId="46" xfId="2450" applyFont="1" applyFill="1" applyBorder="1" applyAlignment="1">
      <alignment horizontal="left" vertical="center"/>
    </xf>
    <xf numFmtId="0" fontId="28" fillId="2" borderId="51" xfId="2450" applyFont="1" applyFill="1" applyBorder="1" applyAlignment="1">
      <alignment horizontal="left" vertical="center"/>
    </xf>
    <xf numFmtId="0" fontId="29" fillId="0" borderId="0" xfId="2450" applyFont="1" applyBorder="1" applyAlignment="1">
      <alignment horizontal="center" vertical="center"/>
    </xf>
    <xf numFmtId="9" fontId="28" fillId="3" borderId="25" xfId="2450" applyNumberFormat="1" applyFont="1" applyFill="1" applyBorder="1" applyAlignment="1">
      <alignment horizontal="center" vertical="center"/>
    </xf>
    <xf numFmtId="9" fontId="28" fillId="3" borderId="16" xfId="2450" applyNumberFormat="1" applyFont="1" applyFill="1" applyBorder="1" applyAlignment="1">
      <alignment horizontal="center" vertical="center"/>
    </xf>
    <xf numFmtId="9" fontId="28" fillId="3" borderId="29" xfId="2450" applyNumberFormat="1" applyFont="1" applyFill="1" applyBorder="1" applyAlignment="1">
      <alignment horizontal="center" vertical="center"/>
    </xf>
    <xf numFmtId="176" fontId="28" fillId="3" borderId="18" xfId="2450" applyNumberFormat="1" applyFont="1" applyFill="1" applyBorder="1" applyAlignment="1">
      <alignment horizontal="center" vertical="center" wrapText="1"/>
    </xf>
    <xf numFmtId="176" fontId="28" fillId="3" borderId="58" xfId="2450" applyNumberFormat="1" applyFont="1" applyFill="1" applyBorder="1" applyAlignment="1">
      <alignment horizontal="center" vertical="center" wrapText="1"/>
    </xf>
    <xf numFmtId="176" fontId="28" fillId="3" borderId="78" xfId="2450" applyNumberFormat="1" applyFont="1" applyFill="1" applyBorder="1" applyAlignment="1">
      <alignment horizontal="center" vertical="center" wrapText="1"/>
    </xf>
    <xf numFmtId="176" fontId="28" fillId="3" borderId="7" xfId="2450" applyNumberFormat="1" applyFont="1" applyFill="1" applyBorder="1" applyAlignment="1">
      <alignment horizontal="center" vertical="center"/>
    </xf>
    <xf numFmtId="176" fontId="28" fillId="3" borderId="26" xfId="2450" applyNumberFormat="1" applyFont="1" applyFill="1" applyBorder="1" applyAlignment="1">
      <alignment horizontal="center" vertical="center"/>
    </xf>
    <xf numFmtId="176" fontId="28" fillId="3" borderId="59" xfId="2450" applyNumberFormat="1" applyFont="1" applyFill="1" applyBorder="1" applyAlignment="1">
      <alignment horizontal="center" vertical="center"/>
    </xf>
    <xf numFmtId="176" fontId="28" fillId="3" borderId="24" xfId="2450" applyNumberFormat="1" applyFont="1" applyFill="1" applyBorder="1" applyAlignment="1">
      <alignment horizontal="center" vertical="center"/>
    </xf>
    <xf numFmtId="176" fontId="28" fillId="4" borderId="19" xfId="2450" applyNumberFormat="1" applyFont="1" applyFill="1" applyBorder="1" applyAlignment="1">
      <alignment horizontal="right" vertical="center"/>
    </xf>
    <xf numFmtId="176" fontId="28" fillId="4" borderId="15" xfId="2450" applyNumberFormat="1" applyFont="1" applyFill="1" applyBorder="1" applyAlignment="1">
      <alignment horizontal="right" vertical="center"/>
    </xf>
    <xf numFmtId="176" fontId="28" fillId="4" borderId="46" xfId="2450" applyNumberFormat="1" applyFont="1" applyFill="1" applyBorder="1" applyAlignment="1">
      <alignment horizontal="right" vertical="center"/>
    </xf>
    <xf numFmtId="176" fontId="28" fillId="4" borderId="20" xfId="2450" applyNumberFormat="1" applyFont="1" applyFill="1" applyBorder="1" applyAlignment="1">
      <alignment horizontal="right" vertical="center"/>
    </xf>
    <xf numFmtId="176" fontId="28" fillId="4" borderId="32" xfId="2450" applyNumberFormat="1" applyFont="1" applyFill="1" applyBorder="1" applyAlignment="1">
      <alignment horizontal="right" vertical="center"/>
    </xf>
    <xf numFmtId="176" fontId="28" fillId="4" borderId="25" xfId="2450" applyNumberFormat="1" applyFont="1" applyFill="1" applyBorder="1" applyAlignment="1">
      <alignment horizontal="right" vertical="center"/>
    </xf>
    <xf numFmtId="176" fontId="28" fillId="4" borderId="16" xfId="2450" applyNumberFormat="1" applyFont="1" applyFill="1" applyBorder="1" applyAlignment="1">
      <alignment horizontal="right" vertical="center"/>
    </xf>
    <xf numFmtId="176" fontId="28" fillId="4" borderId="8" xfId="2450" applyNumberFormat="1" applyFont="1" applyFill="1" applyBorder="1" applyAlignment="1">
      <alignment horizontal="right" vertical="center"/>
    </xf>
    <xf numFmtId="9" fontId="28" fillId="3" borderId="21" xfId="2450" applyNumberFormat="1" applyFont="1" applyFill="1" applyBorder="1" applyAlignment="1">
      <alignment horizontal="center" vertical="center"/>
    </xf>
    <xf numFmtId="9" fontId="28" fillId="3" borderId="4" xfId="2450" applyNumberFormat="1" applyFont="1" applyFill="1" applyBorder="1" applyAlignment="1">
      <alignment horizontal="center" vertical="center"/>
    </xf>
    <xf numFmtId="177" fontId="28" fillId="0" borderId="21" xfId="2450" applyNumberFormat="1" applyFont="1" applyBorder="1" applyAlignment="1">
      <alignment horizontal="center" vertical="center"/>
    </xf>
    <xf numFmtId="177" fontId="28" fillId="0" borderId="4" xfId="2450" applyNumberFormat="1" applyFont="1" applyBorder="1" applyAlignment="1">
      <alignment horizontal="center" vertical="center"/>
    </xf>
    <xf numFmtId="177" fontId="28" fillId="0" borderId="12" xfId="2450" applyNumberFormat="1" applyFont="1" applyBorder="1" applyAlignment="1">
      <alignment horizontal="center" vertical="center"/>
    </xf>
    <xf numFmtId="177" fontId="28" fillId="0" borderId="9" xfId="2450" applyNumberFormat="1" applyFont="1" applyBorder="1" applyAlignment="1">
      <alignment horizontal="center" vertical="center"/>
    </xf>
    <xf numFmtId="177" fontId="28" fillId="0" borderId="6" xfId="2450" applyNumberFormat="1" applyFont="1" applyBorder="1" applyAlignment="1">
      <alignment horizontal="center" vertical="center"/>
    </xf>
    <xf numFmtId="176" fontId="28" fillId="4" borderId="21" xfId="2450" applyNumberFormat="1" applyFont="1" applyFill="1" applyBorder="1" applyAlignment="1">
      <alignment horizontal="right" vertical="center"/>
    </xf>
    <xf numFmtId="176" fontId="28" fillId="4" borderId="4" xfId="2450" applyNumberFormat="1" applyFont="1" applyFill="1" applyBorder="1" applyAlignment="1">
      <alignment horizontal="right" vertical="center"/>
    </xf>
    <xf numFmtId="176" fontId="28" fillId="4" borderId="12" xfId="2450" applyNumberFormat="1" applyFont="1" applyFill="1" applyBorder="1" applyAlignment="1">
      <alignment horizontal="right" vertical="center"/>
    </xf>
    <xf numFmtId="176" fontId="28" fillId="4" borderId="9" xfId="2450" applyNumberFormat="1" applyFont="1" applyFill="1" applyBorder="1" applyAlignment="1">
      <alignment horizontal="right" vertical="center"/>
    </xf>
    <xf numFmtId="176" fontId="28" fillId="4" borderId="6" xfId="2450" applyNumberFormat="1" applyFont="1" applyFill="1" applyBorder="1" applyAlignment="1">
      <alignment horizontal="right" vertical="center"/>
    </xf>
    <xf numFmtId="9" fontId="106" fillId="3" borderId="17" xfId="2450" applyNumberFormat="1" applyFont="1" applyFill="1" applyBorder="1" applyAlignment="1">
      <alignment horizontal="center" vertical="center"/>
    </xf>
    <xf numFmtId="9" fontId="28" fillId="3" borderId="7" xfId="2450" applyNumberFormat="1" applyFont="1" applyFill="1" applyBorder="1" applyAlignment="1">
      <alignment horizontal="center" vertical="center"/>
    </xf>
    <xf numFmtId="177" fontId="28" fillId="0" borderId="17" xfId="2450" applyNumberFormat="1" applyFont="1" applyBorder="1" applyAlignment="1">
      <alignment horizontal="center" vertical="center"/>
    </xf>
    <xf numFmtId="177" fontId="28" fillId="0" borderId="7" xfId="2450" applyNumberFormat="1" applyFont="1" applyBorder="1" applyAlignment="1">
      <alignment horizontal="center" vertical="center"/>
    </xf>
    <xf numFmtId="177" fontId="28" fillId="0" borderId="18" xfId="2450" applyNumberFormat="1" applyFont="1" applyBorder="1" applyAlignment="1">
      <alignment horizontal="center" vertical="center"/>
    </xf>
    <xf numFmtId="177" fontId="28" fillId="0" borderId="26" xfId="2450" applyNumberFormat="1" applyFont="1" applyBorder="1" applyAlignment="1">
      <alignment horizontal="center" vertical="center"/>
    </xf>
    <xf numFmtId="0" fontId="102" fillId="0" borderId="0" xfId="2450" applyFont="1" applyAlignment="1">
      <alignment vertical="center"/>
    </xf>
    <xf numFmtId="0" fontId="29" fillId="0" borderId="0" xfId="2450" applyFont="1" applyAlignment="1">
      <alignment vertical="center"/>
    </xf>
    <xf numFmtId="176" fontId="28" fillId="3" borderId="62" xfId="2475" applyNumberFormat="1" applyFont="1" applyFill="1" applyBorder="1" applyAlignment="1">
      <alignment horizontal="center" vertical="center"/>
    </xf>
    <xf numFmtId="176" fontId="28" fillId="3" borderId="14" xfId="2475" applyNumberFormat="1" applyFont="1" applyFill="1" applyBorder="1" applyAlignment="1">
      <alignment horizontal="center" vertical="center" wrapText="1"/>
    </xf>
    <xf numFmtId="176" fontId="28" fillId="3" borderId="27" xfId="2475" applyNumberFormat="1" applyFont="1" applyFill="1" applyBorder="1" applyAlignment="1">
      <alignment horizontal="center" vertical="center"/>
    </xf>
    <xf numFmtId="9" fontId="28" fillId="8" borderId="28" xfId="2452" applyNumberFormat="1" applyFont="1" applyFill="1" applyBorder="1" applyAlignment="1">
      <alignment horizontal="center" vertical="center" wrapText="1"/>
    </xf>
    <xf numFmtId="0" fontId="30" fillId="0" borderId="0" xfId="2451" applyFont="1" applyFill="1" applyAlignment="1">
      <alignment vertical="center"/>
    </xf>
    <xf numFmtId="9" fontId="28" fillId="3" borderId="6" xfId="2473" applyNumberFormat="1" applyFont="1" applyFill="1" applyBorder="1" applyAlignment="1">
      <alignment horizontal="center" vertical="center"/>
    </xf>
    <xf numFmtId="176" fontId="105" fillId="8" borderId="30" xfId="2452" applyNumberFormat="1" applyFont="1" applyFill="1" applyBorder="1" applyAlignment="1">
      <alignment horizontal="center" vertical="center" wrapText="1"/>
    </xf>
    <xf numFmtId="0" fontId="28" fillId="3" borderId="46" xfId="0" applyFont="1" applyFill="1" applyBorder="1" applyAlignment="1">
      <alignment horizontal="center" vertical="center"/>
    </xf>
    <xf numFmtId="9" fontId="28" fillId="3" borderId="21" xfId="0" applyNumberFormat="1" applyFont="1" applyFill="1" applyBorder="1" applyAlignment="1">
      <alignment horizontal="center" vertical="center"/>
    </xf>
    <xf numFmtId="9" fontId="28" fillId="3" borderId="22" xfId="0" applyNumberFormat="1" applyFont="1" applyFill="1" applyBorder="1" applyAlignment="1">
      <alignment horizontal="center" vertical="center"/>
    </xf>
    <xf numFmtId="0" fontId="28" fillId="0" borderId="10" xfId="0" applyFont="1" applyBorder="1" applyAlignment="1">
      <alignment horizontal="center" vertical="center"/>
    </xf>
    <xf numFmtId="9" fontId="28" fillId="3" borderId="29" xfId="0" applyNumberFormat="1" applyFont="1" applyFill="1" applyBorder="1" applyAlignment="1">
      <alignment horizontal="center" vertical="center"/>
    </xf>
    <xf numFmtId="9" fontId="28" fillId="3" borderId="16" xfId="0" applyNumberFormat="1" applyFont="1" applyFill="1" applyBorder="1" applyAlignment="1">
      <alignment horizontal="center" vertical="center"/>
    </xf>
    <xf numFmtId="9" fontId="28" fillId="3" borderId="25" xfId="0" applyNumberFormat="1" applyFont="1" applyFill="1" applyBorder="1" applyAlignment="1">
      <alignment horizontal="center" vertical="center"/>
    </xf>
    <xf numFmtId="176" fontId="28" fillId="3" borderId="7" xfId="0" applyNumberFormat="1" applyFont="1" applyFill="1" applyBorder="1" applyAlignment="1">
      <alignment horizontal="center" vertical="center" wrapText="1"/>
    </xf>
    <xf numFmtId="0" fontId="28" fillId="0" borderId="0" xfId="0" applyFont="1" applyFill="1" applyBorder="1" applyAlignment="1">
      <alignment horizontal="center" vertical="center"/>
    </xf>
    <xf numFmtId="0" fontId="28" fillId="3" borderId="159" xfId="0" applyFont="1" applyFill="1" applyBorder="1" applyAlignment="1">
      <alignment horizontal="center" vertical="center"/>
    </xf>
    <xf numFmtId="9" fontId="28" fillId="0" borderId="160" xfId="2461" applyFont="1" applyBorder="1" applyAlignment="1">
      <alignment horizontal="center" vertical="center"/>
    </xf>
    <xf numFmtId="0" fontId="28" fillId="3" borderId="161" xfId="0" applyFont="1" applyFill="1" applyBorder="1" applyAlignment="1">
      <alignment horizontal="center" vertical="center"/>
    </xf>
    <xf numFmtId="9" fontId="28" fillId="0" borderId="161" xfId="0" quotePrefix="1" applyNumberFormat="1" applyFont="1" applyBorder="1" applyAlignment="1">
      <alignment horizontal="center" vertical="center"/>
    </xf>
    <xf numFmtId="9" fontId="28" fillId="0" borderId="12" xfId="0" quotePrefix="1" applyNumberFormat="1" applyFont="1" applyBorder="1" applyAlignment="1">
      <alignment horizontal="center" vertical="center"/>
    </xf>
    <xf numFmtId="0" fontId="28" fillId="3" borderId="51" xfId="0" quotePrefix="1" applyFont="1" applyFill="1" applyBorder="1" applyAlignment="1">
      <alignment horizontal="center" vertical="center"/>
    </xf>
    <xf numFmtId="9" fontId="28" fillId="0" borderId="58" xfId="0" applyNumberFormat="1" applyFont="1" applyFill="1" applyBorder="1" applyAlignment="1">
      <alignment horizontal="center" vertical="center"/>
    </xf>
    <xf numFmtId="0" fontId="138" fillId="0" borderId="0" xfId="0" applyFont="1" applyFill="1" applyBorder="1" applyAlignment="1">
      <alignment vertical="center"/>
    </xf>
    <xf numFmtId="0" fontId="28" fillId="0" borderId="0" xfId="0" applyFont="1" applyFill="1" applyBorder="1" applyAlignment="1">
      <alignment vertical="center"/>
    </xf>
    <xf numFmtId="0" fontId="26" fillId="0" borderId="0" xfId="0" applyFont="1" applyFill="1" applyBorder="1">
      <alignment vertical="center"/>
    </xf>
    <xf numFmtId="0" fontId="26" fillId="0" borderId="0" xfId="0" applyFont="1" applyFill="1">
      <alignment vertical="center"/>
    </xf>
    <xf numFmtId="177" fontId="28" fillId="3" borderId="12" xfId="2452" applyNumberFormat="1" applyFont="1" applyFill="1" applyBorder="1" applyAlignment="1">
      <alignment horizontal="center" vertical="center"/>
    </xf>
    <xf numFmtId="0" fontId="28" fillId="2" borderId="9" xfId="2453" applyFont="1" applyFill="1" applyBorder="1" applyAlignment="1">
      <alignment horizontal="center" vertical="center"/>
    </xf>
    <xf numFmtId="0" fontId="28" fillId="2" borderId="4" xfId="2453" applyFont="1" applyFill="1" applyBorder="1" applyAlignment="1">
      <alignment horizontal="center" vertical="center"/>
    </xf>
    <xf numFmtId="0" fontId="28" fillId="2" borderId="12" xfId="2453" applyFont="1" applyFill="1" applyBorder="1" applyAlignment="1">
      <alignment horizontal="center" vertical="center"/>
    </xf>
    <xf numFmtId="9" fontId="28" fillId="3" borderId="56" xfId="2452" applyNumberFormat="1" applyFont="1" applyFill="1" applyBorder="1" applyAlignment="1">
      <alignment horizontal="center" vertical="center"/>
    </xf>
    <xf numFmtId="0" fontId="28" fillId="5" borderId="4" xfId="2450" applyFont="1" applyFill="1" applyBorder="1" applyAlignment="1">
      <alignment horizontal="center" vertical="center"/>
    </xf>
    <xf numFmtId="0" fontId="28" fillId="5" borderId="7" xfId="2450" applyFont="1" applyFill="1" applyBorder="1" applyAlignment="1">
      <alignment horizontal="center" vertical="center"/>
    </xf>
    <xf numFmtId="0" fontId="28" fillId="5" borderId="25" xfId="2450" applyFont="1" applyFill="1" applyBorder="1" applyAlignment="1">
      <alignment horizontal="center" vertical="center"/>
    </xf>
    <xf numFmtId="0" fontId="28" fillId="5" borderId="56" xfId="2450" applyFont="1" applyFill="1" applyBorder="1" applyAlignment="1">
      <alignment horizontal="center" vertical="center"/>
    </xf>
    <xf numFmtId="0" fontId="28" fillId="0" borderId="0" xfId="2450" applyFont="1" applyFill="1" applyBorder="1" applyAlignment="1">
      <alignment horizontal="center" vertical="center" wrapText="1"/>
    </xf>
    <xf numFmtId="0" fontId="28" fillId="0" borderId="6" xfId="2450" applyFont="1" applyFill="1" applyBorder="1" applyAlignment="1">
      <alignment horizontal="center" vertical="center"/>
    </xf>
    <xf numFmtId="0" fontId="28" fillId="3" borderId="44" xfId="2450" applyFont="1" applyFill="1" applyBorder="1" applyAlignment="1">
      <alignment horizontal="center" vertical="center"/>
    </xf>
    <xf numFmtId="0" fontId="28" fillId="5" borderId="15" xfId="2450" applyFont="1" applyFill="1" applyBorder="1" applyAlignment="1">
      <alignment horizontal="center" vertical="center"/>
    </xf>
    <xf numFmtId="0" fontId="28" fillId="5" borderId="12" xfId="2450" applyFont="1" applyFill="1" applyBorder="1" applyAlignment="1">
      <alignment horizontal="center" vertical="center"/>
    </xf>
    <xf numFmtId="176" fontId="28" fillId="3" borderId="7" xfId="2452" applyNumberFormat="1" applyFont="1" applyFill="1" applyBorder="1" applyAlignment="1">
      <alignment horizontal="center" vertical="center" wrapText="1"/>
    </xf>
    <xf numFmtId="176" fontId="28" fillId="3" borderId="24" xfId="2452" applyNumberFormat="1" applyFont="1" applyFill="1" applyBorder="1" applyAlignment="1">
      <alignment horizontal="center" vertical="center"/>
    </xf>
    <xf numFmtId="0" fontId="28" fillId="0" borderId="0" xfId="2450" applyFont="1" applyBorder="1" applyAlignment="1">
      <alignment horizontal="center" vertical="center"/>
    </xf>
    <xf numFmtId="41" fontId="28" fillId="4" borderId="32" xfId="2478" applyFont="1" applyFill="1" applyBorder="1" applyAlignment="1">
      <alignment horizontal="center" vertical="center"/>
    </xf>
    <xf numFmtId="41" fontId="28" fillId="4" borderId="25" xfId="2478" applyFont="1" applyFill="1" applyBorder="1" applyAlignment="1">
      <alignment horizontal="center" vertical="center"/>
    </xf>
    <xf numFmtId="41" fontId="28" fillId="4" borderId="16" xfId="2478" applyFont="1" applyFill="1" applyBorder="1" applyAlignment="1">
      <alignment horizontal="center" vertical="center"/>
    </xf>
    <xf numFmtId="41" fontId="28" fillId="4" borderId="21" xfId="2478" applyFont="1" applyFill="1" applyBorder="1" applyAlignment="1">
      <alignment horizontal="center" vertical="center"/>
    </xf>
    <xf numFmtId="41" fontId="28" fillId="4" borderId="4" xfId="2478" applyFont="1" applyFill="1" applyBorder="1" applyAlignment="1">
      <alignment horizontal="center" vertical="center"/>
    </xf>
    <xf numFmtId="41" fontId="28" fillId="4" borderId="12" xfId="2478" applyFont="1" applyFill="1" applyBorder="1" applyAlignment="1">
      <alignment horizontal="center" vertical="center"/>
    </xf>
    <xf numFmtId="41" fontId="28" fillId="4" borderId="19" xfId="2478" applyFont="1" applyFill="1" applyBorder="1" applyAlignment="1">
      <alignment horizontal="center" vertical="center"/>
    </xf>
    <xf numFmtId="41" fontId="28" fillId="4" borderId="15" xfId="2478" applyFont="1" applyFill="1" applyBorder="1" applyAlignment="1">
      <alignment horizontal="center" vertical="center"/>
    </xf>
    <xf numFmtId="41" fontId="28" fillId="4" borderId="20" xfId="2478" applyFont="1" applyFill="1" applyBorder="1" applyAlignment="1">
      <alignment horizontal="center" vertical="center"/>
    </xf>
    <xf numFmtId="0" fontId="28" fillId="0" borderId="0" xfId="2477" applyFont="1" applyFill="1" applyAlignment="1">
      <alignment vertical="center"/>
    </xf>
    <xf numFmtId="0" fontId="28" fillId="0" borderId="0" xfId="2477" applyFont="1" applyAlignment="1">
      <alignment vertical="center"/>
    </xf>
    <xf numFmtId="0" fontId="106" fillId="0" borderId="0" xfId="0" applyFont="1" applyAlignment="1">
      <alignment vertical="center"/>
    </xf>
    <xf numFmtId="176" fontId="28" fillId="3" borderId="17" xfId="2480" applyNumberFormat="1" applyFont="1" applyFill="1" applyBorder="1" applyAlignment="1">
      <alignment horizontal="center" vertical="center"/>
    </xf>
    <xf numFmtId="176" fontId="28" fillId="3" borderId="7" xfId="2480" applyNumberFormat="1" applyFont="1" applyFill="1" applyBorder="1" applyAlignment="1">
      <alignment horizontal="center" vertical="center" wrapText="1"/>
    </xf>
    <xf numFmtId="176" fontId="28" fillId="3" borderId="18" xfId="2480" applyNumberFormat="1" applyFont="1" applyFill="1" applyBorder="1" applyAlignment="1">
      <alignment horizontal="center" vertical="center"/>
    </xf>
    <xf numFmtId="10" fontId="106" fillId="3" borderId="24" xfId="0" applyNumberFormat="1" applyFont="1" applyFill="1" applyBorder="1" applyAlignment="1">
      <alignment horizontal="center" vertical="center"/>
    </xf>
    <xf numFmtId="9" fontId="106" fillId="3" borderId="7" xfId="0" applyNumberFormat="1" applyFont="1" applyFill="1" applyBorder="1" applyAlignment="1">
      <alignment horizontal="center" vertical="center"/>
    </xf>
    <xf numFmtId="9" fontId="106" fillId="3" borderId="18" xfId="0" applyNumberFormat="1" applyFont="1" applyFill="1" applyBorder="1" applyAlignment="1">
      <alignment horizontal="center" vertical="center"/>
    </xf>
    <xf numFmtId="9" fontId="28" fillId="0" borderId="4" xfId="2481" applyFont="1" applyBorder="1" applyAlignment="1">
      <alignment horizontal="center" vertical="center"/>
    </xf>
    <xf numFmtId="9" fontId="28" fillId="0" borderId="122" xfId="2481" applyFont="1" applyBorder="1" applyAlignment="1">
      <alignment horizontal="center" vertical="center"/>
    </xf>
    <xf numFmtId="9" fontId="28" fillId="0" borderId="96" xfId="2481" applyFont="1" applyBorder="1" applyAlignment="1">
      <alignment horizontal="center" vertical="center"/>
    </xf>
    <xf numFmtId="9" fontId="28" fillId="0" borderId="4" xfId="2481" applyFont="1" applyFill="1" applyBorder="1" applyAlignment="1">
      <alignment horizontal="center" vertical="center"/>
    </xf>
    <xf numFmtId="9" fontId="28" fillId="0" borderId="12" xfId="2481" applyFont="1" applyFill="1" applyBorder="1" applyAlignment="1">
      <alignment horizontal="center" vertical="center"/>
    </xf>
    <xf numFmtId="9" fontId="28" fillId="0" borderId="14" xfId="2481" applyFont="1" applyFill="1" applyBorder="1" applyAlignment="1">
      <alignment horizontal="center" vertical="center"/>
    </xf>
    <xf numFmtId="9" fontId="28" fillId="0" borderId="6" xfId="2481" applyFont="1" applyFill="1" applyBorder="1" applyAlignment="1">
      <alignment horizontal="center" vertical="center"/>
    </xf>
    <xf numFmtId="9" fontId="26" fillId="0" borderId="3" xfId="2481" applyFont="1" applyBorder="1" applyAlignment="1">
      <alignment horizontal="center" vertical="center"/>
    </xf>
    <xf numFmtId="9" fontId="26" fillId="0" borderId="4" xfId="2481" applyFont="1" applyBorder="1" applyAlignment="1">
      <alignment horizontal="center" vertical="center"/>
    </xf>
    <xf numFmtId="9" fontId="26" fillId="0" borderId="9" xfId="2481" applyFont="1" applyBorder="1" applyAlignment="1">
      <alignment horizontal="center" vertical="center"/>
    </xf>
    <xf numFmtId="9" fontId="26" fillId="0" borderId="12" xfId="2481" applyFont="1" applyBorder="1" applyAlignment="1">
      <alignment horizontal="center" vertical="center"/>
    </xf>
    <xf numFmtId="9" fontId="28" fillId="3" borderId="25" xfId="2481" applyFont="1" applyFill="1" applyBorder="1" applyAlignment="1">
      <alignment horizontal="center" vertical="center"/>
    </xf>
    <xf numFmtId="9" fontId="28" fillId="3" borderId="16" xfId="2482" applyNumberFormat="1" applyFont="1" applyFill="1" applyBorder="1" applyAlignment="1">
      <alignment horizontal="center" vertical="center"/>
    </xf>
    <xf numFmtId="9" fontId="28" fillId="3" borderId="7" xfId="2481" applyFont="1" applyFill="1" applyBorder="1" applyAlignment="1">
      <alignment horizontal="center" vertical="center" wrapText="1"/>
    </xf>
    <xf numFmtId="176" fontId="28" fillId="3" borderId="17" xfId="2482" applyNumberFormat="1" applyFont="1" applyFill="1" applyBorder="1" applyAlignment="1">
      <alignment horizontal="center" vertical="center"/>
    </xf>
    <xf numFmtId="176" fontId="28" fillId="3" borderId="7" xfId="2482" applyNumberFormat="1" applyFont="1" applyFill="1" applyBorder="1" applyAlignment="1">
      <alignment horizontal="center" vertical="center" wrapText="1"/>
    </xf>
    <xf numFmtId="176" fontId="28" fillId="3" borderId="18" xfId="2482" applyNumberFormat="1" applyFont="1" applyFill="1" applyBorder="1" applyAlignment="1">
      <alignment horizontal="center" vertical="center"/>
    </xf>
    <xf numFmtId="9" fontId="26" fillId="3" borderId="4" xfId="2481" applyFont="1" applyFill="1" applyBorder="1" applyAlignment="1">
      <alignment horizontal="center" vertical="center"/>
    </xf>
    <xf numFmtId="9" fontId="28" fillId="3" borderId="4" xfId="2481" applyFont="1" applyFill="1" applyBorder="1" applyAlignment="1">
      <alignment horizontal="center" vertical="center"/>
    </xf>
    <xf numFmtId="177" fontId="26" fillId="3" borderId="7" xfId="2481" applyNumberFormat="1" applyFont="1" applyFill="1" applyBorder="1" applyAlignment="1">
      <alignment horizontal="center" vertical="center"/>
    </xf>
    <xf numFmtId="9" fontId="26" fillId="3" borderId="7" xfId="2481" applyFont="1" applyFill="1" applyBorder="1" applyAlignment="1">
      <alignment horizontal="center" vertical="center"/>
    </xf>
    <xf numFmtId="177" fontId="28" fillId="0" borderId="17" xfId="2481" applyNumberFormat="1" applyFont="1" applyFill="1" applyBorder="1" applyAlignment="1">
      <alignment horizontal="center" vertical="center"/>
    </xf>
    <xf numFmtId="177" fontId="28" fillId="0" borderId="7" xfId="2481" applyNumberFormat="1" applyFont="1" applyFill="1" applyBorder="1" applyAlignment="1">
      <alignment horizontal="center" vertical="center"/>
    </xf>
    <xf numFmtId="177" fontId="28" fillId="0" borderId="18" xfId="2481" applyNumberFormat="1" applyFont="1" applyFill="1" applyBorder="1" applyAlignment="1">
      <alignment horizontal="center" vertical="center"/>
    </xf>
    <xf numFmtId="177" fontId="28" fillId="0" borderId="24" xfId="2481" applyNumberFormat="1" applyFont="1" applyFill="1" applyBorder="1" applyAlignment="1">
      <alignment horizontal="center" vertical="center"/>
    </xf>
    <xf numFmtId="177" fontId="28" fillId="0" borderId="26" xfId="2481" applyNumberFormat="1" applyFont="1" applyFill="1" applyBorder="1" applyAlignment="1">
      <alignment horizontal="center" vertical="center"/>
    </xf>
    <xf numFmtId="9" fontId="29" fillId="0" borderId="0" xfId="2481" applyFont="1" applyBorder="1" applyAlignment="1">
      <alignment horizontal="left" vertical="center"/>
    </xf>
    <xf numFmtId="0" fontId="28" fillId="0" borderId="0" xfId="2482" applyFont="1" applyAlignment="1">
      <alignment vertical="center"/>
    </xf>
    <xf numFmtId="0" fontId="27" fillId="0" borderId="0" xfId="2482" applyNumberFormat="1" applyFont="1" applyAlignment="1">
      <alignment vertical="center"/>
    </xf>
    <xf numFmtId="9" fontId="27" fillId="0" borderId="0" xfId="2481" applyFont="1" applyAlignment="1">
      <alignment vertical="center"/>
    </xf>
    <xf numFmtId="0" fontId="28" fillId="0" borderId="0" xfId="2482" applyFont="1" applyAlignment="1">
      <alignment horizontal="center" vertical="center"/>
    </xf>
    <xf numFmtId="176" fontId="28" fillId="0" borderId="0" xfId="2482" applyNumberFormat="1" applyFont="1" applyAlignment="1">
      <alignment vertical="center"/>
    </xf>
    <xf numFmtId="0" fontId="19" fillId="0" borderId="0" xfId="2482" applyFont="1" applyAlignment="1">
      <alignment vertical="center"/>
    </xf>
    <xf numFmtId="0" fontId="28" fillId="0" borderId="0" xfId="2482" applyNumberFormat="1" applyFont="1" applyAlignment="1">
      <alignment vertical="center"/>
    </xf>
    <xf numFmtId="9" fontId="28" fillId="0" borderId="0" xfId="2481" applyFont="1" applyAlignment="1">
      <alignment vertical="center"/>
    </xf>
    <xf numFmtId="0" fontId="27" fillId="0" borderId="0" xfId="2482" applyFont="1" applyAlignment="1">
      <alignment vertical="center"/>
    </xf>
    <xf numFmtId="0" fontId="102" fillId="0" borderId="0" xfId="2482" applyNumberFormat="1" applyFont="1" applyAlignment="1">
      <alignment vertical="center"/>
    </xf>
    <xf numFmtId="0" fontId="29" fillId="0" borderId="0" xfId="2482" applyFont="1" applyFill="1" applyAlignment="1">
      <alignment vertical="center"/>
    </xf>
    <xf numFmtId="0" fontId="28" fillId="0" borderId="0" xfId="2482" applyNumberFormat="1" applyFont="1" applyFill="1" applyAlignment="1">
      <alignment vertical="center"/>
    </xf>
    <xf numFmtId="9" fontId="28" fillId="0" borderId="0" xfId="2481" applyFont="1" applyFill="1" applyAlignment="1">
      <alignment vertical="center"/>
    </xf>
    <xf numFmtId="0" fontId="29" fillId="0" borderId="0" xfId="2482" applyFont="1" applyFill="1" applyAlignment="1">
      <alignment horizontal="center" vertical="center"/>
    </xf>
    <xf numFmtId="0" fontId="84" fillId="0" borderId="0" xfId="2482" applyFont="1" applyFill="1" applyAlignment="1">
      <alignment vertical="center"/>
    </xf>
    <xf numFmtId="0" fontId="28" fillId="0" borderId="0" xfId="2482" applyFont="1" applyFill="1" applyAlignment="1">
      <alignment vertical="center"/>
    </xf>
    <xf numFmtId="0" fontId="28" fillId="0" borderId="0" xfId="2482" applyFont="1" applyFill="1" applyAlignment="1">
      <alignment horizontal="center" vertical="center"/>
    </xf>
    <xf numFmtId="41" fontId="28" fillId="0" borderId="0" xfId="2482" applyNumberFormat="1" applyFont="1" applyFill="1" applyAlignment="1">
      <alignment vertical="center"/>
    </xf>
    <xf numFmtId="0" fontId="19" fillId="0" borderId="0" xfId="2482" applyFont="1" applyFill="1" applyAlignment="1">
      <alignment vertical="center"/>
    </xf>
    <xf numFmtId="41" fontId="28" fillId="0" borderId="0" xfId="2482" applyNumberFormat="1" applyFont="1" applyAlignment="1">
      <alignment vertical="center"/>
    </xf>
    <xf numFmtId="0" fontId="29" fillId="0" borderId="0" xfId="2482" applyNumberFormat="1" applyFont="1" applyAlignment="1">
      <alignment vertical="center"/>
    </xf>
    <xf numFmtId="9" fontId="29" fillId="0" borderId="0" xfId="2481" applyFont="1" applyAlignment="1">
      <alignment vertical="center"/>
    </xf>
    <xf numFmtId="9" fontId="28" fillId="0" borderId="0" xfId="2481" applyFont="1" applyBorder="1" applyAlignment="1">
      <alignment horizontal="left" vertical="center"/>
    </xf>
    <xf numFmtId="9" fontId="28" fillId="0" borderId="0" xfId="2481" applyFont="1" applyAlignment="1">
      <alignment horizontal="center" vertical="center"/>
    </xf>
    <xf numFmtId="9" fontId="29" fillId="0" borderId="0" xfId="2481" applyFont="1" applyAlignment="1">
      <alignment horizontal="left" vertical="center" wrapText="1"/>
    </xf>
    <xf numFmtId="9" fontId="19" fillId="0" borderId="0" xfId="2481" applyFont="1" applyAlignment="1">
      <alignment vertical="center"/>
    </xf>
    <xf numFmtId="9" fontId="19" fillId="0" borderId="0" xfId="2481" applyFont="1" applyAlignment="1">
      <alignment horizontal="center" vertical="center"/>
    </xf>
    <xf numFmtId="9" fontId="28" fillId="0" borderId="14" xfId="2459" applyFont="1" applyFill="1" applyBorder="1" applyAlignment="1">
      <alignment horizontal="center" vertical="center"/>
    </xf>
    <xf numFmtId="9" fontId="28" fillId="0" borderId="10" xfId="2459" applyFont="1" applyFill="1" applyBorder="1" applyAlignment="1">
      <alignment horizontal="center" vertical="center"/>
    </xf>
    <xf numFmtId="0" fontId="28" fillId="5" borderId="62" xfId="2450" applyFont="1" applyFill="1" applyBorder="1" applyAlignment="1">
      <alignment horizontal="center" vertical="center"/>
    </xf>
    <xf numFmtId="177" fontId="28" fillId="0" borderId="14" xfId="2450" applyNumberFormat="1" applyFont="1" applyFill="1" applyBorder="1" applyAlignment="1">
      <alignment horizontal="center" vertical="center"/>
    </xf>
    <xf numFmtId="9" fontId="28" fillId="0" borderId="4" xfId="2473" applyNumberFormat="1" applyFont="1" applyFill="1" applyBorder="1" applyAlignment="1">
      <alignment horizontal="center" vertical="center"/>
    </xf>
    <xf numFmtId="9" fontId="28" fillId="0" borderId="6" xfId="2473" applyNumberFormat="1" applyFont="1" applyFill="1" applyBorder="1" applyAlignment="1">
      <alignment horizontal="center" vertical="center"/>
    </xf>
    <xf numFmtId="9" fontId="28" fillId="0" borderId="158" xfId="2473" applyNumberFormat="1" applyFont="1" applyFill="1" applyBorder="1" applyAlignment="1">
      <alignment horizontal="center" vertical="center"/>
    </xf>
    <xf numFmtId="9" fontId="28" fillId="0" borderId="9" xfId="2473" applyNumberFormat="1" applyFont="1" applyFill="1" applyBorder="1" applyAlignment="1">
      <alignment horizontal="center" vertical="center"/>
    </xf>
    <xf numFmtId="9" fontId="28" fillId="0" borderId="12" xfId="2473" applyNumberFormat="1" applyFont="1" applyFill="1" applyBorder="1" applyAlignment="1">
      <alignment horizontal="center" vertical="center"/>
    </xf>
    <xf numFmtId="9" fontId="28" fillId="0" borderId="7" xfId="2473" applyNumberFormat="1" applyFont="1" applyFill="1" applyBorder="1" applyAlignment="1">
      <alignment horizontal="center" vertical="center"/>
    </xf>
    <xf numFmtId="9" fontId="28" fillId="0" borderId="26" xfId="2473" applyNumberFormat="1" applyFont="1" applyFill="1" applyBorder="1" applyAlignment="1">
      <alignment horizontal="center" vertical="center"/>
    </xf>
    <xf numFmtId="9" fontId="26" fillId="0" borderId="96" xfId="2473" applyNumberFormat="1" applyFont="1" applyFill="1" applyBorder="1" applyAlignment="1">
      <alignment horizontal="center" vertical="center"/>
    </xf>
    <xf numFmtId="9" fontId="26" fillId="0" borderId="24" xfId="2473" applyNumberFormat="1" applyFont="1" applyBorder="1" applyAlignment="1">
      <alignment horizontal="center" vertical="center"/>
    </xf>
    <xf numFmtId="9" fontId="26" fillId="0" borderId="7" xfId="2473" applyNumberFormat="1" applyFont="1" applyBorder="1" applyAlignment="1">
      <alignment horizontal="center" vertical="center"/>
    </xf>
    <xf numFmtId="9" fontId="26" fillId="0" borderId="18" xfId="2473" applyNumberFormat="1" applyFont="1" applyBorder="1" applyAlignment="1">
      <alignment horizontal="center" vertical="center"/>
    </xf>
    <xf numFmtId="9" fontId="28" fillId="3" borderId="16" xfId="2484" applyNumberFormat="1" applyFont="1" applyFill="1" applyBorder="1" applyAlignment="1">
      <alignment horizontal="center" vertical="center"/>
    </xf>
    <xf numFmtId="9" fontId="28" fillId="3" borderId="7" xfId="2485" applyFont="1" applyFill="1" applyBorder="1" applyAlignment="1">
      <alignment horizontal="center" vertical="center" wrapText="1"/>
    </xf>
    <xf numFmtId="176" fontId="28" fillId="3" borderId="62" xfId="2452" applyNumberFormat="1" applyFont="1" applyFill="1" applyBorder="1" applyAlignment="1">
      <alignment horizontal="center" vertical="center"/>
    </xf>
    <xf numFmtId="9" fontId="28" fillId="3" borderId="48" xfId="2452" applyNumberFormat="1" applyFont="1" applyFill="1" applyBorder="1" applyAlignment="1">
      <alignment horizontal="center" vertical="center"/>
    </xf>
    <xf numFmtId="9" fontId="28" fillId="3" borderId="14" xfId="2459" applyFont="1" applyFill="1" applyBorder="1" applyAlignment="1">
      <alignment horizontal="center" vertical="center"/>
    </xf>
    <xf numFmtId="176" fontId="28" fillId="3" borderId="17" xfId="2484" applyNumberFormat="1" applyFont="1" applyFill="1" applyBorder="1" applyAlignment="1">
      <alignment horizontal="center" vertical="center"/>
    </xf>
    <xf numFmtId="176" fontId="28" fillId="3" borderId="7" xfId="2484" applyNumberFormat="1" applyFont="1" applyFill="1" applyBorder="1" applyAlignment="1">
      <alignment horizontal="center" vertical="center" wrapText="1"/>
    </xf>
    <xf numFmtId="176" fontId="28" fillId="3" borderId="18" xfId="2484" applyNumberFormat="1" applyFont="1" applyFill="1" applyBorder="1" applyAlignment="1">
      <alignment horizontal="center" vertical="center"/>
    </xf>
    <xf numFmtId="176" fontId="28" fillId="3" borderId="24" xfId="2484" applyNumberFormat="1" applyFont="1" applyFill="1" applyBorder="1" applyAlignment="1">
      <alignment horizontal="center" vertical="center"/>
    </xf>
    <xf numFmtId="41" fontId="19" fillId="0" borderId="0" xfId="2474" applyFont="1">
      <alignment vertical="center"/>
    </xf>
    <xf numFmtId="177" fontId="26" fillId="3" borderId="4" xfId="2485" applyNumberFormat="1" applyFont="1" applyFill="1" applyBorder="1" applyAlignment="1">
      <alignment horizontal="center" vertical="center"/>
    </xf>
    <xf numFmtId="0" fontId="26" fillId="5" borderId="21" xfId="2452" applyNumberFormat="1" applyFont="1" applyFill="1" applyBorder="1" applyAlignment="1">
      <alignment horizontal="center" vertical="center"/>
    </xf>
    <xf numFmtId="177" fontId="26" fillId="5" borderId="4" xfId="2485" applyNumberFormat="1" applyFont="1" applyFill="1" applyBorder="1" applyAlignment="1">
      <alignment horizontal="center" vertical="center"/>
    </xf>
    <xf numFmtId="177" fontId="26" fillId="5" borderId="6" xfId="2452" applyNumberFormat="1" applyFont="1" applyFill="1" applyBorder="1" applyAlignment="1">
      <alignment horizontal="center" vertical="center"/>
    </xf>
    <xf numFmtId="177" fontId="26" fillId="3" borderId="7" xfId="2485" applyNumberFormat="1" applyFont="1" applyFill="1" applyBorder="1" applyAlignment="1">
      <alignment horizontal="center" vertical="center"/>
    </xf>
    <xf numFmtId="9" fontId="29" fillId="0" borderId="0" xfId="2485" applyFont="1" applyBorder="1" applyAlignment="1">
      <alignment horizontal="left" vertical="center"/>
    </xf>
    <xf numFmtId="0" fontId="27" fillId="0" borderId="0" xfId="2484" applyNumberFormat="1" applyFont="1" applyAlignment="1">
      <alignment vertical="center"/>
    </xf>
    <xf numFmtId="9" fontId="28" fillId="0" borderId="0" xfId="2485" applyFont="1" applyAlignment="1">
      <alignment horizontal="center" vertical="center"/>
    </xf>
    <xf numFmtId="0" fontId="28" fillId="0" borderId="0" xfId="2484" applyNumberFormat="1" applyFont="1" applyAlignment="1">
      <alignment vertical="center"/>
    </xf>
    <xf numFmtId="0" fontId="106" fillId="0" borderId="0" xfId="2484" applyNumberFormat="1" applyFont="1" applyAlignment="1">
      <alignment vertical="center"/>
    </xf>
    <xf numFmtId="9" fontId="19" fillId="0" borderId="0" xfId="2485" applyFont="1" applyAlignment="1">
      <alignment horizontal="center" vertical="center"/>
    </xf>
    <xf numFmtId="0" fontId="102" fillId="0" borderId="0" xfId="2484" applyNumberFormat="1" applyFont="1" applyAlignment="1">
      <alignment vertical="center"/>
    </xf>
    <xf numFmtId="9" fontId="29" fillId="0" borderId="0" xfId="2485" applyFont="1" applyAlignment="1">
      <alignment horizontal="left" vertical="center" wrapText="1"/>
    </xf>
    <xf numFmtId="0" fontId="28" fillId="0" borderId="0" xfId="2484" applyNumberFormat="1" applyFont="1" applyFill="1" applyAlignment="1">
      <alignment vertical="center"/>
    </xf>
    <xf numFmtId="9" fontId="28" fillId="0" borderId="0" xfId="2485" applyFont="1" applyAlignment="1">
      <alignment vertical="center"/>
    </xf>
    <xf numFmtId="9" fontId="19" fillId="0" borderId="0" xfId="2485" applyFont="1" applyAlignment="1">
      <alignment vertical="center"/>
    </xf>
    <xf numFmtId="0" fontId="102" fillId="0" borderId="0" xfId="2484" applyNumberFormat="1" applyFont="1" applyFill="1" applyAlignment="1">
      <alignment vertical="center"/>
    </xf>
    <xf numFmtId="0" fontId="29" fillId="0" borderId="0" xfId="2484" applyNumberFormat="1" applyFont="1" applyAlignment="1">
      <alignment vertical="center"/>
    </xf>
    <xf numFmtId="177" fontId="121" fillId="0" borderId="7" xfId="2461" applyNumberFormat="1" applyFont="1" applyBorder="1" applyAlignment="1">
      <alignment horizontal="center" vertical="center"/>
    </xf>
    <xf numFmtId="177" fontId="121" fillId="0" borderId="18" xfId="2461" applyNumberFormat="1" applyFont="1" applyBorder="1" applyAlignment="1">
      <alignment horizontal="center" vertical="center"/>
    </xf>
    <xf numFmtId="0" fontId="117" fillId="0" borderId="0" xfId="2453" applyFont="1" applyFill="1" applyBorder="1" applyAlignment="1">
      <alignment horizontal="center" vertical="center"/>
    </xf>
    <xf numFmtId="9" fontId="100" fillId="3" borderId="18" xfId="2452" applyNumberFormat="1" applyFont="1" applyFill="1" applyBorder="1" applyAlignment="1">
      <alignment horizontal="center" vertical="center"/>
    </xf>
    <xf numFmtId="177" fontId="28" fillId="0" borderId="0" xfId="2459" applyNumberFormat="1" applyFont="1" applyFill="1" applyAlignment="1">
      <alignment vertical="center"/>
    </xf>
    <xf numFmtId="9" fontId="29" fillId="0" borderId="0" xfId="2473" applyFont="1" applyFill="1" applyAlignment="1">
      <alignment vertical="center"/>
    </xf>
    <xf numFmtId="9" fontId="119" fillId="5" borderId="56" xfId="2453" applyNumberFormat="1" applyFont="1" applyFill="1" applyBorder="1" applyAlignment="1">
      <alignment horizontal="center" vertical="center"/>
    </xf>
    <xf numFmtId="0" fontId="27" fillId="3" borderId="4" xfId="2450" applyFont="1" applyFill="1" applyBorder="1" applyAlignment="1">
      <alignment horizontal="center" vertical="center" wrapText="1"/>
    </xf>
    <xf numFmtId="0" fontId="27" fillId="3" borderId="21" xfId="2450" applyFont="1" applyFill="1" applyBorder="1" applyAlignment="1">
      <alignment horizontal="center" vertical="center" wrapText="1"/>
    </xf>
    <xf numFmtId="0" fontId="27" fillId="3" borderId="17" xfId="2450" applyFont="1" applyFill="1" applyBorder="1" applyAlignment="1">
      <alignment horizontal="center" vertical="center" wrapText="1"/>
    </xf>
    <xf numFmtId="9" fontId="119" fillId="5" borderId="15" xfId="2453" applyNumberFormat="1" applyFont="1" applyFill="1" applyBorder="1" applyAlignment="1">
      <alignment horizontal="center" vertical="center"/>
    </xf>
    <xf numFmtId="9" fontId="119" fillId="5" borderId="46" xfId="2453" applyNumberFormat="1" applyFont="1" applyFill="1" applyBorder="1" applyAlignment="1">
      <alignment horizontal="center" vertical="center"/>
    </xf>
    <xf numFmtId="9" fontId="119" fillId="5" borderId="8" xfId="2453" applyNumberFormat="1" applyFont="1" applyFill="1" applyBorder="1" applyAlignment="1">
      <alignment horizontal="center" vertical="center"/>
    </xf>
    <xf numFmtId="9" fontId="119" fillId="5" borderId="20" xfId="2453" applyNumberFormat="1" applyFont="1" applyFill="1" applyBorder="1" applyAlignment="1">
      <alignment horizontal="center" vertical="center"/>
    </xf>
    <xf numFmtId="9" fontId="117" fillId="0" borderId="24" xfId="2461" applyFont="1" applyFill="1" applyBorder="1" applyAlignment="1">
      <alignment horizontal="center" vertical="center"/>
    </xf>
    <xf numFmtId="9" fontId="117" fillId="0" borderId="18" xfId="2461" applyFont="1" applyFill="1" applyBorder="1" applyAlignment="1">
      <alignment horizontal="center" vertical="center"/>
    </xf>
    <xf numFmtId="9" fontId="28" fillId="3" borderId="29" xfId="216" applyFont="1" applyFill="1" applyBorder="1" applyAlignment="1">
      <alignment horizontal="center" vertical="center"/>
    </xf>
    <xf numFmtId="9" fontId="125" fillId="0" borderId="0" xfId="2473" applyFont="1">
      <alignment vertical="center"/>
    </xf>
    <xf numFmtId="176" fontId="28" fillId="8" borderId="7" xfId="2453" applyNumberFormat="1" applyFont="1" applyFill="1" applyBorder="1" applyAlignment="1">
      <alignment horizontal="center" vertical="center"/>
    </xf>
    <xf numFmtId="176" fontId="28" fillId="8" borderId="26" xfId="2453" applyNumberFormat="1" applyFont="1" applyFill="1" applyBorder="1" applyAlignment="1">
      <alignment horizontal="center" vertical="center"/>
    </xf>
    <xf numFmtId="41" fontId="125" fillId="0" borderId="0" xfId="2474" applyFont="1">
      <alignment vertical="center"/>
    </xf>
    <xf numFmtId="176" fontId="28" fillId="4" borderId="19" xfId="2453" applyNumberFormat="1" applyFont="1" applyFill="1" applyBorder="1" applyAlignment="1">
      <alignment horizontal="right" vertical="center"/>
    </xf>
    <xf numFmtId="176" fontId="28" fillId="4" borderId="15" xfId="2453" applyNumberFormat="1" applyFont="1" applyFill="1" applyBorder="1" applyAlignment="1">
      <alignment horizontal="right" vertical="center"/>
    </xf>
    <xf numFmtId="176" fontId="28" fillId="4" borderId="46" xfId="2453" applyNumberFormat="1" applyFont="1" applyFill="1" applyBorder="1" applyAlignment="1">
      <alignment horizontal="right" vertical="center"/>
    </xf>
    <xf numFmtId="176" fontId="28" fillId="4" borderId="20" xfId="2453" applyNumberFormat="1" applyFont="1" applyFill="1" applyBorder="1" applyAlignment="1">
      <alignment horizontal="right" vertical="center"/>
    </xf>
    <xf numFmtId="176" fontId="28" fillId="4" borderId="8" xfId="2453" applyNumberFormat="1" applyFont="1" applyFill="1" applyBorder="1" applyAlignment="1">
      <alignment horizontal="right" vertical="center"/>
    </xf>
    <xf numFmtId="9" fontId="28" fillId="0" borderId="62" xfId="216" applyNumberFormat="1" applyFont="1" applyFill="1" applyBorder="1" applyAlignment="1">
      <alignment horizontal="center" vertical="center"/>
    </xf>
    <xf numFmtId="9" fontId="28" fillId="0" borderId="14" xfId="216" applyNumberFormat="1" applyFont="1" applyFill="1" applyBorder="1" applyAlignment="1">
      <alignment horizontal="center" vertical="center"/>
    </xf>
    <xf numFmtId="9" fontId="28" fillId="0" borderId="10" xfId="216" applyNumberFormat="1" applyFont="1" applyFill="1" applyBorder="1" applyAlignment="1">
      <alignment horizontal="center" vertical="center"/>
    </xf>
    <xf numFmtId="9" fontId="28" fillId="2" borderId="62" xfId="216" applyNumberFormat="1" applyFont="1" applyFill="1" applyBorder="1" applyAlignment="1">
      <alignment horizontal="center" vertical="center"/>
    </xf>
    <xf numFmtId="9" fontId="28" fillId="2" borderId="14" xfId="216" applyNumberFormat="1" applyFont="1" applyFill="1" applyBorder="1" applyAlignment="1">
      <alignment horizontal="center" vertical="center"/>
    </xf>
    <xf numFmtId="9" fontId="28" fillId="2" borderId="10" xfId="216" applyNumberFormat="1" applyFont="1" applyFill="1" applyBorder="1" applyAlignment="1">
      <alignment horizontal="center" vertical="center"/>
    </xf>
    <xf numFmtId="9" fontId="28" fillId="2" borderId="27" xfId="216" applyNumberFormat="1" applyFont="1" applyFill="1" applyBorder="1" applyAlignment="1">
      <alignment horizontal="center" vertical="center"/>
    </xf>
    <xf numFmtId="9" fontId="28" fillId="2" borderId="48" xfId="216" applyNumberFormat="1" applyFont="1" applyFill="1" applyBorder="1" applyAlignment="1">
      <alignment horizontal="center" vertical="center"/>
    </xf>
    <xf numFmtId="176" fontId="106" fillId="7" borderId="46" xfId="2453" applyNumberFormat="1" applyFont="1" applyFill="1" applyBorder="1" applyAlignment="1">
      <alignment horizontal="center" vertical="center"/>
    </xf>
    <xf numFmtId="41" fontId="28" fillId="0" borderId="0" xfId="2474" applyFont="1" applyAlignment="1">
      <alignment vertical="center"/>
    </xf>
    <xf numFmtId="0" fontId="138" fillId="5" borderId="6" xfId="0" applyFont="1" applyFill="1" applyBorder="1" applyAlignment="1">
      <alignment vertical="center"/>
    </xf>
    <xf numFmtId="0" fontId="28" fillId="5" borderId="3" xfId="0" applyFont="1" applyFill="1" applyBorder="1" applyAlignment="1">
      <alignment horizontal="center" vertical="center"/>
    </xf>
    <xf numFmtId="0" fontId="28" fillId="5" borderId="3" xfId="0" applyFont="1" applyFill="1" applyBorder="1" applyAlignment="1">
      <alignment vertical="center"/>
    </xf>
    <xf numFmtId="0" fontId="26" fillId="5" borderId="3" xfId="0" applyFont="1" applyFill="1" applyBorder="1">
      <alignment vertical="center"/>
    </xf>
    <xf numFmtId="0" fontId="28" fillId="5" borderId="9" xfId="0" applyFont="1" applyFill="1" applyBorder="1" applyAlignment="1">
      <alignment vertical="center"/>
    </xf>
    <xf numFmtId="176" fontId="28" fillId="3" borderId="7" xfId="2452" applyNumberFormat="1" applyFont="1" applyFill="1" applyBorder="1" applyAlignment="1">
      <alignment horizontal="center" vertical="center" wrapText="1"/>
    </xf>
    <xf numFmtId="176" fontId="28" fillId="3" borderId="17" xfId="2488" applyNumberFormat="1" applyFont="1" applyFill="1" applyBorder="1" applyAlignment="1">
      <alignment horizontal="center" vertical="center"/>
    </xf>
    <xf numFmtId="176" fontId="28" fillId="3" borderId="7" xfId="2488" applyNumberFormat="1" applyFont="1" applyFill="1" applyBorder="1" applyAlignment="1">
      <alignment horizontal="center" vertical="center" wrapText="1"/>
    </xf>
    <xf numFmtId="176" fontId="28" fillId="3" borderId="18" xfId="2488" applyNumberFormat="1" applyFont="1" applyFill="1" applyBorder="1" applyAlignment="1">
      <alignment horizontal="center" vertical="center"/>
    </xf>
    <xf numFmtId="0" fontId="28" fillId="3" borderId="17" xfId="2450" applyFont="1" applyFill="1" applyBorder="1" applyAlignment="1">
      <alignment horizontal="center" vertical="center"/>
    </xf>
    <xf numFmtId="0" fontId="28" fillId="3" borderId="7" xfId="2450" applyFont="1" applyFill="1" applyBorder="1" applyAlignment="1">
      <alignment horizontal="center" vertical="center"/>
    </xf>
    <xf numFmtId="0" fontId="26" fillId="0" borderId="97" xfId="0" applyFont="1" applyFill="1" applyBorder="1" applyAlignment="1">
      <alignment horizontal="center" vertical="center"/>
    </xf>
    <xf numFmtId="0" fontId="26" fillId="0" borderId="48" xfId="0" applyFont="1" applyFill="1" applyBorder="1" applyAlignment="1">
      <alignment horizontal="center" vertical="center"/>
    </xf>
    <xf numFmtId="0" fontId="145" fillId="0" borderId="0" xfId="2450" applyFont="1">
      <alignment vertical="center"/>
    </xf>
    <xf numFmtId="0" fontId="101" fillId="0" borderId="0" xfId="2450" applyFont="1">
      <alignment vertical="center"/>
    </xf>
    <xf numFmtId="176" fontId="28" fillId="3" borderId="17" xfId="2491" applyNumberFormat="1" applyFont="1" applyFill="1" applyBorder="1" applyAlignment="1">
      <alignment horizontal="center" vertical="center"/>
    </xf>
    <xf numFmtId="176" fontId="28" fillId="3" borderId="7" xfId="2491" applyNumberFormat="1" applyFont="1" applyFill="1" applyBorder="1" applyAlignment="1">
      <alignment horizontal="center" vertical="center" wrapText="1"/>
    </xf>
    <xf numFmtId="176" fontId="28" fillId="3" borderId="18" xfId="2491" applyNumberFormat="1" applyFont="1" applyFill="1" applyBorder="1" applyAlignment="1">
      <alignment horizontal="center" vertical="center"/>
    </xf>
    <xf numFmtId="41" fontId="28" fillId="4" borderId="15" xfId="2474" applyFont="1" applyFill="1" applyBorder="1" applyAlignment="1">
      <alignment horizontal="center" vertical="center"/>
    </xf>
    <xf numFmtId="41" fontId="28" fillId="4" borderId="20" xfId="2474" applyFont="1" applyFill="1" applyBorder="1" applyAlignment="1">
      <alignment horizontal="center" vertical="center"/>
    </xf>
    <xf numFmtId="41" fontId="28" fillId="4" borderId="8" xfId="2474" applyFont="1" applyFill="1" applyBorder="1" applyAlignment="1">
      <alignment horizontal="center" vertical="center"/>
    </xf>
    <xf numFmtId="0" fontId="28" fillId="0" borderId="0" xfId="2453" applyFont="1" applyFill="1" applyAlignment="1">
      <alignment vertical="center" wrapText="1"/>
    </xf>
    <xf numFmtId="9" fontId="124" fillId="0" borderId="99" xfId="2461" applyFont="1" applyBorder="1" applyAlignment="1">
      <alignment horizontal="center" vertical="center"/>
    </xf>
    <xf numFmtId="9" fontId="119" fillId="5" borderId="29" xfId="2453" applyNumberFormat="1" applyFont="1" applyFill="1" applyBorder="1" applyAlignment="1">
      <alignment horizontal="center" vertical="center"/>
    </xf>
    <xf numFmtId="9" fontId="117" fillId="0" borderId="26" xfId="2461" applyFont="1" applyBorder="1" applyAlignment="1">
      <alignment horizontal="center" vertical="center"/>
    </xf>
    <xf numFmtId="9" fontId="117" fillId="0" borderId="10" xfId="2461" applyFont="1" applyFill="1" applyBorder="1" applyAlignment="1">
      <alignment horizontal="center" vertical="center"/>
    </xf>
    <xf numFmtId="0" fontId="26" fillId="8" borderId="25" xfId="2453" applyFont="1" applyFill="1" applyBorder="1" applyAlignment="1">
      <alignment horizontal="center" vertical="center" wrapText="1"/>
    </xf>
    <xf numFmtId="9" fontId="26" fillId="8" borderId="28" xfId="2453" applyNumberFormat="1" applyFont="1" applyFill="1" applyBorder="1" applyAlignment="1">
      <alignment horizontal="center" vertical="center"/>
    </xf>
    <xf numFmtId="176" fontId="28" fillId="3" borderId="17" xfId="2492" applyNumberFormat="1" applyFont="1" applyFill="1" applyBorder="1" applyAlignment="1">
      <alignment horizontal="center" vertical="center"/>
    </xf>
    <xf numFmtId="176" fontId="28" fillId="3" borderId="7" xfId="2492" applyNumberFormat="1" applyFont="1" applyFill="1" applyBorder="1" applyAlignment="1">
      <alignment horizontal="center" vertical="center" wrapText="1"/>
    </xf>
    <xf numFmtId="176" fontId="28" fillId="3" borderId="18" xfId="2492" applyNumberFormat="1" applyFont="1" applyFill="1" applyBorder="1" applyAlignment="1">
      <alignment horizontal="center" vertical="center"/>
    </xf>
    <xf numFmtId="176" fontId="28" fillId="3" borderId="24" xfId="2492" applyNumberFormat="1" applyFont="1" applyFill="1" applyBorder="1" applyAlignment="1">
      <alignment horizontal="center" vertical="center"/>
    </xf>
    <xf numFmtId="176" fontId="28" fillId="3" borderId="26" xfId="2492" applyNumberFormat="1" applyFont="1" applyFill="1" applyBorder="1" applyAlignment="1">
      <alignment horizontal="center" vertical="center"/>
    </xf>
    <xf numFmtId="9" fontId="106" fillId="3" borderId="21" xfId="2450" applyNumberFormat="1" applyFont="1" applyFill="1" applyBorder="1" applyAlignment="1">
      <alignment horizontal="center" vertical="center"/>
    </xf>
    <xf numFmtId="9" fontId="28" fillId="0" borderId="7" xfId="2450" applyNumberFormat="1" applyFont="1" applyFill="1" applyBorder="1" applyAlignment="1">
      <alignment horizontal="center" vertical="center"/>
    </xf>
    <xf numFmtId="176" fontId="28" fillId="3" borderId="25" xfId="2452" applyNumberFormat="1" applyFont="1" applyFill="1" applyBorder="1" applyAlignment="1">
      <alignment horizontal="center" vertical="center" wrapText="1"/>
    </xf>
    <xf numFmtId="176" fontId="28" fillId="3" borderId="25" xfId="2452" applyNumberFormat="1" applyFont="1" applyFill="1" applyBorder="1" applyAlignment="1">
      <alignment horizontal="center" vertical="center"/>
    </xf>
    <xf numFmtId="9" fontId="28" fillId="3" borderId="25" xfId="2452" applyNumberFormat="1" applyFont="1" applyFill="1" applyBorder="1" applyAlignment="1">
      <alignment horizontal="center" vertical="center"/>
    </xf>
    <xf numFmtId="0" fontId="28" fillId="5" borderId="4" xfId="2450" applyFont="1" applyFill="1" applyBorder="1" applyAlignment="1">
      <alignment horizontal="center" vertical="center"/>
    </xf>
    <xf numFmtId="0" fontId="28" fillId="5" borderId="32" xfId="2450" applyFont="1" applyFill="1" applyBorder="1" applyAlignment="1">
      <alignment horizontal="center" vertical="center"/>
    </xf>
    <xf numFmtId="0" fontId="28" fillId="5" borderId="25" xfId="2450" applyFont="1" applyFill="1" applyBorder="1" applyAlignment="1">
      <alignment horizontal="center" vertical="center"/>
    </xf>
    <xf numFmtId="0" fontId="28" fillId="5" borderId="21" xfId="2450" applyFont="1" applyFill="1" applyBorder="1" applyAlignment="1">
      <alignment horizontal="center" vertical="center"/>
    </xf>
    <xf numFmtId="0" fontId="28" fillId="5" borderId="56" xfId="2450" applyFont="1" applyFill="1" applyBorder="1" applyAlignment="1">
      <alignment horizontal="center" vertical="center"/>
    </xf>
    <xf numFmtId="0" fontId="28" fillId="5" borderId="29" xfId="2450" applyFont="1" applyFill="1" applyBorder="1" applyAlignment="1">
      <alignment horizontal="center" vertical="center"/>
    </xf>
    <xf numFmtId="0" fontId="28" fillId="0" borderId="0" xfId="2450" applyFont="1" applyFill="1" applyBorder="1" applyAlignment="1">
      <alignment horizontal="center" vertical="center" wrapText="1"/>
    </xf>
    <xf numFmtId="0" fontId="28" fillId="5" borderId="6" xfId="2450" applyFont="1" applyFill="1" applyBorder="1" applyAlignment="1">
      <alignment horizontal="center" vertical="center"/>
    </xf>
    <xf numFmtId="0" fontId="28" fillId="5" borderId="15" xfId="2450" applyFont="1" applyFill="1" applyBorder="1" applyAlignment="1">
      <alignment horizontal="center" vertical="center"/>
    </xf>
    <xf numFmtId="0" fontId="28" fillId="5" borderId="52" xfId="2450" applyFont="1" applyFill="1" applyBorder="1" applyAlignment="1">
      <alignment horizontal="center" vertical="center"/>
    </xf>
    <xf numFmtId="176" fontId="28" fillId="3" borderId="33" xfId="2452" applyNumberFormat="1" applyFont="1" applyFill="1" applyBorder="1" applyAlignment="1">
      <alignment horizontal="center" vertical="center" wrapText="1"/>
    </xf>
    <xf numFmtId="0" fontId="28" fillId="3" borderId="4" xfId="0" applyFont="1" applyFill="1" applyBorder="1" applyAlignment="1">
      <alignment horizontal="center" vertical="center"/>
    </xf>
    <xf numFmtId="0" fontId="28" fillId="3" borderId="9"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0" xfId="0" applyFont="1" applyBorder="1" applyAlignment="1">
      <alignment horizontal="center" vertical="center"/>
    </xf>
    <xf numFmtId="9" fontId="28" fillId="3" borderId="16" xfId="0" applyNumberFormat="1" applyFont="1" applyFill="1" applyBorder="1" applyAlignment="1">
      <alignment horizontal="center" vertical="center"/>
    </xf>
    <xf numFmtId="177" fontId="26" fillId="3" borderId="6" xfId="2452" applyNumberFormat="1" applyFont="1" applyFill="1" applyBorder="1" applyAlignment="1">
      <alignment horizontal="center" vertical="center"/>
    </xf>
    <xf numFmtId="176" fontId="28" fillId="3" borderId="58" xfId="2452" applyNumberFormat="1" applyFont="1" applyFill="1" applyBorder="1" applyAlignment="1">
      <alignment horizontal="center" vertical="center"/>
    </xf>
    <xf numFmtId="176" fontId="28" fillId="3" borderId="24" xfId="2452" applyNumberFormat="1" applyFont="1" applyFill="1" applyBorder="1" applyAlignment="1">
      <alignment horizontal="center" vertical="center"/>
    </xf>
    <xf numFmtId="177" fontId="26" fillId="3" borderId="26" xfId="2452" applyNumberFormat="1" applyFont="1" applyFill="1" applyBorder="1" applyAlignment="1">
      <alignment horizontal="center" vertical="center"/>
    </xf>
    <xf numFmtId="0" fontId="28" fillId="0" borderId="0" xfId="2450" applyFont="1" applyBorder="1" applyAlignment="1">
      <alignment horizontal="center" vertical="center"/>
    </xf>
    <xf numFmtId="9" fontId="28" fillId="0" borderId="14" xfId="0" applyNumberFormat="1" applyFont="1" applyFill="1" applyBorder="1" applyAlignment="1">
      <alignment horizontal="center" vertical="center"/>
    </xf>
    <xf numFmtId="0" fontId="98" fillId="5" borderId="4" xfId="0" applyFont="1" applyFill="1" applyBorder="1" applyAlignment="1">
      <alignment horizontal="center" vertical="center"/>
    </xf>
    <xf numFmtId="176" fontId="28" fillId="3" borderId="25" xfId="2452" applyNumberFormat="1" applyFont="1" applyFill="1" applyBorder="1" applyAlignment="1">
      <alignment horizontal="center" vertical="center"/>
    </xf>
    <xf numFmtId="41" fontId="28" fillId="4" borderId="15" xfId="2463" applyFont="1" applyFill="1" applyBorder="1" applyAlignment="1">
      <alignment horizontal="center" vertical="center"/>
    </xf>
    <xf numFmtId="41" fontId="28" fillId="4" borderId="20" xfId="2463" applyFont="1" applyFill="1" applyBorder="1" applyAlignment="1">
      <alignment horizontal="center" vertical="center"/>
    </xf>
    <xf numFmtId="9" fontId="28" fillId="3" borderId="29" xfId="2452" applyNumberFormat="1" applyFont="1" applyFill="1" applyBorder="1" applyAlignment="1">
      <alignment horizontal="center" vertical="center"/>
    </xf>
    <xf numFmtId="0" fontId="28" fillId="0" borderId="0"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9" xfId="0" applyFont="1" applyFill="1" applyBorder="1" applyAlignment="1">
      <alignment horizontal="center" vertical="center"/>
    </xf>
    <xf numFmtId="0" fontId="28" fillId="3" borderId="26" xfId="0" applyFont="1" applyFill="1" applyBorder="1" applyAlignment="1">
      <alignment horizontal="center" vertical="center"/>
    </xf>
    <xf numFmtId="0" fontId="28" fillId="3" borderId="4" xfId="0" applyFont="1" applyFill="1" applyBorder="1" applyAlignment="1">
      <alignment horizontal="center" vertical="center"/>
    </xf>
    <xf numFmtId="0" fontId="28" fillId="0" borderId="9" xfId="0" applyFont="1" applyBorder="1" applyAlignment="1">
      <alignment horizontal="center" vertical="center"/>
    </xf>
    <xf numFmtId="0" fontId="28" fillId="0" borderId="18" xfId="0" applyFont="1" applyFill="1" applyBorder="1" applyAlignment="1">
      <alignment horizontal="center" vertical="center"/>
    </xf>
    <xf numFmtId="9" fontId="28" fillId="3" borderId="25" xfId="0" applyNumberFormat="1" applyFont="1" applyFill="1" applyBorder="1" applyAlignment="1">
      <alignment horizontal="center" vertical="center"/>
    </xf>
    <xf numFmtId="9" fontId="28" fillId="3" borderId="29" xfId="0" applyNumberFormat="1" applyFont="1" applyFill="1" applyBorder="1" applyAlignment="1">
      <alignment horizontal="center" vertical="center"/>
    </xf>
    <xf numFmtId="0" fontId="28" fillId="0" borderId="0" xfId="0" applyFont="1" applyBorder="1" applyAlignment="1">
      <alignment vertical="center"/>
    </xf>
    <xf numFmtId="176" fontId="28" fillId="3" borderId="24" xfId="0" applyNumberFormat="1" applyFont="1" applyFill="1" applyBorder="1" applyAlignment="1">
      <alignment horizontal="center" vertical="center"/>
    </xf>
    <xf numFmtId="0" fontId="28" fillId="0" borderId="4" xfId="0" applyFont="1" applyBorder="1" applyAlignment="1">
      <alignment horizontal="center" vertical="center"/>
    </xf>
    <xf numFmtId="0" fontId="28" fillId="0" borderId="12" xfId="0" applyFont="1" applyBorder="1" applyAlignment="1">
      <alignment horizontal="center" vertical="center"/>
    </xf>
    <xf numFmtId="0" fontId="28" fillId="0" borderId="0" xfId="0" applyFont="1" applyBorder="1" applyAlignment="1">
      <alignment horizontal="center" vertical="center"/>
    </xf>
    <xf numFmtId="9" fontId="28" fillId="3" borderId="16" xfId="0" applyNumberFormat="1" applyFont="1" applyFill="1" applyBorder="1" applyAlignment="1">
      <alignment horizontal="center" vertical="center"/>
    </xf>
    <xf numFmtId="177" fontId="26" fillId="5" borderId="58" xfId="2452" applyNumberFormat="1" applyFont="1" applyFill="1" applyBorder="1" applyAlignment="1">
      <alignment horizontal="center" vertical="center"/>
    </xf>
    <xf numFmtId="177" fontId="26" fillId="3" borderId="3" xfId="2452" applyNumberFormat="1" applyFont="1" applyFill="1" applyBorder="1" applyAlignment="1">
      <alignment horizontal="center" vertical="center"/>
    </xf>
    <xf numFmtId="176" fontId="28" fillId="3" borderId="7" xfId="2452" applyNumberFormat="1" applyFont="1" applyFill="1" applyBorder="1" applyAlignment="1">
      <alignment horizontal="center" vertical="center" wrapText="1"/>
    </xf>
    <xf numFmtId="0" fontId="26" fillId="0" borderId="0" xfId="2450" applyFont="1" applyFill="1">
      <alignment vertical="center"/>
    </xf>
    <xf numFmtId="0" fontId="101" fillId="5" borderId="4" xfId="2450" applyFont="1" applyFill="1" applyBorder="1" applyAlignment="1">
      <alignment horizontal="center" vertical="center"/>
    </xf>
    <xf numFmtId="0" fontId="101" fillId="5" borderId="7" xfId="2450" applyFont="1" applyFill="1" applyBorder="1" applyAlignment="1">
      <alignment horizontal="center" vertical="center"/>
    </xf>
    <xf numFmtId="9" fontId="101" fillId="0" borderId="7" xfId="2473" applyFont="1" applyBorder="1" applyAlignment="1">
      <alignment horizontal="center" vertical="center"/>
    </xf>
    <xf numFmtId="0" fontId="28" fillId="5" borderId="97" xfId="2450" applyFont="1" applyFill="1" applyBorder="1" applyAlignment="1">
      <alignment horizontal="center" vertical="center"/>
    </xf>
    <xf numFmtId="0" fontId="28" fillId="5" borderId="98" xfId="2450" applyFont="1" applyFill="1" applyBorder="1" applyAlignment="1">
      <alignment horizontal="center" vertical="center"/>
    </xf>
    <xf numFmtId="177" fontId="28" fillId="0" borderId="10" xfId="2450" applyNumberFormat="1" applyFont="1" applyFill="1" applyBorder="1" applyAlignment="1">
      <alignment horizontal="center" vertical="center"/>
    </xf>
    <xf numFmtId="177" fontId="28" fillId="0" borderId="49" xfId="2450" applyNumberFormat="1" applyFont="1" applyFill="1" applyBorder="1" applyAlignment="1">
      <alignment horizontal="center" vertical="center"/>
    </xf>
    <xf numFmtId="0" fontId="27" fillId="3" borderId="21" xfId="2450" applyFont="1" applyFill="1" applyBorder="1" applyAlignment="1">
      <alignment horizontal="center" vertical="center"/>
    </xf>
    <xf numFmtId="0" fontId="27" fillId="3" borderId="4" xfId="2450" applyFont="1" applyFill="1" applyBorder="1" applyAlignment="1">
      <alignment horizontal="center" vertical="center"/>
    </xf>
    <xf numFmtId="176" fontId="28" fillId="3" borderId="17" xfId="2453" applyNumberFormat="1" applyFont="1" applyFill="1" applyBorder="1" applyAlignment="1">
      <alignment horizontal="center" vertical="center"/>
    </xf>
    <xf numFmtId="9" fontId="117" fillId="0" borderId="14" xfId="2453" applyNumberFormat="1" applyFont="1" applyFill="1" applyBorder="1" applyAlignment="1">
      <alignment horizontal="center" vertical="center"/>
    </xf>
    <xf numFmtId="176" fontId="28" fillId="8" borderId="26" xfId="2453" applyNumberFormat="1" applyFont="1" applyFill="1" applyBorder="1" applyAlignment="1">
      <alignment horizontal="center" vertical="center" wrapText="1"/>
    </xf>
    <xf numFmtId="176" fontId="28" fillId="8" borderId="29" xfId="2453" applyNumberFormat="1" applyFont="1" applyFill="1" applyBorder="1" applyAlignment="1">
      <alignment horizontal="center" vertical="center"/>
    </xf>
    <xf numFmtId="9" fontId="28" fillId="3" borderId="16" xfId="2453" applyNumberFormat="1" applyFont="1" applyFill="1" applyBorder="1" applyAlignment="1">
      <alignment horizontal="center" vertical="center"/>
    </xf>
    <xf numFmtId="176" fontId="28" fillId="3" borderId="17" xfId="2493" applyNumberFormat="1" applyFont="1" applyFill="1" applyBorder="1" applyAlignment="1">
      <alignment horizontal="center" vertical="center"/>
    </xf>
    <xf numFmtId="176" fontId="28" fillId="3" borderId="7" xfId="2493" applyNumberFormat="1" applyFont="1" applyFill="1" applyBorder="1" applyAlignment="1">
      <alignment horizontal="center" vertical="center" wrapText="1"/>
    </xf>
    <xf numFmtId="176" fontId="28" fillId="3" borderId="18" xfId="2493" applyNumberFormat="1" applyFont="1" applyFill="1" applyBorder="1" applyAlignment="1">
      <alignment horizontal="center" vertical="center"/>
    </xf>
    <xf numFmtId="177" fontId="26" fillId="0" borderId="104" xfId="0" applyNumberFormat="1" applyFont="1" applyFill="1" applyBorder="1" applyAlignment="1">
      <alignment horizontal="center" vertical="center"/>
    </xf>
    <xf numFmtId="177" fontId="26" fillId="0" borderId="48" xfId="0" applyNumberFormat="1" applyFont="1" applyFill="1" applyBorder="1" applyAlignment="1">
      <alignment horizontal="center" vertical="center"/>
    </xf>
    <xf numFmtId="177" fontId="100" fillId="3" borderId="67" xfId="0" applyNumberFormat="1" applyFont="1" applyFill="1" applyBorder="1" applyAlignment="1">
      <alignment horizontal="left" vertical="center"/>
    </xf>
    <xf numFmtId="0" fontId="28" fillId="3" borderId="16" xfId="0" applyNumberFormat="1" applyFont="1" applyFill="1" applyBorder="1" applyAlignment="1">
      <alignment horizontal="center" vertical="center"/>
    </xf>
    <xf numFmtId="177" fontId="28" fillId="3" borderId="4" xfId="2473" applyNumberFormat="1" applyFont="1" applyFill="1" applyBorder="1" applyAlignment="1">
      <alignment horizontal="center" vertical="center"/>
    </xf>
    <xf numFmtId="9" fontId="119" fillId="5" borderId="166" xfId="2453" applyNumberFormat="1" applyFont="1" applyFill="1" applyBorder="1" applyAlignment="1">
      <alignment horizontal="center" vertical="center"/>
    </xf>
    <xf numFmtId="0" fontId="119" fillId="5" borderId="167" xfId="2450" applyFont="1" applyFill="1" applyBorder="1" applyAlignment="1">
      <alignment horizontal="center" vertical="center"/>
    </xf>
    <xf numFmtId="0" fontId="119" fillId="5" borderId="16" xfId="2450" applyFont="1" applyFill="1" applyBorder="1" applyAlignment="1">
      <alignment horizontal="center" vertical="center"/>
    </xf>
    <xf numFmtId="9" fontId="117" fillId="0" borderId="168" xfId="2461" applyFont="1" applyFill="1" applyBorder="1" applyAlignment="1">
      <alignment horizontal="center" vertical="center"/>
    </xf>
    <xf numFmtId="9" fontId="124" fillId="0" borderId="99" xfId="2453" applyNumberFormat="1" applyFont="1" applyFill="1" applyBorder="1" applyAlignment="1">
      <alignment horizontal="center" vertical="center"/>
    </xf>
    <xf numFmtId="9" fontId="117" fillId="0" borderId="169" xfId="2461" applyFont="1" applyBorder="1" applyAlignment="1">
      <alignment horizontal="center" vertical="center"/>
    </xf>
    <xf numFmtId="0" fontId="123" fillId="0" borderId="0" xfId="2450" applyFont="1" applyAlignment="1">
      <alignment vertical="center"/>
    </xf>
    <xf numFmtId="0" fontId="120" fillId="5" borderId="32" xfId="2450" applyFont="1" applyFill="1" applyBorder="1" applyAlignment="1">
      <alignment horizontal="center" vertical="center"/>
    </xf>
    <xf numFmtId="0" fontId="122" fillId="5" borderId="97" xfId="2450" applyFont="1" applyFill="1" applyBorder="1" applyAlignment="1">
      <alignment horizontal="center" vertical="center"/>
    </xf>
    <xf numFmtId="0" fontId="119" fillId="5" borderId="67" xfId="2450" applyFont="1" applyFill="1" applyBorder="1" applyAlignment="1">
      <alignment horizontal="center" vertical="center"/>
    </xf>
    <xf numFmtId="0" fontId="119" fillId="5" borderId="29" xfId="2450" applyFont="1" applyFill="1" applyBorder="1" applyAlignment="1">
      <alignment horizontal="center" vertical="center"/>
    </xf>
    <xf numFmtId="0" fontId="119" fillId="5" borderId="52" xfId="2450" applyFont="1" applyFill="1" applyBorder="1" applyAlignment="1">
      <alignment horizontal="center" vertical="center"/>
    </xf>
    <xf numFmtId="0" fontId="120" fillId="5" borderId="17" xfId="2450" applyFont="1" applyFill="1" applyBorder="1" applyAlignment="1">
      <alignment horizontal="center" vertical="center"/>
    </xf>
    <xf numFmtId="0" fontId="119" fillId="5" borderId="58" xfId="2450" applyFont="1" applyFill="1" applyBorder="1" applyAlignment="1">
      <alignment horizontal="center" vertical="center"/>
    </xf>
    <xf numFmtId="0" fontId="120" fillId="5" borderId="25" xfId="2450" applyFont="1" applyFill="1" applyBorder="1" applyAlignment="1">
      <alignment horizontal="center" vertical="center"/>
    </xf>
    <xf numFmtId="0" fontId="120" fillId="5" borderId="16" xfId="2450" applyFont="1" applyFill="1" applyBorder="1" applyAlignment="1">
      <alignment horizontal="center" vertical="center"/>
    </xf>
    <xf numFmtId="0" fontId="120" fillId="5" borderId="52" xfId="2450" applyFont="1" applyFill="1" applyBorder="1" applyAlignment="1">
      <alignment horizontal="center" vertical="center"/>
    </xf>
    <xf numFmtId="177" fontId="117" fillId="0" borderId="22" xfId="2453" applyNumberFormat="1" applyFont="1" applyFill="1" applyBorder="1" applyAlignment="1">
      <alignment horizontal="center" vertical="center"/>
    </xf>
    <xf numFmtId="177" fontId="117" fillId="0" borderId="34" xfId="2453" applyNumberFormat="1" applyFont="1" applyFill="1" applyBorder="1" applyAlignment="1">
      <alignment horizontal="center" vertical="center"/>
    </xf>
    <xf numFmtId="0" fontId="121" fillId="0" borderId="0" xfId="2450" applyFont="1" applyAlignment="1">
      <alignment vertical="center"/>
    </xf>
    <xf numFmtId="0" fontId="125" fillId="0" borderId="0" xfId="2450" applyFont="1">
      <alignment vertical="center"/>
    </xf>
    <xf numFmtId="9" fontId="28" fillId="3" borderId="27" xfId="2453" applyNumberFormat="1" applyFont="1" applyFill="1" applyBorder="1" applyAlignment="1">
      <alignment horizontal="center" vertical="center"/>
    </xf>
    <xf numFmtId="0" fontId="125" fillId="0" borderId="0" xfId="2450" applyFont="1" applyAlignment="1">
      <alignment horizontal="center" vertical="center"/>
    </xf>
    <xf numFmtId="0" fontId="125" fillId="0" borderId="0" xfId="2450" applyFont="1" applyAlignment="1">
      <alignment horizontal="right" vertical="center"/>
    </xf>
    <xf numFmtId="190" fontId="28" fillId="0" borderId="0" xfId="2453" applyNumberFormat="1" applyFont="1" applyAlignment="1">
      <alignment vertical="center"/>
    </xf>
    <xf numFmtId="0" fontId="27" fillId="5" borderId="32" xfId="2450" applyFont="1" applyFill="1" applyBorder="1" applyAlignment="1">
      <alignment horizontal="center" vertical="center"/>
    </xf>
    <xf numFmtId="0" fontId="27" fillId="5" borderId="25" xfId="2450" applyFont="1" applyFill="1" applyBorder="1" applyAlignment="1">
      <alignment horizontal="center" vertical="center"/>
    </xf>
    <xf numFmtId="0" fontId="27" fillId="5" borderId="21" xfId="2450" applyFont="1" applyFill="1" applyBorder="1" applyAlignment="1">
      <alignment horizontal="center" vertical="center"/>
    </xf>
    <xf numFmtId="0" fontId="27" fillId="5" borderId="4" xfId="2450" applyFont="1" applyFill="1" applyBorder="1" applyAlignment="1">
      <alignment horizontal="center" vertical="center"/>
    </xf>
    <xf numFmtId="0" fontId="27" fillId="5" borderId="17" xfId="2450" applyFont="1" applyFill="1" applyBorder="1" applyAlignment="1">
      <alignment horizontal="center" vertical="center"/>
    </xf>
    <xf numFmtId="0" fontId="28" fillId="3" borderId="7" xfId="2450" applyFont="1" applyFill="1" applyBorder="1" applyAlignment="1">
      <alignment horizontal="center" vertical="center"/>
    </xf>
    <xf numFmtId="0" fontId="28" fillId="3" borderId="4" xfId="2450" applyFont="1" applyFill="1" applyBorder="1" applyAlignment="1">
      <alignment horizontal="center" vertical="center"/>
    </xf>
    <xf numFmtId="0" fontId="28" fillId="0" borderId="4" xfId="2450" applyFont="1" applyFill="1" applyBorder="1" applyAlignment="1">
      <alignment horizontal="center" vertical="center"/>
    </xf>
    <xf numFmtId="0" fontId="28" fillId="0" borderId="12" xfId="2450" applyFont="1" applyFill="1" applyBorder="1" applyAlignment="1">
      <alignment horizontal="center" vertical="center"/>
    </xf>
    <xf numFmtId="176" fontId="28" fillId="8" borderId="30" xfId="2452" applyNumberFormat="1" applyFont="1" applyFill="1" applyBorder="1" applyAlignment="1">
      <alignment horizontal="center" vertical="center" wrapText="1"/>
    </xf>
    <xf numFmtId="176" fontId="28" fillId="3" borderId="17" xfId="2453" applyNumberFormat="1" applyFont="1" applyFill="1" applyBorder="1" applyAlignment="1">
      <alignment horizontal="center" vertical="center"/>
    </xf>
    <xf numFmtId="0" fontId="27" fillId="3" borderId="16" xfId="2453" applyFont="1" applyFill="1" applyBorder="1" applyAlignment="1">
      <alignment horizontal="center" vertical="center"/>
    </xf>
    <xf numFmtId="0" fontId="27" fillId="3" borderId="56" xfId="2453" applyFont="1" applyFill="1" applyBorder="1" applyAlignment="1">
      <alignment horizontal="center" vertical="center"/>
    </xf>
    <xf numFmtId="41" fontId="28" fillId="4" borderId="15" xfId="2463" applyFont="1" applyFill="1" applyBorder="1" applyAlignment="1">
      <alignment horizontal="center" vertical="center"/>
    </xf>
    <xf numFmtId="41" fontId="28" fillId="4" borderId="20" xfId="2463" applyFont="1" applyFill="1" applyBorder="1" applyAlignment="1">
      <alignment horizontal="center" vertical="center"/>
    </xf>
    <xf numFmtId="0" fontId="27" fillId="3" borderId="42" xfId="2453" applyFont="1" applyFill="1" applyBorder="1" applyAlignment="1">
      <alignment horizontal="center" vertical="center" wrapText="1"/>
    </xf>
    <xf numFmtId="0" fontId="27" fillId="3" borderId="25" xfId="2453" applyFont="1" applyFill="1" applyBorder="1" applyAlignment="1">
      <alignment horizontal="center" vertical="center"/>
    </xf>
    <xf numFmtId="0" fontId="27" fillId="3" borderId="52" xfId="2453" applyFont="1" applyFill="1" applyBorder="1" applyAlignment="1">
      <alignment horizontal="center" vertical="center"/>
    </xf>
    <xf numFmtId="0" fontId="27" fillId="3" borderId="8" xfId="2453" applyFont="1" applyFill="1" applyBorder="1" applyAlignment="1">
      <alignment horizontal="center" vertical="center"/>
    </xf>
    <xf numFmtId="0" fontId="28" fillId="0" borderId="0" xfId="2453" applyFont="1" applyFill="1" applyBorder="1" applyAlignment="1">
      <alignment horizontal="center" vertical="center"/>
    </xf>
    <xf numFmtId="0" fontId="28" fillId="0" borderId="0" xfId="2453" applyFont="1" applyFill="1" applyBorder="1" applyAlignment="1">
      <alignment horizontal="center" vertical="center" wrapText="1"/>
    </xf>
    <xf numFmtId="0" fontId="27" fillId="3" borderId="57" xfId="2453" applyFont="1" applyFill="1" applyBorder="1" applyAlignment="1">
      <alignment horizontal="center" vertical="center"/>
    </xf>
    <xf numFmtId="176" fontId="28" fillId="8" borderId="30" xfId="2452" applyNumberFormat="1" applyFont="1" applyFill="1" applyBorder="1" applyAlignment="1">
      <alignment horizontal="center" vertical="center"/>
    </xf>
    <xf numFmtId="0" fontId="28" fillId="3" borderId="9" xfId="2450" applyFont="1" applyFill="1" applyBorder="1" applyAlignment="1">
      <alignment horizontal="center" vertical="center"/>
    </xf>
    <xf numFmtId="9" fontId="28" fillId="3" borderId="16" xfId="0" applyNumberFormat="1" applyFont="1" applyFill="1" applyBorder="1" applyAlignment="1">
      <alignment horizontal="center" vertical="center"/>
    </xf>
    <xf numFmtId="0" fontId="27" fillId="5" borderId="38" xfId="2450" applyFont="1" applyFill="1" applyBorder="1" applyAlignment="1">
      <alignment horizontal="center" vertical="center"/>
    </xf>
    <xf numFmtId="0" fontId="27" fillId="5" borderId="16" xfId="2450" applyFont="1" applyFill="1" applyBorder="1" applyAlignment="1">
      <alignment horizontal="center" vertical="center"/>
    </xf>
    <xf numFmtId="176" fontId="28" fillId="3" borderId="7" xfId="2452" applyNumberFormat="1" applyFont="1" applyFill="1" applyBorder="1" applyAlignment="1">
      <alignment horizontal="center" vertical="center" wrapText="1"/>
    </xf>
    <xf numFmtId="0" fontId="28" fillId="3" borderId="6" xfId="2450" applyFont="1" applyFill="1" applyBorder="1" applyAlignment="1">
      <alignment horizontal="center" vertical="center"/>
    </xf>
    <xf numFmtId="0" fontId="28" fillId="0" borderId="0" xfId="2450" applyFont="1" applyBorder="1" applyAlignment="1">
      <alignment horizontal="center" vertical="center"/>
    </xf>
    <xf numFmtId="9" fontId="28" fillId="0" borderId="27" xfId="2450" applyNumberFormat="1" applyFont="1" applyFill="1" applyBorder="1" applyAlignment="1">
      <alignment horizontal="center" vertical="center"/>
    </xf>
    <xf numFmtId="176" fontId="28" fillId="2" borderId="101" xfId="0" applyNumberFormat="1" applyFont="1" applyFill="1" applyBorder="1" applyAlignment="1">
      <alignment horizontal="center" vertical="center"/>
    </xf>
    <xf numFmtId="176" fontId="28" fillId="2" borderId="61" xfId="0" applyNumberFormat="1" applyFont="1" applyFill="1" applyBorder="1" applyAlignment="1">
      <alignment horizontal="center" vertical="center"/>
    </xf>
    <xf numFmtId="176" fontId="28" fillId="2" borderId="111" xfId="0" applyNumberFormat="1" applyFont="1" applyFill="1" applyBorder="1" applyAlignment="1">
      <alignment horizontal="center" vertical="center"/>
    </xf>
    <xf numFmtId="176" fontId="28" fillId="2" borderId="113" xfId="0" applyNumberFormat="1" applyFont="1" applyFill="1" applyBorder="1" applyAlignment="1">
      <alignment horizontal="center" vertical="center"/>
    </xf>
    <xf numFmtId="176" fontId="28" fillId="3" borderId="85" xfId="0" applyNumberFormat="1" applyFont="1" applyFill="1" applyBorder="1" applyAlignment="1">
      <alignment horizontal="center" vertical="center"/>
    </xf>
    <xf numFmtId="176" fontId="28" fillId="3" borderId="86" xfId="0" applyNumberFormat="1" applyFont="1" applyFill="1" applyBorder="1" applyAlignment="1">
      <alignment horizontal="center" vertical="center"/>
    </xf>
    <xf numFmtId="176" fontId="28" fillId="3" borderId="84" xfId="0" applyNumberFormat="1" applyFont="1" applyFill="1" applyBorder="1" applyAlignment="1">
      <alignment horizontal="center" vertical="center"/>
    </xf>
    <xf numFmtId="176" fontId="28" fillId="2" borderId="76" xfId="0" applyNumberFormat="1" applyFont="1" applyFill="1" applyBorder="1" applyAlignment="1">
      <alignment horizontal="center" vertical="center"/>
    </xf>
    <xf numFmtId="176" fontId="28" fillId="2" borderId="131" xfId="0" applyNumberFormat="1" applyFont="1" applyFill="1" applyBorder="1" applyAlignment="1">
      <alignment horizontal="center" vertical="center"/>
    </xf>
    <xf numFmtId="176" fontId="28" fillId="2" borderId="73" xfId="0" applyNumberFormat="1" applyFont="1" applyFill="1" applyBorder="1" applyAlignment="1">
      <alignment horizontal="center" vertical="center"/>
    </xf>
    <xf numFmtId="176" fontId="28" fillId="3" borderId="85" xfId="0" applyNumberFormat="1" applyFont="1" applyFill="1" applyBorder="1" applyAlignment="1">
      <alignment horizontal="center" vertical="center" wrapText="1"/>
    </xf>
    <xf numFmtId="0" fontId="147" fillId="0" borderId="0" xfId="2450" applyFont="1" applyAlignment="1">
      <alignment horizontal="left" vertical="center"/>
    </xf>
    <xf numFmtId="176" fontId="28" fillId="3" borderId="17" xfId="2495" applyNumberFormat="1" applyFont="1" applyFill="1" applyBorder="1" applyAlignment="1">
      <alignment horizontal="center" vertical="center"/>
    </xf>
    <xf numFmtId="176" fontId="28" fillId="3" borderId="7" xfId="2495" applyNumberFormat="1" applyFont="1" applyFill="1" applyBorder="1" applyAlignment="1">
      <alignment horizontal="center" vertical="center" wrapText="1"/>
    </xf>
    <xf numFmtId="176" fontId="28" fillId="3" borderId="18" xfId="2495" applyNumberFormat="1" applyFont="1" applyFill="1" applyBorder="1" applyAlignment="1">
      <alignment horizontal="center" vertical="center"/>
    </xf>
    <xf numFmtId="176" fontId="28" fillId="3" borderId="24" xfId="2495" applyNumberFormat="1" applyFont="1" applyFill="1" applyBorder="1" applyAlignment="1">
      <alignment horizontal="center" vertical="center"/>
    </xf>
    <xf numFmtId="9" fontId="28" fillId="0" borderId="24" xfId="2461" applyNumberFormat="1" applyFont="1" applyFill="1" applyBorder="1" applyAlignment="1">
      <alignment horizontal="center" vertical="center"/>
    </xf>
    <xf numFmtId="0" fontId="27" fillId="0" borderId="0" xfId="2495" applyFont="1" applyBorder="1" applyAlignment="1">
      <alignment vertical="center"/>
    </xf>
    <xf numFmtId="0" fontId="28" fillId="0" borderId="0" xfId="2495" applyFont="1" applyBorder="1" applyAlignment="1">
      <alignment vertical="center"/>
    </xf>
    <xf numFmtId="0" fontId="28" fillId="0" borderId="0" xfId="2495" applyFont="1" applyFill="1" applyAlignment="1">
      <alignment vertical="center"/>
    </xf>
    <xf numFmtId="0" fontId="28" fillId="0" borderId="0" xfId="2495" applyFont="1" applyAlignment="1">
      <alignment vertical="center"/>
    </xf>
    <xf numFmtId="0" fontId="28" fillId="0" borderId="0" xfId="2495" applyFont="1" applyAlignment="1">
      <alignment horizontal="center" vertical="center"/>
    </xf>
    <xf numFmtId="0" fontId="28" fillId="0" borderId="0" xfId="2495" applyFont="1" applyFill="1" applyAlignment="1">
      <alignment horizontal="center" vertical="center"/>
    </xf>
    <xf numFmtId="0" fontId="78" fillId="4" borderId="63" xfId="0" applyFont="1" applyFill="1" applyBorder="1" applyAlignment="1">
      <alignment horizontal="center" vertical="center"/>
    </xf>
    <xf numFmtId="0" fontId="82" fillId="0" borderId="0" xfId="2455" applyFont="1" applyAlignment="1">
      <alignment horizontal="center" vertical="center"/>
    </xf>
    <xf numFmtId="0" fontId="83" fillId="0" borderId="64" xfId="2455" applyFont="1" applyFill="1" applyBorder="1" applyAlignment="1">
      <alignment horizontal="center" vertical="center"/>
    </xf>
    <xf numFmtId="0" fontId="20" fillId="4" borderId="63" xfId="0" applyFont="1" applyFill="1" applyBorder="1" applyAlignment="1">
      <alignment horizontal="center" vertical="center"/>
    </xf>
    <xf numFmtId="0" fontId="20" fillId="4" borderId="63" xfId="2450" applyFont="1" applyFill="1" applyBorder="1" applyAlignment="1">
      <alignment horizontal="center" vertical="center"/>
    </xf>
    <xf numFmtId="0" fontId="142" fillId="5" borderId="32" xfId="0" applyFont="1" applyFill="1" applyBorder="1" applyAlignment="1">
      <alignment horizontal="center" vertical="center"/>
    </xf>
    <xf numFmtId="0" fontId="142" fillId="5" borderId="25" xfId="0" applyFont="1" applyFill="1" applyBorder="1" applyAlignment="1">
      <alignment horizontal="center" vertical="center"/>
    </xf>
    <xf numFmtId="0" fontId="142" fillId="5" borderId="16" xfId="0" applyFont="1" applyFill="1" applyBorder="1" applyAlignment="1">
      <alignment horizontal="center" vertical="center"/>
    </xf>
    <xf numFmtId="0" fontId="144" fillId="0" borderId="28" xfId="2450" applyFont="1" applyBorder="1" applyAlignment="1">
      <alignment horizontal="center" vertical="center"/>
    </xf>
    <xf numFmtId="0" fontId="145" fillId="0" borderId="7" xfId="2450" applyFont="1" applyBorder="1" applyAlignment="1">
      <alignment horizontal="center" vertical="center"/>
    </xf>
    <xf numFmtId="0" fontId="144" fillId="0" borderId="26" xfId="2450" applyFont="1" applyFill="1" applyBorder="1" applyAlignment="1">
      <alignment horizontal="center" vertical="center"/>
    </xf>
    <xf numFmtId="0" fontId="144" fillId="0" borderId="58" xfId="2450" applyFont="1" applyFill="1" applyBorder="1" applyAlignment="1">
      <alignment horizontal="center" vertical="center"/>
    </xf>
    <xf numFmtId="0" fontId="144" fillId="0" borderId="24" xfId="2450" applyFont="1" applyFill="1" applyBorder="1" applyAlignment="1">
      <alignment horizontal="center" vertical="center"/>
    </xf>
    <xf numFmtId="0" fontId="144" fillId="0" borderId="23" xfId="2450" applyFont="1" applyFill="1" applyBorder="1" applyAlignment="1">
      <alignment horizontal="center" vertical="center"/>
    </xf>
    <xf numFmtId="0" fontId="143" fillId="5" borderId="37" xfId="2450" applyFont="1" applyFill="1" applyBorder="1" applyAlignment="1">
      <alignment horizontal="center" vertical="center"/>
    </xf>
    <xf numFmtId="0" fontId="143" fillId="5" borderId="48" xfId="2450" applyFont="1" applyFill="1" applyBorder="1" applyAlignment="1">
      <alignment horizontal="center" vertical="center"/>
    </xf>
    <xf numFmtId="0" fontId="143" fillId="5" borderId="42" xfId="2450" applyFont="1" applyFill="1" applyBorder="1" applyAlignment="1">
      <alignment horizontal="center" vertical="center"/>
    </xf>
    <xf numFmtId="0" fontId="143" fillId="5" borderId="50" xfId="2450" applyFont="1" applyFill="1" applyBorder="1" applyAlignment="1">
      <alignment horizontal="center" vertical="center"/>
    </xf>
    <xf numFmtId="0" fontId="144" fillId="0" borderId="4" xfId="2450" applyFont="1" applyBorder="1" applyAlignment="1">
      <alignment horizontal="center" vertical="center"/>
    </xf>
    <xf numFmtId="0" fontId="145" fillId="0" borderId="4" xfId="2450" applyFont="1" applyBorder="1" applyAlignment="1">
      <alignment horizontal="center" vertical="center"/>
    </xf>
    <xf numFmtId="0" fontId="144" fillId="0" borderId="6" xfId="2450" applyFont="1" applyFill="1" applyBorder="1" applyAlignment="1">
      <alignment horizontal="center" vertical="center"/>
    </xf>
    <xf numFmtId="0" fontId="144" fillId="0" borderId="3" xfId="2450" applyFont="1" applyFill="1" applyBorder="1" applyAlignment="1">
      <alignment horizontal="center" vertical="center"/>
    </xf>
    <xf numFmtId="0" fontId="144" fillId="0" borderId="9" xfId="2450" applyFont="1" applyFill="1" applyBorder="1" applyAlignment="1">
      <alignment horizontal="center" vertical="center"/>
    </xf>
    <xf numFmtId="0" fontId="144" fillId="0" borderId="22" xfId="2450" applyFont="1" applyFill="1" applyBorder="1" applyAlignment="1">
      <alignment horizontal="center" vertical="center"/>
    </xf>
    <xf numFmtId="0" fontId="28" fillId="3" borderId="17" xfId="2450" applyFont="1" applyFill="1" applyBorder="1" applyAlignment="1">
      <alignment horizontal="center" vertical="center"/>
    </xf>
    <xf numFmtId="0" fontId="28" fillId="3" borderId="7" xfId="2450" applyFont="1" applyFill="1" applyBorder="1" applyAlignment="1">
      <alignment horizontal="center" vertical="center"/>
    </xf>
    <xf numFmtId="0" fontId="102" fillId="0" borderId="26" xfId="2450" applyFont="1" applyBorder="1" applyAlignment="1">
      <alignment horizontal="center" vertical="center"/>
    </xf>
    <xf numFmtId="0" fontId="102" fillId="0" borderId="58" xfId="2450" applyFont="1" applyBorder="1" applyAlignment="1">
      <alignment horizontal="center" vertical="center"/>
    </xf>
    <xf numFmtId="0" fontId="102" fillId="0" borderId="23" xfId="2450" applyFont="1" applyBorder="1" applyAlignment="1">
      <alignment horizontal="center" vertical="center"/>
    </xf>
    <xf numFmtId="0" fontId="28" fillId="3" borderId="32" xfId="2450" applyFont="1" applyFill="1" applyBorder="1" applyAlignment="1">
      <alignment horizontal="center" vertical="center"/>
    </xf>
    <xf numFmtId="0" fontId="28" fillId="3" borderId="25" xfId="2450" applyFont="1" applyFill="1" applyBorder="1" applyAlignment="1">
      <alignment horizontal="center" vertical="center"/>
    </xf>
    <xf numFmtId="0" fontId="28" fillId="3" borderId="16" xfId="2450" applyFont="1" applyFill="1" applyBorder="1" applyAlignment="1">
      <alignment horizontal="center" vertical="center"/>
    </xf>
    <xf numFmtId="0" fontId="28" fillId="3" borderId="21" xfId="2450" applyFont="1" applyFill="1" applyBorder="1" applyAlignment="1">
      <alignment horizontal="center" vertical="center"/>
    </xf>
    <xf numFmtId="0" fontId="28" fillId="3" borderId="4" xfId="2450" applyFont="1" applyFill="1" applyBorder="1" applyAlignment="1">
      <alignment horizontal="center" vertical="center"/>
    </xf>
    <xf numFmtId="0" fontId="28" fillId="0" borderId="4" xfId="2450" applyFont="1" applyFill="1" applyBorder="1" applyAlignment="1">
      <alignment horizontal="center" vertical="center"/>
    </xf>
    <xf numFmtId="0" fontId="28" fillId="0" borderId="12" xfId="2450" applyFont="1" applyFill="1" applyBorder="1" applyAlignment="1">
      <alignment horizontal="center" vertical="center"/>
    </xf>
    <xf numFmtId="0" fontId="28" fillId="0" borderId="7" xfId="2450" applyFont="1" applyBorder="1" applyAlignment="1">
      <alignment horizontal="center" vertical="center" wrapText="1"/>
    </xf>
    <xf numFmtId="0" fontId="28" fillId="0" borderId="18" xfId="2450" applyFont="1" applyBorder="1" applyAlignment="1">
      <alignment horizontal="center" vertical="center" wrapText="1"/>
    </xf>
    <xf numFmtId="0" fontId="28" fillId="3" borderId="29" xfId="2450" applyFont="1" applyFill="1" applyBorder="1" applyAlignment="1">
      <alignment horizontal="center" vertical="center"/>
    </xf>
    <xf numFmtId="0" fontId="28" fillId="3" borderId="67" xfId="2450" applyFont="1" applyFill="1" applyBorder="1" applyAlignment="1">
      <alignment horizontal="center" vertical="center"/>
    </xf>
    <xf numFmtId="0" fontId="28" fillId="3" borderId="52" xfId="2450" applyFont="1" applyFill="1" applyBorder="1" applyAlignment="1">
      <alignment horizontal="center" vertical="center"/>
    </xf>
    <xf numFmtId="0" fontId="28" fillId="3" borderId="90" xfId="2450" applyFont="1" applyFill="1" applyBorder="1" applyAlignment="1">
      <alignment horizontal="center" vertical="center"/>
    </xf>
    <xf numFmtId="0" fontId="28" fillId="3" borderId="83" xfId="2450" applyFont="1" applyFill="1" applyBorder="1" applyAlignment="1">
      <alignment horizontal="center" vertical="center"/>
    </xf>
    <xf numFmtId="0" fontId="28" fillId="3" borderId="93" xfId="2450" applyFont="1" applyFill="1" applyBorder="1" applyAlignment="1">
      <alignment horizontal="center" vertical="center"/>
    </xf>
    <xf numFmtId="0" fontId="28" fillId="3" borderId="2" xfId="2450" applyFont="1" applyFill="1" applyBorder="1" applyAlignment="1">
      <alignment horizontal="center" vertical="center"/>
    </xf>
    <xf numFmtId="0" fontId="28" fillId="3" borderId="94" xfId="2450" applyFont="1" applyFill="1" applyBorder="1" applyAlignment="1">
      <alignment horizontal="center" vertical="center"/>
    </xf>
    <xf numFmtId="0" fontId="27" fillId="5" borderId="32" xfId="2450" applyFont="1" applyFill="1" applyBorder="1" applyAlignment="1">
      <alignment horizontal="center" vertical="center"/>
    </xf>
    <xf numFmtId="0" fontId="27" fillId="5" borderId="25" xfId="2450" applyFont="1" applyFill="1" applyBorder="1" applyAlignment="1">
      <alignment horizontal="center" vertical="center"/>
    </xf>
    <xf numFmtId="0" fontId="27" fillId="5" borderId="21" xfId="2450" applyFont="1" applyFill="1" applyBorder="1" applyAlignment="1">
      <alignment horizontal="center" vertical="center"/>
    </xf>
    <xf numFmtId="0" fontId="27" fillId="5" borderId="4" xfId="2450" applyFont="1" applyFill="1" applyBorder="1" applyAlignment="1">
      <alignment horizontal="center" vertical="center"/>
    </xf>
    <xf numFmtId="0" fontId="27" fillId="5" borderId="17" xfId="2450" applyFont="1" applyFill="1" applyBorder="1" applyAlignment="1">
      <alignment horizontal="center" vertical="center"/>
    </xf>
    <xf numFmtId="0" fontId="27" fillId="5" borderId="7" xfId="2450" applyFont="1" applyFill="1" applyBorder="1" applyAlignment="1">
      <alignment horizontal="center" vertical="center"/>
    </xf>
    <xf numFmtId="0" fontId="28" fillId="0" borderId="25" xfId="2450" applyFont="1" applyFill="1" applyBorder="1" applyAlignment="1">
      <alignment horizontal="center" vertical="center"/>
    </xf>
    <xf numFmtId="0" fontId="28" fillId="0" borderId="25" xfId="2450" applyFont="1" applyBorder="1" applyAlignment="1">
      <alignment horizontal="left" vertical="center" wrapText="1"/>
    </xf>
    <xf numFmtId="0" fontId="28" fillId="0" borderId="16" xfId="2450" applyFont="1" applyBorder="1" applyAlignment="1">
      <alignment horizontal="left" vertical="center" wrapText="1"/>
    </xf>
    <xf numFmtId="0" fontId="28" fillId="0" borderId="4" xfId="2450" applyFont="1" applyBorder="1" applyAlignment="1">
      <alignment horizontal="left" vertical="center" wrapText="1"/>
    </xf>
    <xf numFmtId="0" fontId="28" fillId="0" borderId="12" xfId="2450" applyFont="1" applyBorder="1" applyAlignment="1">
      <alignment horizontal="left" vertical="center" wrapText="1"/>
    </xf>
    <xf numFmtId="0" fontId="28" fillId="0" borderId="7" xfId="2450" applyFont="1" applyBorder="1" applyAlignment="1">
      <alignment horizontal="left" vertical="center" wrapText="1"/>
    </xf>
    <xf numFmtId="0" fontId="28" fillId="0" borderId="18" xfId="2450" applyFont="1" applyBorder="1" applyAlignment="1">
      <alignment horizontal="left" vertical="center" wrapText="1"/>
    </xf>
    <xf numFmtId="0" fontId="28" fillId="0" borderId="4" xfId="2450" applyFont="1" applyFill="1" applyBorder="1" applyAlignment="1">
      <alignment horizontal="center" vertical="center" wrapText="1"/>
    </xf>
    <xf numFmtId="0" fontId="28" fillId="0" borderId="7" xfId="2450" applyFont="1" applyFill="1" applyBorder="1" applyAlignment="1">
      <alignment horizontal="center" vertical="center" wrapText="1"/>
    </xf>
    <xf numFmtId="0" fontId="126" fillId="5" borderId="4" xfId="2450" applyFont="1" applyFill="1" applyBorder="1" applyAlignment="1">
      <alignment horizontal="center" vertical="center"/>
    </xf>
    <xf numFmtId="0" fontId="126" fillId="5" borderId="14" xfId="2450" applyFont="1" applyFill="1" applyBorder="1" applyAlignment="1">
      <alignment horizontal="center" vertical="center"/>
    </xf>
    <xf numFmtId="9" fontId="101" fillId="0" borderId="4" xfId="2450" applyNumberFormat="1" applyFont="1" applyBorder="1" applyAlignment="1">
      <alignment horizontal="center" vertical="center"/>
    </xf>
    <xf numFmtId="9" fontId="101" fillId="0" borderId="7" xfId="2450" applyNumberFormat="1" applyFont="1" applyBorder="1" applyAlignment="1">
      <alignment horizontal="center" vertical="center"/>
    </xf>
    <xf numFmtId="0" fontId="27" fillId="3" borderId="32" xfId="2450" applyFont="1" applyFill="1" applyBorder="1" applyAlignment="1">
      <alignment horizontal="center" vertical="center"/>
    </xf>
    <xf numFmtId="0" fontId="27" fillId="3" borderId="25" xfId="2450" applyFont="1" applyFill="1" applyBorder="1" applyAlignment="1">
      <alignment horizontal="center" vertical="center"/>
    </xf>
    <xf numFmtId="0" fontId="27" fillId="3" borderId="21" xfId="2450" applyFont="1" applyFill="1" applyBorder="1" applyAlignment="1">
      <alignment horizontal="center" vertical="center"/>
    </xf>
    <xf numFmtId="0" fontId="27" fillId="3" borderId="4" xfId="2450" applyFont="1" applyFill="1" applyBorder="1" applyAlignment="1">
      <alignment horizontal="center" vertical="center"/>
    </xf>
    <xf numFmtId="0" fontId="27" fillId="3" borderId="62" xfId="2450" applyFont="1" applyFill="1" applyBorder="1" applyAlignment="1">
      <alignment horizontal="center" vertical="center"/>
    </xf>
    <xf numFmtId="0" fontId="27" fillId="3" borderId="14" xfId="2450" applyFont="1" applyFill="1" applyBorder="1" applyAlignment="1">
      <alignment horizontal="center" vertical="center"/>
    </xf>
    <xf numFmtId="0" fontId="28" fillId="0" borderId="25" xfId="2450" applyFont="1" applyBorder="1" applyAlignment="1">
      <alignment horizontal="center" vertical="center" wrapText="1"/>
    </xf>
    <xf numFmtId="0" fontId="28" fillId="0" borderId="4" xfId="2450" applyFont="1" applyBorder="1" applyAlignment="1">
      <alignment horizontal="center" vertical="center" wrapText="1"/>
    </xf>
    <xf numFmtId="0" fontId="28" fillId="0" borderId="14" xfId="2450" applyFont="1" applyBorder="1" applyAlignment="1">
      <alignment horizontal="center" vertical="center" wrapText="1"/>
    </xf>
    <xf numFmtId="0" fontId="28" fillId="0" borderId="30" xfId="2450" applyFont="1" applyBorder="1" applyAlignment="1">
      <alignment horizontal="center" vertical="center" wrapText="1"/>
    </xf>
    <xf numFmtId="0" fontId="28" fillId="0" borderId="31" xfId="2450" applyFont="1" applyBorder="1" applyAlignment="1">
      <alignment horizontal="center" vertical="center" wrapText="1"/>
    </xf>
    <xf numFmtId="0" fontId="27" fillId="3" borderId="43" xfId="2450" applyFont="1" applyFill="1" applyBorder="1" applyAlignment="1">
      <alignment horizontal="center" vertical="center"/>
    </xf>
    <xf numFmtId="0" fontId="27" fillId="3" borderId="44" xfId="2450" applyFont="1" applyFill="1" applyBorder="1" applyAlignment="1">
      <alignment horizontal="center" vertical="center"/>
    </xf>
    <xf numFmtId="0" fontId="27" fillId="3" borderId="40" xfId="2450" applyFont="1" applyFill="1" applyBorder="1" applyAlignment="1">
      <alignment horizontal="center" vertical="center"/>
    </xf>
    <xf numFmtId="0" fontId="27" fillId="3" borderId="0" xfId="2450" applyFont="1" applyFill="1" applyBorder="1" applyAlignment="1">
      <alignment horizontal="center" vertical="center"/>
    </xf>
    <xf numFmtId="0" fontId="27" fillId="3" borderId="42" xfId="2450" applyFont="1" applyFill="1" applyBorder="1" applyAlignment="1">
      <alignment horizontal="center" vertical="center"/>
    </xf>
    <xf numFmtId="0" fontId="27" fillId="3" borderId="5" xfId="2450" applyFont="1" applyFill="1" applyBorder="1" applyAlignment="1">
      <alignment horizontal="center" vertical="center"/>
    </xf>
    <xf numFmtId="0" fontId="28" fillId="0" borderId="15" xfId="2450" applyFont="1" applyFill="1" applyBorder="1" applyAlignment="1">
      <alignment horizontal="center" vertical="center"/>
    </xf>
    <xf numFmtId="0" fontId="28" fillId="0" borderId="0" xfId="2450" applyFont="1" applyBorder="1" applyAlignment="1">
      <alignment horizontal="center" vertical="center" wrapText="1"/>
    </xf>
    <xf numFmtId="0" fontId="28" fillId="0" borderId="41" xfId="2450" applyFont="1" applyBorder="1" applyAlignment="1">
      <alignment horizontal="center" vertical="center" wrapText="1"/>
    </xf>
    <xf numFmtId="0" fontId="28" fillId="0" borderId="5" xfId="2450" applyFont="1" applyBorder="1" applyAlignment="1">
      <alignment horizontal="center" vertical="center" wrapText="1"/>
    </xf>
    <xf numFmtId="0" fontId="28" fillId="0" borderId="34" xfId="2450" applyFont="1" applyBorder="1" applyAlignment="1">
      <alignment horizontal="center" vertical="center" wrapText="1"/>
    </xf>
    <xf numFmtId="0" fontId="142" fillId="5" borderId="4" xfId="2450" applyFont="1" applyFill="1" applyBorder="1" applyAlignment="1">
      <alignment horizontal="center" vertical="center"/>
    </xf>
    <xf numFmtId="176" fontId="28" fillId="0" borderId="29" xfId="2452" applyNumberFormat="1" applyFont="1" applyFill="1" applyBorder="1" applyAlignment="1">
      <alignment horizontal="center" vertical="center"/>
    </xf>
    <xf numFmtId="176" fontId="28" fillId="0" borderId="6" xfId="2452" applyNumberFormat="1" applyFont="1" applyFill="1" applyBorder="1" applyAlignment="1">
      <alignment horizontal="center" vertical="center"/>
    </xf>
    <xf numFmtId="176" fontId="28" fillId="0" borderId="25" xfId="2452" applyNumberFormat="1" applyFont="1" applyFill="1" applyBorder="1" applyAlignment="1">
      <alignment horizontal="center" vertical="center"/>
    </xf>
    <xf numFmtId="176" fontId="28" fillId="0" borderId="4" xfId="2452" applyNumberFormat="1" applyFont="1" applyFill="1" applyBorder="1" applyAlignment="1">
      <alignment horizontal="center" vertical="center"/>
    </xf>
    <xf numFmtId="177" fontId="106" fillId="4" borderId="15" xfId="2452" applyNumberFormat="1" applyFont="1" applyFill="1" applyBorder="1" applyAlignment="1">
      <alignment horizontal="center" vertical="center"/>
    </xf>
    <xf numFmtId="177" fontId="106" fillId="4" borderId="20" xfId="2452" applyNumberFormat="1" applyFont="1" applyFill="1" applyBorder="1" applyAlignment="1">
      <alignment horizontal="center" vertical="center"/>
    </xf>
    <xf numFmtId="176" fontId="28" fillId="0" borderId="19" xfId="2452" applyNumberFormat="1" applyFont="1" applyFill="1" applyBorder="1" applyAlignment="1">
      <alignment horizontal="center" vertical="center"/>
    </xf>
    <xf numFmtId="176" fontId="28" fillId="0" borderId="17" xfId="2452" applyNumberFormat="1" applyFont="1" applyFill="1" applyBorder="1" applyAlignment="1">
      <alignment horizontal="center" vertical="center"/>
    </xf>
    <xf numFmtId="176" fontId="28" fillId="0" borderId="15" xfId="2452" applyNumberFormat="1" applyFont="1" applyFill="1" applyBorder="1" applyAlignment="1">
      <alignment horizontal="center" vertical="center"/>
    </xf>
    <xf numFmtId="176" fontId="28" fillId="0" borderId="7" xfId="2452" applyNumberFormat="1" applyFont="1" applyFill="1" applyBorder="1" applyAlignment="1">
      <alignment horizontal="center" vertical="center"/>
    </xf>
    <xf numFmtId="176" fontId="28" fillId="0" borderId="33" xfId="2452" applyNumberFormat="1" applyFont="1" applyFill="1" applyBorder="1" applyAlignment="1">
      <alignment horizontal="center" vertical="center"/>
    </xf>
    <xf numFmtId="176" fontId="28" fillId="0" borderId="28" xfId="2452" applyNumberFormat="1" applyFont="1" applyFill="1" applyBorder="1" applyAlignment="1">
      <alignment horizontal="center" vertical="center"/>
    </xf>
    <xf numFmtId="176" fontId="28" fillId="0" borderId="46" xfId="2452" applyNumberFormat="1" applyFont="1" applyFill="1" applyBorder="1" applyAlignment="1">
      <alignment horizontal="center" vertical="center"/>
    </xf>
    <xf numFmtId="176" fontId="28" fillId="0" borderId="26" xfId="2452" applyNumberFormat="1" applyFont="1" applyFill="1" applyBorder="1" applyAlignment="1">
      <alignment horizontal="center" vertical="center"/>
    </xf>
    <xf numFmtId="176" fontId="100" fillId="3" borderId="65" xfId="2453" applyNumberFormat="1" applyFont="1" applyFill="1" applyBorder="1" applyAlignment="1">
      <alignment horizontal="center" vertical="center"/>
    </xf>
    <xf numFmtId="176" fontId="100" fillId="3" borderId="66" xfId="2453" applyNumberFormat="1" applyFont="1" applyFill="1" applyBorder="1" applyAlignment="1">
      <alignment horizontal="center" vertical="center"/>
    </xf>
    <xf numFmtId="176" fontId="100" fillId="3" borderId="82" xfId="2453" applyNumberFormat="1" applyFont="1" applyFill="1" applyBorder="1" applyAlignment="1">
      <alignment horizontal="center" vertical="center"/>
    </xf>
    <xf numFmtId="177" fontId="106" fillId="4" borderId="25" xfId="2452" applyNumberFormat="1" applyFont="1" applyFill="1" applyBorder="1" applyAlignment="1">
      <alignment horizontal="center" vertical="center"/>
    </xf>
    <xf numFmtId="177" fontId="106" fillId="4" borderId="16" xfId="2452" applyNumberFormat="1" applyFont="1" applyFill="1" applyBorder="1" applyAlignment="1">
      <alignment horizontal="center" vertical="center"/>
    </xf>
    <xf numFmtId="176" fontId="28" fillId="0" borderId="32" xfId="2452" applyNumberFormat="1" applyFont="1" applyFill="1" applyBorder="1" applyAlignment="1">
      <alignment horizontal="center" vertical="center"/>
    </xf>
    <xf numFmtId="176" fontId="28" fillId="0" borderId="21" xfId="2452" applyNumberFormat="1" applyFont="1" applyFill="1" applyBorder="1" applyAlignment="1">
      <alignment horizontal="center" vertical="center"/>
    </xf>
    <xf numFmtId="176" fontId="28" fillId="0" borderId="30" xfId="2452" applyNumberFormat="1" applyFont="1" applyFill="1" applyBorder="1" applyAlignment="1">
      <alignment horizontal="center" vertical="center"/>
    </xf>
    <xf numFmtId="176" fontId="28" fillId="3" borderId="19" xfId="2453" applyNumberFormat="1" applyFont="1" applyFill="1" applyBorder="1" applyAlignment="1">
      <alignment horizontal="center" vertical="center"/>
    </xf>
    <xf numFmtId="176" fontId="28" fillId="3" borderId="17" xfId="2453" applyNumberFormat="1" applyFont="1" applyFill="1" applyBorder="1" applyAlignment="1">
      <alignment horizontal="center" vertical="center"/>
    </xf>
    <xf numFmtId="177" fontId="27" fillId="4" borderId="15" xfId="2452" applyNumberFormat="1" applyFont="1" applyFill="1" applyBorder="1" applyAlignment="1">
      <alignment horizontal="center" vertical="center"/>
    </xf>
    <xf numFmtId="177" fontId="27" fillId="4" borderId="20" xfId="2452" applyNumberFormat="1" applyFont="1" applyFill="1" applyBorder="1" applyAlignment="1">
      <alignment horizontal="center" vertical="center"/>
    </xf>
    <xf numFmtId="176" fontId="28" fillId="0" borderId="31" xfId="2452" applyNumberFormat="1" applyFont="1" applyFill="1" applyBorder="1" applyAlignment="1">
      <alignment horizontal="center" vertical="center"/>
    </xf>
    <xf numFmtId="176" fontId="28" fillId="0" borderId="20" xfId="2452" applyNumberFormat="1" applyFont="1" applyFill="1" applyBorder="1" applyAlignment="1">
      <alignment horizontal="center" vertical="center"/>
    </xf>
    <xf numFmtId="176" fontId="27" fillId="4" borderId="46" xfId="2452" applyNumberFormat="1" applyFont="1" applyFill="1" applyBorder="1" applyAlignment="1">
      <alignment horizontal="center" vertical="center"/>
    </xf>
    <xf numFmtId="176" fontId="27" fillId="4" borderId="60" xfId="2452" applyNumberFormat="1" applyFont="1" applyFill="1" applyBorder="1" applyAlignment="1">
      <alignment horizontal="center" vertical="center"/>
    </xf>
    <xf numFmtId="176" fontId="28" fillId="0" borderId="66" xfId="2452" applyNumberFormat="1" applyFont="1" applyFill="1" applyBorder="1" applyAlignment="1">
      <alignment horizontal="center" vertical="center"/>
    </xf>
    <xf numFmtId="176" fontId="28" fillId="0" borderId="82" xfId="2452" applyNumberFormat="1" applyFont="1" applyFill="1" applyBorder="1" applyAlignment="1">
      <alignment horizontal="center" vertical="center"/>
    </xf>
    <xf numFmtId="176" fontId="28" fillId="0" borderId="70" xfId="2452" applyNumberFormat="1" applyFont="1" applyFill="1" applyBorder="1" applyAlignment="1">
      <alignment horizontal="center" vertical="center"/>
    </xf>
    <xf numFmtId="176" fontId="28" fillId="0" borderId="81" xfId="2452" applyNumberFormat="1" applyFont="1" applyFill="1" applyBorder="1" applyAlignment="1">
      <alignment horizontal="center" vertical="center"/>
    </xf>
    <xf numFmtId="176" fontId="28" fillId="3" borderId="65" xfId="2453" applyNumberFormat="1" applyFont="1" applyFill="1" applyBorder="1" applyAlignment="1">
      <alignment horizontal="center" vertical="center"/>
    </xf>
    <xf numFmtId="176" fontId="28" fillId="3" borderId="66" xfId="2453" applyNumberFormat="1" applyFont="1" applyFill="1" applyBorder="1" applyAlignment="1">
      <alignment horizontal="center" vertical="center"/>
    </xf>
    <xf numFmtId="176" fontId="28" fillId="3" borderId="82" xfId="2453" applyNumberFormat="1" applyFont="1" applyFill="1" applyBorder="1" applyAlignment="1">
      <alignment horizontal="center" vertical="center"/>
    </xf>
    <xf numFmtId="176" fontId="27" fillId="4" borderId="29" xfId="2452" applyNumberFormat="1" applyFont="1" applyFill="1" applyBorder="1" applyAlignment="1">
      <alignment horizontal="center" vertical="center"/>
    </xf>
    <xf numFmtId="176" fontId="27" fillId="4" borderId="52" xfId="2452" applyNumberFormat="1" applyFont="1" applyFill="1" applyBorder="1" applyAlignment="1">
      <alignment horizontal="center" vertical="center"/>
    </xf>
    <xf numFmtId="176" fontId="28" fillId="0" borderId="65" xfId="2452" applyNumberFormat="1" applyFont="1" applyFill="1" applyBorder="1" applyAlignment="1">
      <alignment horizontal="center" vertical="center"/>
    </xf>
    <xf numFmtId="176" fontId="27" fillId="4" borderId="15" xfId="2452" applyNumberFormat="1" applyFont="1" applyFill="1" applyBorder="1" applyAlignment="1">
      <alignment horizontal="center" vertical="center"/>
    </xf>
    <xf numFmtId="176" fontId="27" fillId="4" borderId="20" xfId="2452" applyNumberFormat="1" applyFont="1" applyFill="1" applyBorder="1" applyAlignment="1">
      <alignment horizontal="center" vertical="center"/>
    </xf>
    <xf numFmtId="176" fontId="27" fillId="4" borderId="4" xfId="2452" applyNumberFormat="1" applyFont="1" applyFill="1" applyBorder="1" applyAlignment="1">
      <alignment horizontal="center" vertical="center"/>
    </xf>
    <xf numFmtId="176" fontId="27" fillId="4" borderId="12" xfId="2452" applyNumberFormat="1" applyFont="1" applyFill="1" applyBorder="1" applyAlignment="1">
      <alignment horizontal="center" vertical="center"/>
    </xf>
    <xf numFmtId="176" fontId="28" fillId="0" borderId="14" xfId="2452" applyNumberFormat="1" applyFont="1" applyFill="1" applyBorder="1" applyAlignment="1">
      <alignment horizontal="center" vertical="center"/>
    </xf>
    <xf numFmtId="176" fontId="27" fillId="4" borderId="25" xfId="2452" applyNumberFormat="1" applyFont="1" applyFill="1" applyBorder="1" applyAlignment="1">
      <alignment horizontal="center" vertical="center"/>
    </xf>
    <xf numFmtId="176" fontId="27" fillId="4" borderId="16" xfId="2452" applyNumberFormat="1" applyFont="1" applyFill="1" applyBorder="1" applyAlignment="1">
      <alignment horizontal="center" vertical="center"/>
    </xf>
    <xf numFmtId="176" fontId="20" fillId="4" borderId="63" xfId="2452" applyNumberFormat="1" applyFont="1" applyFill="1" applyBorder="1" applyAlignment="1">
      <alignment horizontal="center" vertical="center"/>
    </xf>
    <xf numFmtId="176" fontId="27" fillId="3" borderId="57" xfId="2452" applyNumberFormat="1" applyFont="1" applyFill="1" applyBorder="1" applyAlignment="1">
      <alignment horizontal="center" vertical="center" wrapText="1"/>
    </xf>
    <xf numFmtId="176" fontId="27" fillId="3" borderId="67" xfId="2452" applyNumberFormat="1" applyFont="1" applyFill="1" applyBorder="1" applyAlignment="1">
      <alignment horizontal="center" vertical="center" wrapText="1"/>
    </xf>
    <xf numFmtId="176" fontId="27" fillId="3" borderId="52" xfId="2452" applyNumberFormat="1" applyFont="1" applyFill="1" applyBorder="1" applyAlignment="1">
      <alignment horizontal="center" vertical="center" wrapText="1"/>
    </xf>
    <xf numFmtId="176" fontId="28" fillId="3" borderId="65" xfId="2450" applyNumberFormat="1" applyFont="1" applyFill="1" applyBorder="1" applyAlignment="1">
      <alignment horizontal="center" vertical="center" wrapText="1"/>
    </xf>
    <xf numFmtId="176" fontId="28" fillId="3" borderId="82" xfId="2450" applyNumberFormat="1" applyFont="1" applyFill="1" applyBorder="1" applyAlignment="1">
      <alignment horizontal="center" vertical="center" wrapText="1"/>
    </xf>
    <xf numFmtId="176" fontId="28" fillId="3" borderId="30" xfId="2452" applyNumberFormat="1" applyFont="1" applyFill="1" applyBorder="1" applyAlignment="1">
      <alignment horizontal="center" vertical="center" wrapText="1"/>
    </xf>
    <xf numFmtId="176" fontId="28" fillId="3" borderId="28" xfId="2452" applyNumberFormat="1" applyFont="1" applyFill="1" applyBorder="1" applyAlignment="1">
      <alignment horizontal="center" vertical="center" wrapText="1"/>
    </xf>
    <xf numFmtId="176" fontId="28" fillId="8" borderId="30" xfId="2452" applyNumberFormat="1" applyFont="1" applyFill="1" applyBorder="1" applyAlignment="1">
      <alignment horizontal="center" vertical="center" wrapText="1"/>
    </xf>
    <xf numFmtId="176" fontId="28" fillId="8" borderId="28" xfId="2452" applyNumberFormat="1" applyFont="1" applyFill="1" applyBorder="1" applyAlignment="1">
      <alignment horizontal="center" vertical="center" wrapText="1"/>
    </xf>
    <xf numFmtId="176" fontId="28" fillId="8" borderId="25" xfId="2452" applyNumberFormat="1" applyFont="1" applyFill="1" applyBorder="1" applyAlignment="1">
      <alignment horizontal="center" vertical="center" wrapText="1"/>
    </xf>
    <xf numFmtId="176" fontId="28" fillId="8" borderId="29" xfId="2452" applyNumberFormat="1" applyFont="1" applyFill="1" applyBorder="1" applyAlignment="1">
      <alignment horizontal="center" vertical="center" wrapText="1"/>
    </xf>
    <xf numFmtId="176" fontId="28" fillId="3" borderId="32" xfId="2452" applyNumberFormat="1" applyFont="1" applyFill="1" applyBorder="1" applyAlignment="1">
      <alignment horizontal="center" vertical="center" wrapText="1"/>
    </xf>
    <xf numFmtId="176" fontId="28" fillId="3" borderId="25" xfId="2452" applyNumberFormat="1" applyFont="1" applyFill="1" applyBorder="1" applyAlignment="1">
      <alignment horizontal="center" vertical="center" wrapText="1"/>
    </xf>
    <xf numFmtId="176" fontId="28" fillId="3" borderId="16" xfId="2452" applyNumberFormat="1" applyFont="1" applyFill="1" applyBorder="1" applyAlignment="1">
      <alignment horizontal="center" vertical="center" wrapText="1"/>
    </xf>
    <xf numFmtId="176" fontId="28" fillId="3" borderId="32" xfId="2452" applyNumberFormat="1" applyFont="1" applyFill="1" applyBorder="1" applyAlignment="1">
      <alignment horizontal="center" vertical="center"/>
    </xf>
    <xf numFmtId="176" fontId="28" fillId="3" borderId="25" xfId="2452" applyNumberFormat="1" applyFont="1" applyFill="1" applyBorder="1" applyAlignment="1">
      <alignment horizontal="center" vertical="center"/>
    </xf>
    <xf numFmtId="9" fontId="28" fillId="3" borderId="56" xfId="2452" applyNumberFormat="1" applyFont="1" applyFill="1" applyBorder="1" applyAlignment="1">
      <alignment horizontal="center" vertical="center"/>
    </xf>
    <xf numFmtId="9" fontId="28" fillId="3" borderId="25" xfId="2452" applyNumberFormat="1" applyFont="1" applyFill="1" applyBorder="1" applyAlignment="1">
      <alignment horizontal="center" vertical="center"/>
    </xf>
    <xf numFmtId="0" fontId="28" fillId="3" borderId="38" xfId="2450" applyFont="1" applyFill="1" applyBorder="1" applyAlignment="1">
      <alignment horizontal="center" vertical="center"/>
    </xf>
    <xf numFmtId="0" fontId="28" fillId="5" borderId="9" xfId="2450" applyFont="1" applyFill="1" applyBorder="1" applyAlignment="1">
      <alignment horizontal="center" vertical="center"/>
    </xf>
    <xf numFmtId="0" fontId="28" fillId="0" borderId="6" xfId="2450" applyFont="1" applyBorder="1" applyAlignment="1">
      <alignment horizontal="center" vertical="center" wrapText="1"/>
    </xf>
    <xf numFmtId="0" fontId="28" fillId="0" borderId="3" xfId="2450" applyFont="1" applyBorder="1" applyAlignment="1">
      <alignment horizontal="center" vertical="center" wrapText="1"/>
    </xf>
    <xf numFmtId="0" fontId="28" fillId="0" borderId="22" xfId="2450" applyFont="1" applyBorder="1" applyAlignment="1">
      <alignment horizontal="center" vertical="center" wrapText="1"/>
    </xf>
    <xf numFmtId="0" fontId="28" fillId="3" borderId="57" xfId="2450" applyFont="1" applyFill="1" applyBorder="1" applyAlignment="1">
      <alignment horizontal="center" vertical="center"/>
    </xf>
    <xf numFmtId="0" fontId="28" fillId="5" borderId="56" xfId="2450" applyFont="1" applyFill="1" applyBorder="1" applyAlignment="1">
      <alignment horizontal="center" vertical="center"/>
    </xf>
    <xf numFmtId="0" fontId="28" fillId="3" borderId="39" xfId="2450" applyFont="1" applyFill="1" applyBorder="1" applyAlignment="1">
      <alignment horizontal="center" vertical="center"/>
    </xf>
    <xf numFmtId="0" fontId="28" fillId="3" borderId="24" xfId="2450" applyFont="1" applyFill="1" applyBorder="1" applyAlignment="1">
      <alignment horizontal="center" vertical="center"/>
    </xf>
    <xf numFmtId="0" fontId="28" fillId="0" borderId="26" xfId="2450" applyFont="1" applyBorder="1" applyAlignment="1">
      <alignment horizontal="center" vertical="center"/>
    </xf>
    <xf numFmtId="0" fontId="28" fillId="0" borderId="58" xfId="2450" applyFont="1" applyBorder="1" applyAlignment="1">
      <alignment horizontal="center" vertical="center"/>
    </xf>
    <xf numFmtId="0" fontId="28" fillId="0" borderId="23" xfId="2450" applyFont="1" applyBorder="1" applyAlignment="1">
      <alignment horizontal="center" vertical="center"/>
    </xf>
    <xf numFmtId="0" fontId="28" fillId="0" borderId="7" xfId="2450" applyFont="1" applyFill="1" applyBorder="1" applyAlignment="1">
      <alignment horizontal="center" vertical="center"/>
    </xf>
    <xf numFmtId="0" fontId="28" fillId="0" borderId="18" xfId="2450" applyFont="1" applyFill="1" applyBorder="1" applyAlignment="1">
      <alignment horizontal="center" vertical="center"/>
    </xf>
    <xf numFmtId="0" fontId="28" fillId="3" borderId="121" xfId="2450" applyFont="1" applyFill="1" applyBorder="1" applyAlignment="1">
      <alignment horizontal="center" vertical="center"/>
    </xf>
    <xf numFmtId="0" fontId="28" fillId="3" borderId="92" xfId="2450" applyFont="1" applyFill="1" applyBorder="1" applyAlignment="1">
      <alignment horizontal="center" vertical="center"/>
    </xf>
    <xf numFmtId="0" fontId="28" fillId="3" borderId="56" xfId="2450" applyFont="1" applyFill="1" applyBorder="1" applyAlignment="1">
      <alignment horizontal="center" vertical="center"/>
    </xf>
    <xf numFmtId="0" fontId="28" fillId="0" borderId="29" xfId="2450" applyFont="1" applyBorder="1" applyAlignment="1">
      <alignment horizontal="center" vertical="center" wrapText="1"/>
    </xf>
    <xf numFmtId="0" fontId="28" fillId="0" borderId="67" xfId="2450" applyFont="1" applyBorder="1" applyAlignment="1">
      <alignment horizontal="center" vertical="center"/>
    </xf>
    <xf numFmtId="0" fontId="28" fillId="0" borderId="68" xfId="2450" applyFont="1" applyBorder="1" applyAlignment="1">
      <alignment horizontal="center" vertical="center" wrapText="1"/>
    </xf>
    <xf numFmtId="0" fontId="28" fillId="0" borderId="44" xfId="2450" applyFont="1" applyBorder="1" applyAlignment="1">
      <alignment horizontal="center" vertical="center" wrapText="1"/>
    </xf>
    <xf numFmtId="0" fontId="28" fillId="0" borderId="45" xfId="2450" applyFont="1" applyBorder="1" applyAlignment="1">
      <alignment horizontal="center" vertical="center" wrapText="1"/>
    </xf>
    <xf numFmtId="0" fontId="28" fillId="3" borderId="40" xfId="2450" applyFont="1" applyFill="1" applyBorder="1" applyAlignment="1">
      <alignment horizontal="center" vertical="center"/>
    </xf>
    <xf numFmtId="0" fontId="28" fillId="3" borderId="35" xfId="2450" applyFont="1" applyFill="1" applyBorder="1" applyAlignment="1">
      <alignment horizontal="center" vertical="center"/>
    </xf>
    <xf numFmtId="0" fontId="28" fillId="0" borderId="10" xfId="2450" applyFont="1" applyBorder="1" applyAlignment="1">
      <alignment horizontal="center" vertical="center" wrapText="1"/>
    </xf>
    <xf numFmtId="0" fontId="28" fillId="0" borderId="47" xfId="2450" applyFont="1" applyBorder="1" applyAlignment="1">
      <alignment horizontal="center" vertical="center" wrapText="1"/>
    </xf>
    <xf numFmtId="0" fontId="28" fillId="0" borderId="49" xfId="2450" applyFont="1" applyBorder="1" applyAlignment="1">
      <alignment horizontal="center" vertical="center" wrapText="1"/>
    </xf>
    <xf numFmtId="0" fontId="28" fillId="0" borderId="46" xfId="2450" applyFont="1" applyBorder="1" applyAlignment="1">
      <alignment horizontal="center" vertical="center" wrapText="1"/>
    </xf>
    <xf numFmtId="0" fontId="28" fillId="0" borderId="51" xfId="2450" applyFont="1" applyBorder="1" applyAlignment="1">
      <alignment horizontal="center" vertical="center" wrapText="1"/>
    </xf>
    <xf numFmtId="0" fontId="28" fillId="0" borderId="60" xfId="2450" applyFont="1" applyBorder="1" applyAlignment="1">
      <alignment horizontal="center" vertical="center" wrapText="1"/>
    </xf>
    <xf numFmtId="0" fontId="28" fillId="5" borderId="57" xfId="2450" applyFont="1" applyFill="1" applyBorder="1" applyAlignment="1">
      <alignment horizontal="center" vertical="center"/>
    </xf>
    <xf numFmtId="0" fontId="28" fillId="5" borderId="39" xfId="2450" applyFont="1" applyFill="1" applyBorder="1" applyAlignment="1">
      <alignment horizontal="center" vertical="center"/>
    </xf>
    <xf numFmtId="0" fontId="28" fillId="5" borderId="24" xfId="2450" applyFont="1" applyFill="1" applyBorder="1" applyAlignment="1">
      <alignment horizontal="center" vertical="center"/>
    </xf>
    <xf numFmtId="0" fontId="28" fillId="5" borderId="29" xfId="2450" applyFont="1" applyFill="1" applyBorder="1" applyAlignment="1">
      <alignment horizontal="center" vertical="center"/>
    </xf>
    <xf numFmtId="0" fontId="28" fillId="5" borderId="60" xfId="2450" applyFont="1" applyFill="1" applyBorder="1" applyAlignment="1">
      <alignment horizontal="center" vertical="center"/>
    </xf>
    <xf numFmtId="0" fontId="28" fillId="0" borderId="37" xfId="2450" applyFont="1" applyFill="1" applyBorder="1" applyAlignment="1">
      <alignment horizontal="center" vertical="center"/>
    </xf>
    <xf numFmtId="0" fontId="28" fillId="0" borderId="48" xfId="2450" applyFont="1" applyFill="1" applyBorder="1" applyAlignment="1">
      <alignment horizontal="center" vertical="center"/>
    </xf>
    <xf numFmtId="9" fontId="28" fillId="0" borderId="10" xfId="2473" applyFont="1" applyFill="1" applyBorder="1" applyAlignment="1">
      <alignment horizontal="center" vertical="center"/>
    </xf>
    <xf numFmtId="9" fontId="28" fillId="0" borderId="48" xfId="2473" applyFont="1" applyFill="1" applyBorder="1" applyAlignment="1">
      <alignment horizontal="center" vertical="center"/>
    </xf>
    <xf numFmtId="9" fontId="28" fillId="0" borderId="49" xfId="2473" applyFont="1" applyFill="1" applyBorder="1" applyAlignment="1">
      <alignment horizontal="center" vertical="center"/>
    </xf>
    <xf numFmtId="0" fontId="28" fillId="3" borderId="37" xfId="2450" applyFont="1" applyFill="1" applyBorder="1" applyAlignment="1">
      <alignment horizontal="center" vertical="center" wrapText="1"/>
    </xf>
    <xf numFmtId="0" fontId="28" fillId="3" borderId="47" xfId="2450" applyFont="1" applyFill="1" applyBorder="1" applyAlignment="1">
      <alignment horizontal="center" vertical="center"/>
    </xf>
    <xf numFmtId="0" fontId="28" fillId="3" borderId="0" xfId="2450" applyFont="1" applyFill="1" applyBorder="1" applyAlignment="1">
      <alignment horizontal="center" vertical="center"/>
    </xf>
    <xf numFmtId="0" fontId="28" fillId="6" borderId="36" xfId="2450" applyFont="1" applyFill="1" applyBorder="1" applyAlignment="1">
      <alignment horizontal="center" vertical="center"/>
    </xf>
    <xf numFmtId="0" fontId="28" fillId="6" borderId="0" xfId="2450" applyFont="1" applyFill="1" applyBorder="1" applyAlignment="1">
      <alignment horizontal="center" vertical="center"/>
    </xf>
    <xf numFmtId="0" fontId="28" fillId="6" borderId="46" xfId="2450" applyFont="1" applyFill="1" applyBorder="1" applyAlignment="1">
      <alignment horizontal="center" vertical="center"/>
    </xf>
    <xf numFmtId="0" fontId="28" fillId="6" borderId="51" xfId="2450" applyFont="1" applyFill="1" applyBorder="1" applyAlignment="1">
      <alignment horizontal="center" vertical="center"/>
    </xf>
    <xf numFmtId="0" fontId="28" fillId="3" borderId="37" xfId="2450" applyFont="1" applyFill="1" applyBorder="1" applyAlignment="1">
      <alignment horizontal="center" vertical="center"/>
    </xf>
    <xf numFmtId="0" fontId="28" fillId="3" borderId="48" xfId="2450" applyFont="1" applyFill="1" applyBorder="1" applyAlignment="1">
      <alignment horizontal="center" vertical="center"/>
    </xf>
    <xf numFmtId="0" fontId="28" fillId="0" borderId="36" xfId="2450" applyFont="1" applyBorder="1" applyAlignment="1">
      <alignment horizontal="center" vertical="center" wrapText="1"/>
    </xf>
    <xf numFmtId="0" fontId="28" fillId="5" borderId="4" xfId="2450" applyFont="1" applyFill="1" applyBorder="1" applyAlignment="1">
      <alignment horizontal="center" vertical="center"/>
    </xf>
    <xf numFmtId="0" fontId="28" fillId="5" borderId="7" xfId="2450" applyFont="1" applyFill="1" applyBorder="1" applyAlignment="1">
      <alignment horizontal="center" vertical="center"/>
    </xf>
    <xf numFmtId="0" fontId="28" fillId="0" borderId="55" xfId="2450" applyFont="1" applyBorder="1" applyAlignment="1">
      <alignment horizontal="center" vertical="center" wrapText="1"/>
    </xf>
    <xf numFmtId="0" fontId="28" fillId="5" borderId="32" xfId="2450" applyFont="1" applyFill="1" applyBorder="1" applyAlignment="1">
      <alignment horizontal="center" vertical="center"/>
    </xf>
    <xf numFmtId="0" fontId="28" fillId="5" borderId="25" xfId="2450" applyFont="1" applyFill="1" applyBorder="1" applyAlignment="1">
      <alignment horizontal="center" vertical="center"/>
    </xf>
    <xf numFmtId="0" fontId="28" fillId="5" borderId="21" xfId="2450" applyFont="1" applyFill="1" applyBorder="1" applyAlignment="1">
      <alignment horizontal="center" vertical="center"/>
    </xf>
    <xf numFmtId="0" fontId="28" fillId="5" borderId="17" xfId="2450" applyFont="1" applyFill="1" applyBorder="1" applyAlignment="1">
      <alignment horizontal="center" vertical="center"/>
    </xf>
    <xf numFmtId="229" fontId="28" fillId="0" borderId="16" xfId="2474" applyNumberFormat="1" applyFont="1" applyFill="1" applyBorder="1" applyAlignment="1">
      <alignment horizontal="center" vertical="center"/>
    </xf>
    <xf numFmtId="229" fontId="28" fillId="0" borderId="12" xfId="2474" applyNumberFormat="1" applyFont="1" applyFill="1" applyBorder="1" applyAlignment="1">
      <alignment horizontal="center" vertical="center"/>
    </xf>
    <xf numFmtId="176" fontId="28" fillId="3" borderId="84" xfId="2450" applyNumberFormat="1" applyFont="1" applyFill="1" applyBorder="1" applyAlignment="1">
      <alignment horizontal="center" vertical="center" wrapText="1"/>
    </xf>
    <xf numFmtId="0" fontId="26" fillId="3" borderId="86" xfId="2450" applyFont="1" applyFill="1" applyBorder="1" applyAlignment="1">
      <alignment vertical="center"/>
    </xf>
    <xf numFmtId="9" fontId="28" fillId="3" borderId="57" xfId="2452" applyNumberFormat="1" applyFont="1" applyFill="1" applyBorder="1" applyAlignment="1">
      <alignment horizontal="center" vertical="center"/>
    </xf>
    <xf numFmtId="9" fontId="28" fillId="3" borderId="67" xfId="2452" applyNumberFormat="1" applyFont="1" applyFill="1" applyBorder="1" applyAlignment="1">
      <alignment horizontal="center" vertical="center"/>
    </xf>
    <xf numFmtId="176" fontId="28" fillId="3" borderId="29" xfId="2452" applyNumberFormat="1" applyFont="1" applyFill="1" applyBorder="1" applyAlignment="1">
      <alignment horizontal="center" vertical="center" wrapText="1"/>
    </xf>
    <xf numFmtId="176" fontId="28" fillId="3" borderId="56" xfId="2452" applyNumberFormat="1" applyFont="1" applyFill="1" applyBorder="1" applyAlignment="1">
      <alignment horizontal="center" vertical="center" wrapText="1"/>
    </xf>
    <xf numFmtId="176" fontId="28" fillId="3" borderId="33" xfId="2452" applyNumberFormat="1" applyFont="1" applyFill="1" applyBorder="1" applyAlignment="1">
      <alignment horizontal="center" vertical="center"/>
    </xf>
    <xf numFmtId="176" fontId="28" fillId="3" borderId="29" xfId="2452" applyNumberFormat="1" applyFont="1" applyFill="1" applyBorder="1" applyAlignment="1">
      <alignment horizontal="center" vertical="center"/>
    </xf>
    <xf numFmtId="176" fontId="28" fillId="3" borderId="56" xfId="2452" applyNumberFormat="1" applyFont="1" applyFill="1" applyBorder="1" applyAlignment="1">
      <alignment horizontal="center" vertical="center"/>
    </xf>
    <xf numFmtId="0" fontId="101" fillId="3" borderId="29" xfId="2484" applyFont="1" applyFill="1" applyBorder="1" applyAlignment="1">
      <alignment horizontal="center" vertical="center"/>
    </xf>
    <xf numFmtId="0" fontId="101" fillId="3" borderId="52" xfId="2484" applyFont="1" applyFill="1" applyBorder="1" applyAlignment="1">
      <alignment horizontal="center" vertical="center"/>
    </xf>
    <xf numFmtId="9" fontId="28" fillId="3" borderId="57" xfId="2484" applyNumberFormat="1" applyFont="1" applyFill="1" applyBorder="1" applyAlignment="1">
      <alignment horizontal="center" vertical="center"/>
    </xf>
    <xf numFmtId="9" fontId="28" fillId="3" borderId="67" xfId="2484" applyNumberFormat="1" applyFont="1" applyFill="1" applyBorder="1" applyAlignment="1">
      <alignment horizontal="center" vertical="center"/>
    </xf>
    <xf numFmtId="9" fontId="28" fillId="3" borderId="52" xfId="2484" applyNumberFormat="1" applyFont="1" applyFill="1" applyBorder="1" applyAlignment="1">
      <alignment horizontal="center" vertical="center"/>
    </xf>
    <xf numFmtId="176" fontId="28" fillId="3" borderId="57" xfId="2484" applyNumberFormat="1" applyFont="1" applyFill="1" applyBorder="1" applyAlignment="1">
      <alignment horizontal="center" vertical="center"/>
    </xf>
    <xf numFmtId="176" fontId="28" fillId="3" borderId="56" xfId="2484" applyNumberFormat="1" applyFont="1" applyFill="1" applyBorder="1" applyAlignment="1">
      <alignment horizontal="center" vertical="center"/>
    </xf>
    <xf numFmtId="176" fontId="28" fillId="3" borderId="67" xfId="2484" applyNumberFormat="1" applyFont="1" applyFill="1" applyBorder="1" applyAlignment="1">
      <alignment horizontal="center" vertical="center"/>
    </xf>
    <xf numFmtId="9" fontId="28" fillId="3" borderId="56" xfId="2484" applyNumberFormat="1" applyFont="1" applyFill="1" applyBorder="1" applyAlignment="1">
      <alignment horizontal="center" vertical="center"/>
    </xf>
    <xf numFmtId="177" fontId="36" fillId="4" borderId="32" xfId="2452" applyNumberFormat="1" applyFont="1" applyFill="1" applyBorder="1" applyAlignment="1">
      <alignment horizontal="center" vertical="center" wrapText="1"/>
    </xf>
    <xf numFmtId="177" fontId="36" fillId="4" borderId="25" xfId="2452" applyNumberFormat="1" applyFont="1" applyFill="1" applyBorder="1" applyAlignment="1">
      <alignment horizontal="center" vertical="center"/>
    </xf>
    <xf numFmtId="177" fontId="36" fillId="4" borderId="29" xfId="2452" applyNumberFormat="1" applyFont="1" applyFill="1" applyBorder="1" applyAlignment="1">
      <alignment horizontal="center" vertical="center"/>
    </xf>
    <xf numFmtId="176" fontId="28" fillId="0" borderId="57" xfId="2452" applyNumberFormat="1" applyFont="1" applyBorder="1" applyAlignment="1">
      <alignment horizontal="center" vertical="center"/>
    </xf>
    <xf numFmtId="176" fontId="28" fillId="0" borderId="38" xfId="2452" applyNumberFormat="1" applyFont="1" applyBorder="1" applyAlignment="1">
      <alignment horizontal="center" vertical="center"/>
    </xf>
    <xf numFmtId="176" fontId="36" fillId="4" borderId="21" xfId="2452" applyNumberFormat="1" applyFont="1" applyFill="1" applyBorder="1" applyAlignment="1">
      <alignment horizontal="center" vertical="center"/>
    </xf>
    <xf numFmtId="176" fontId="36" fillId="4" borderId="4" xfId="2452" applyNumberFormat="1" applyFont="1" applyFill="1" applyBorder="1" applyAlignment="1">
      <alignment horizontal="center" vertical="center"/>
    </xf>
    <xf numFmtId="176" fontId="36" fillId="4" borderId="6" xfId="2452" applyNumberFormat="1" applyFont="1" applyFill="1" applyBorder="1" applyAlignment="1">
      <alignment horizontal="center" vertical="center"/>
    </xf>
    <xf numFmtId="1" fontId="28" fillId="0" borderId="12" xfId="2474" applyNumberFormat="1" applyFont="1" applyFill="1" applyBorder="1" applyAlignment="1">
      <alignment horizontal="center" vertical="center"/>
    </xf>
    <xf numFmtId="176" fontId="36" fillId="7" borderId="21" xfId="2452" applyNumberFormat="1" applyFont="1" applyFill="1" applyBorder="1" applyAlignment="1">
      <alignment horizontal="center" vertical="center"/>
    </xf>
    <xf numFmtId="176" fontId="36" fillId="7" borderId="4" xfId="2452" applyNumberFormat="1" applyFont="1" applyFill="1" applyBorder="1" applyAlignment="1">
      <alignment horizontal="center" vertical="center"/>
    </xf>
    <xf numFmtId="176" fontId="36" fillId="7" borderId="6" xfId="2452" applyNumberFormat="1" applyFont="1" applyFill="1" applyBorder="1" applyAlignment="1">
      <alignment horizontal="center" vertical="center"/>
    </xf>
    <xf numFmtId="176" fontId="36" fillId="4" borderId="19" xfId="2452" applyNumberFormat="1" applyFont="1" applyFill="1" applyBorder="1" applyAlignment="1">
      <alignment horizontal="center" vertical="center"/>
    </xf>
    <xf numFmtId="176" fontId="36" fillId="4" borderId="15" xfId="2452" applyNumberFormat="1" applyFont="1" applyFill="1" applyBorder="1" applyAlignment="1">
      <alignment horizontal="center" vertical="center"/>
    </xf>
    <xf numFmtId="176" fontId="36" fillId="4" borderId="46" xfId="2452" applyNumberFormat="1" applyFont="1" applyFill="1" applyBorder="1" applyAlignment="1">
      <alignment horizontal="center" vertical="center"/>
    </xf>
    <xf numFmtId="176" fontId="28" fillId="0" borderId="80" xfId="2452" applyNumberFormat="1" applyFont="1" applyBorder="1" applyAlignment="1">
      <alignment horizontal="center" vertical="center"/>
    </xf>
    <xf numFmtId="177" fontId="27" fillId="4" borderId="38" xfId="2452" applyNumberFormat="1" applyFont="1" applyFill="1" applyBorder="1" applyAlignment="1">
      <alignment horizontal="center" vertical="center"/>
    </xf>
    <xf numFmtId="177" fontId="27" fillId="4" borderId="3" xfId="2452" applyNumberFormat="1" applyFont="1" applyFill="1" applyBorder="1" applyAlignment="1">
      <alignment horizontal="center" vertical="center"/>
    </xf>
    <xf numFmtId="176" fontId="28" fillId="0" borderId="84" xfId="2452" applyNumberFormat="1" applyFont="1" applyBorder="1" applyAlignment="1">
      <alignment horizontal="center" vertical="center"/>
    </xf>
    <xf numFmtId="176" fontId="28" fillId="0" borderId="86" xfId="2452" applyNumberFormat="1" applyFont="1" applyBorder="1" applyAlignment="1">
      <alignment horizontal="center" vertical="center"/>
    </xf>
    <xf numFmtId="177" fontId="27" fillId="4" borderId="22" xfId="2452" applyNumberFormat="1" applyFont="1" applyFill="1" applyBorder="1" applyAlignment="1">
      <alignment horizontal="center" vertical="center"/>
    </xf>
    <xf numFmtId="176" fontId="28" fillId="0" borderId="37" xfId="2452" applyNumberFormat="1" applyFont="1" applyBorder="1" applyAlignment="1">
      <alignment horizontal="center" vertical="center"/>
    </xf>
    <xf numFmtId="176" fontId="28" fillId="0" borderId="40" xfId="2452" applyNumberFormat="1" applyFont="1" applyBorder="1" applyAlignment="1">
      <alignment horizontal="center" vertical="center"/>
    </xf>
    <xf numFmtId="176" fontId="28" fillId="0" borderId="62" xfId="2452" applyNumberFormat="1" applyFont="1" applyFill="1" applyBorder="1" applyAlignment="1">
      <alignment horizontal="center" vertical="center"/>
    </xf>
    <xf numFmtId="41" fontId="28" fillId="0" borderId="31" xfId="2486" applyFont="1" applyFill="1" applyBorder="1" applyAlignment="1">
      <alignment horizontal="center" vertical="center"/>
    </xf>
    <xf numFmtId="41" fontId="28" fillId="0" borderId="81" xfId="2486" applyFont="1" applyFill="1" applyBorder="1" applyAlignment="1">
      <alignment horizontal="center" vertical="center"/>
    </xf>
    <xf numFmtId="1" fontId="28" fillId="0" borderId="27" xfId="2474" applyNumberFormat="1" applyFont="1" applyFill="1" applyBorder="1" applyAlignment="1">
      <alignment horizontal="center" vertical="center"/>
    </xf>
    <xf numFmtId="0" fontId="27" fillId="3" borderId="16" xfId="2450" applyFont="1" applyFill="1" applyBorder="1" applyAlignment="1">
      <alignment horizontal="center" vertical="center"/>
    </xf>
    <xf numFmtId="0" fontId="27" fillId="3" borderId="57" xfId="2450" applyFont="1" applyFill="1" applyBorder="1" applyAlignment="1">
      <alignment horizontal="center" vertical="center"/>
    </xf>
    <xf numFmtId="0" fontId="27" fillId="3" borderId="67" xfId="2450" applyFont="1" applyFill="1" applyBorder="1" applyAlignment="1">
      <alignment horizontal="center" vertical="center"/>
    </xf>
    <xf numFmtId="0" fontId="27" fillId="3" borderId="56" xfId="2450" applyFont="1" applyFill="1" applyBorder="1" applyAlignment="1">
      <alignment horizontal="center" vertical="center"/>
    </xf>
    <xf numFmtId="0" fontId="27" fillId="3" borderId="29" xfId="2450" applyFont="1" applyFill="1" applyBorder="1" applyAlignment="1">
      <alignment horizontal="center" vertical="center"/>
    </xf>
    <xf numFmtId="0" fontId="27" fillId="3" borderId="52" xfId="2450" applyFont="1" applyFill="1" applyBorder="1" applyAlignment="1">
      <alignment horizontal="center" vertical="center"/>
    </xf>
    <xf numFmtId="0" fontId="27" fillId="3" borderId="17" xfId="2450" applyFont="1" applyFill="1" applyBorder="1" applyAlignment="1">
      <alignment horizontal="center" vertical="center"/>
    </xf>
    <xf numFmtId="0" fontId="27" fillId="3" borderId="18" xfId="2450" applyFont="1" applyFill="1" applyBorder="1" applyAlignment="1">
      <alignment horizontal="center" vertical="center"/>
    </xf>
    <xf numFmtId="0" fontId="28" fillId="0" borderId="39" xfId="2450" applyFont="1" applyBorder="1" applyAlignment="1">
      <alignment horizontal="left" vertical="center"/>
    </xf>
    <xf numFmtId="0" fontId="28" fillId="0" borderId="58" xfId="2450" applyFont="1" applyBorder="1" applyAlignment="1">
      <alignment horizontal="left" vertical="center"/>
    </xf>
    <xf numFmtId="0" fontId="28" fillId="0" borderId="24" xfId="2450" applyFont="1" applyBorder="1" applyAlignment="1">
      <alignment horizontal="left" vertical="center"/>
    </xf>
    <xf numFmtId="0" fontId="28" fillId="0" borderId="26" xfId="2450" applyFont="1" applyFill="1" applyBorder="1" applyAlignment="1">
      <alignment horizontal="center" vertical="center"/>
    </xf>
    <xf numFmtId="0" fontId="28" fillId="0" borderId="58" xfId="2450" applyFont="1" applyFill="1" applyBorder="1" applyAlignment="1">
      <alignment horizontal="center" vertical="center"/>
    </xf>
    <xf numFmtId="0" fontId="28" fillId="0" borderId="23" xfId="2450" applyFont="1" applyFill="1" applyBorder="1" applyAlignment="1">
      <alignment horizontal="center" vertical="center"/>
    </xf>
    <xf numFmtId="0" fontId="27" fillId="3" borderId="21" xfId="2453" applyFont="1" applyFill="1" applyBorder="1" applyAlignment="1">
      <alignment horizontal="center" vertical="center"/>
    </xf>
    <xf numFmtId="0" fontId="27" fillId="3" borderId="12" xfId="2453" applyFont="1" applyFill="1" applyBorder="1" applyAlignment="1">
      <alignment horizontal="center" vertical="center"/>
    </xf>
    <xf numFmtId="0" fontId="27" fillId="3" borderId="17" xfId="2453" applyFont="1" applyFill="1" applyBorder="1" applyAlignment="1">
      <alignment horizontal="center" vertical="center"/>
    </xf>
    <xf numFmtId="0" fontId="27" fillId="3" borderId="18" xfId="2453" applyFont="1" applyFill="1" applyBorder="1" applyAlignment="1">
      <alignment horizontal="center" vertical="center"/>
    </xf>
    <xf numFmtId="0" fontId="28" fillId="0" borderId="40" xfId="2450" applyFont="1" applyBorder="1" applyAlignment="1">
      <alignment horizontal="left" vertical="center" wrapText="1"/>
    </xf>
    <xf numFmtId="0" fontId="28" fillId="0" borderId="0" xfId="2450" applyFont="1" applyBorder="1" applyAlignment="1">
      <alignment horizontal="left" vertical="center" wrapText="1"/>
    </xf>
    <xf numFmtId="0" fontId="28" fillId="0" borderId="35" xfId="2450" applyFont="1" applyBorder="1" applyAlignment="1">
      <alignment horizontal="left" vertical="center" wrapText="1"/>
    </xf>
    <xf numFmtId="0" fontId="28" fillId="0" borderId="42" xfId="2450" applyFont="1" applyBorder="1" applyAlignment="1">
      <alignment horizontal="left" vertical="center" wrapText="1"/>
    </xf>
    <xf numFmtId="0" fontId="28" fillId="0" borderId="5" xfId="2450" applyFont="1" applyBorder="1" applyAlignment="1">
      <alignment horizontal="left" vertical="center" wrapText="1"/>
    </xf>
    <xf numFmtId="0" fontId="28" fillId="0" borderId="50" xfId="2450" applyFont="1" applyBorder="1" applyAlignment="1">
      <alignment horizontal="left" vertical="center" wrapText="1"/>
    </xf>
    <xf numFmtId="0" fontId="102" fillId="0" borderId="36" xfId="2450" applyFont="1" applyBorder="1" applyAlignment="1">
      <alignment horizontal="center" vertical="center" wrapText="1"/>
    </xf>
    <xf numFmtId="0" fontId="27" fillId="3" borderId="32" xfId="2453" applyFont="1" applyFill="1" applyBorder="1" applyAlignment="1">
      <alignment horizontal="center" vertical="center"/>
    </xf>
    <xf numFmtId="0" fontId="27" fillId="3" borderId="16" xfId="2453" applyFont="1" applyFill="1" applyBorder="1" applyAlignment="1">
      <alignment horizontal="center" vertical="center"/>
    </xf>
    <xf numFmtId="0" fontId="27" fillId="3" borderId="43" xfId="2453" applyFont="1" applyFill="1" applyBorder="1" applyAlignment="1">
      <alignment horizontal="center" vertical="center"/>
    </xf>
    <xf numFmtId="0" fontId="27" fillId="3" borderId="44" xfId="2453" applyFont="1" applyFill="1" applyBorder="1" applyAlignment="1">
      <alignment horizontal="center" vertical="center"/>
    </xf>
    <xf numFmtId="0" fontId="27" fillId="3" borderId="67" xfId="2453" applyFont="1" applyFill="1" applyBorder="1" applyAlignment="1">
      <alignment horizontal="center" vertical="center"/>
    </xf>
    <xf numFmtId="0" fontId="27" fillId="3" borderId="56" xfId="2453" applyFont="1" applyFill="1" applyBorder="1" applyAlignment="1">
      <alignment horizontal="center" vertical="center"/>
    </xf>
    <xf numFmtId="0" fontId="27" fillId="5" borderId="12" xfId="2450" applyFont="1" applyFill="1" applyBorder="1" applyAlignment="1">
      <alignment horizontal="center" vertical="center"/>
    </xf>
    <xf numFmtId="0" fontId="28" fillId="0" borderId="37" xfId="2450" applyFont="1" applyFill="1" applyBorder="1" applyAlignment="1">
      <alignment horizontal="left" vertical="center"/>
    </xf>
    <xf numFmtId="0" fontId="28" fillId="0" borderId="47" xfId="2450" applyFont="1" applyFill="1" applyBorder="1" applyAlignment="1">
      <alignment horizontal="left" vertical="center"/>
    </xf>
    <xf numFmtId="0" fontId="28" fillId="0" borderId="49" xfId="2450" applyFont="1" applyFill="1" applyBorder="1" applyAlignment="1">
      <alignment horizontal="left" vertical="center"/>
    </xf>
    <xf numFmtId="0" fontId="28" fillId="0" borderId="80" xfId="2450" applyFont="1" applyFill="1" applyBorder="1" applyAlignment="1">
      <alignment horizontal="left" vertical="center"/>
    </xf>
    <xf numFmtId="0" fontId="28" fillId="0" borderId="51" xfId="2450" applyFont="1" applyFill="1" applyBorder="1" applyAlignment="1">
      <alignment horizontal="left" vertical="center"/>
    </xf>
    <xf numFmtId="0" fontId="28" fillId="0" borderId="60" xfId="2450" applyFont="1" applyFill="1" applyBorder="1" applyAlignment="1">
      <alignment horizontal="left" vertical="center"/>
    </xf>
    <xf numFmtId="0" fontId="28" fillId="0" borderId="37" xfId="2450" applyFont="1" applyBorder="1" applyAlignment="1">
      <alignment horizontal="center" vertical="center" wrapText="1"/>
    </xf>
    <xf numFmtId="0" fontId="28" fillId="0" borderId="48" xfId="2450" applyFont="1" applyBorder="1" applyAlignment="1">
      <alignment horizontal="center" vertical="center" wrapText="1"/>
    </xf>
    <xf numFmtId="0" fontId="28" fillId="0" borderId="40" xfId="2450" applyFont="1" applyBorder="1" applyAlignment="1">
      <alignment horizontal="center" vertical="center" wrapText="1"/>
    </xf>
    <xf numFmtId="0" fontId="28" fillId="0" borderId="35" xfId="2450" applyFont="1" applyBorder="1" applyAlignment="1">
      <alignment horizontal="center" vertical="center" wrapText="1"/>
    </xf>
    <xf numFmtId="0" fontId="28" fillId="0" borderId="80" xfId="2450" applyFont="1" applyBorder="1" applyAlignment="1">
      <alignment horizontal="center" vertical="center" wrapText="1"/>
    </xf>
    <xf numFmtId="0" fontId="28" fillId="0" borderId="8" xfId="2450" applyFont="1" applyBorder="1" applyAlignment="1">
      <alignment horizontal="center" vertical="center" wrapText="1"/>
    </xf>
    <xf numFmtId="0" fontId="28" fillId="0" borderId="27" xfId="2450" applyFont="1" applyFill="1" applyBorder="1" applyAlignment="1">
      <alignment horizontal="center" vertical="center"/>
    </xf>
    <xf numFmtId="0" fontId="28" fillId="0" borderId="70" xfId="2450" applyFont="1" applyFill="1" applyBorder="1" applyAlignment="1">
      <alignment horizontal="center" vertical="center"/>
    </xf>
    <xf numFmtId="0" fontId="28" fillId="0" borderId="20" xfId="2450" applyFont="1" applyFill="1" applyBorder="1" applyAlignment="1">
      <alignment horizontal="center" vertical="center"/>
    </xf>
    <xf numFmtId="0" fontId="28" fillId="6" borderId="37" xfId="2450" applyFont="1" applyFill="1" applyBorder="1" applyAlignment="1">
      <alignment horizontal="left" vertical="center"/>
    </xf>
    <xf numFmtId="0" fontId="28" fillId="6" borderId="47" xfId="2450" applyFont="1" applyFill="1" applyBorder="1" applyAlignment="1">
      <alignment horizontal="left" vertical="center"/>
    </xf>
    <xf numFmtId="0" fontId="28" fillId="6" borderId="49" xfId="2450" applyFont="1" applyFill="1" applyBorder="1" applyAlignment="1">
      <alignment horizontal="left" vertical="center"/>
    </xf>
    <xf numFmtId="0" fontId="28" fillId="6" borderId="80" xfId="2450" applyFont="1" applyFill="1" applyBorder="1" applyAlignment="1">
      <alignment horizontal="left" vertical="center"/>
    </xf>
    <xf numFmtId="0" fontId="28" fillId="6" borderId="51" xfId="2450" applyFont="1" applyFill="1" applyBorder="1" applyAlignment="1">
      <alignment horizontal="left" vertical="center"/>
    </xf>
    <xf numFmtId="0" fontId="28" fillId="6" borderId="60" xfId="2450" applyFont="1" applyFill="1" applyBorder="1" applyAlignment="1">
      <alignment horizontal="left" vertical="center"/>
    </xf>
    <xf numFmtId="0" fontId="27" fillId="5" borderId="80" xfId="2450" applyFont="1" applyFill="1" applyBorder="1" applyAlignment="1">
      <alignment horizontal="center" vertical="center"/>
    </xf>
    <xf numFmtId="0" fontId="27" fillId="5" borderId="51" xfId="2450" applyFont="1" applyFill="1" applyBorder="1" applyAlignment="1">
      <alignment horizontal="center" vertical="center"/>
    </xf>
    <xf numFmtId="0" fontId="27" fillId="5" borderId="39" xfId="2450" applyFont="1" applyFill="1" applyBorder="1" applyAlignment="1">
      <alignment horizontal="center" vertical="center"/>
    </xf>
    <xf numFmtId="0" fontId="27" fillId="5" borderId="58" xfId="2450" applyFont="1" applyFill="1" applyBorder="1" applyAlignment="1">
      <alignment horizontal="center" vertical="center"/>
    </xf>
    <xf numFmtId="0" fontId="28" fillId="6" borderId="40" xfId="2450" applyFont="1" applyFill="1" applyBorder="1" applyAlignment="1">
      <alignment horizontal="left" vertical="center"/>
    </xf>
    <xf numFmtId="0" fontId="28" fillId="6" borderId="0" xfId="2450" applyFont="1" applyFill="1" applyBorder="1" applyAlignment="1">
      <alignment horizontal="left" vertical="center"/>
    </xf>
    <xf numFmtId="0" fontId="28" fillId="6" borderId="41" xfId="2450" applyFont="1" applyFill="1" applyBorder="1" applyAlignment="1">
      <alignment horizontal="left" vertical="center"/>
    </xf>
    <xf numFmtId="0" fontId="27" fillId="5" borderId="8" xfId="2450" applyFont="1" applyFill="1" applyBorder="1" applyAlignment="1">
      <alignment horizontal="center" vertical="center"/>
    </xf>
    <xf numFmtId="0" fontId="27" fillId="5" borderId="24" xfId="2450" applyFont="1" applyFill="1" applyBorder="1" applyAlignment="1">
      <alignment horizontal="center" vertical="center"/>
    </xf>
    <xf numFmtId="0" fontId="27" fillId="5" borderId="40" xfId="2450" applyFont="1" applyFill="1" applyBorder="1" applyAlignment="1">
      <alignment horizontal="center" vertical="center"/>
    </xf>
    <xf numFmtId="0" fontId="27" fillId="5" borderId="41" xfId="2450" applyFont="1" applyFill="1" applyBorder="1" applyAlignment="1">
      <alignment horizontal="center" vertical="center"/>
    </xf>
    <xf numFmtId="0" fontId="27" fillId="5" borderId="42" xfId="2450" applyFont="1" applyFill="1" applyBorder="1" applyAlignment="1">
      <alignment horizontal="center" vertical="center"/>
    </xf>
    <xf numFmtId="0" fontId="27" fillId="5" borderId="34" xfId="2450" applyFont="1" applyFill="1" applyBorder="1" applyAlignment="1">
      <alignment horizontal="center" vertical="center"/>
    </xf>
    <xf numFmtId="0" fontId="28" fillId="0" borderId="40" xfId="2450" applyFont="1" applyFill="1" applyBorder="1" applyAlignment="1">
      <alignment horizontal="left" vertical="center" wrapText="1"/>
    </xf>
    <xf numFmtId="0" fontId="28" fillId="0" borderId="0" xfId="2450" applyFont="1" applyFill="1" applyBorder="1" applyAlignment="1">
      <alignment horizontal="left" vertical="center" wrapText="1"/>
    </xf>
    <xf numFmtId="0" fontId="28" fillId="0" borderId="41" xfId="2450" applyFont="1" applyFill="1" applyBorder="1" applyAlignment="1">
      <alignment horizontal="left" vertical="center" wrapText="1"/>
    </xf>
    <xf numFmtId="0" fontId="28" fillId="0" borderId="42" xfId="2450" applyFont="1" applyFill="1" applyBorder="1" applyAlignment="1">
      <alignment horizontal="left" vertical="center" wrapText="1"/>
    </xf>
    <xf numFmtId="0" fontId="28" fillId="0" borderId="5" xfId="2450" applyFont="1" applyFill="1" applyBorder="1" applyAlignment="1">
      <alignment horizontal="left" vertical="center" wrapText="1"/>
    </xf>
    <xf numFmtId="0" fontId="28" fillId="0" borderId="34" xfId="2450" applyFont="1" applyFill="1" applyBorder="1" applyAlignment="1">
      <alignment horizontal="left" vertical="center" wrapText="1"/>
    </xf>
    <xf numFmtId="0" fontId="28" fillId="0" borderId="40" xfId="2450" applyFont="1" applyFill="1" applyBorder="1" applyAlignment="1">
      <alignment horizontal="center" vertical="center" wrapText="1"/>
    </xf>
    <xf numFmtId="0" fontId="28" fillId="0" borderId="0" xfId="2450" applyFont="1" applyFill="1" applyBorder="1" applyAlignment="1">
      <alignment horizontal="center" vertical="center" wrapText="1"/>
    </xf>
    <xf numFmtId="0" fontId="28" fillId="0" borderId="35" xfId="2450" applyFont="1" applyFill="1" applyBorder="1" applyAlignment="1">
      <alignment horizontal="center" vertical="center" wrapText="1"/>
    </xf>
    <xf numFmtId="0" fontId="28" fillId="0" borderId="42" xfId="2450" applyFont="1" applyFill="1" applyBorder="1" applyAlignment="1">
      <alignment horizontal="center" vertical="center" wrapText="1"/>
    </xf>
    <xf numFmtId="0" fontId="28" fillId="0" borderId="5" xfId="2450" applyFont="1" applyFill="1" applyBorder="1" applyAlignment="1">
      <alignment horizontal="center" vertical="center" wrapText="1"/>
    </xf>
    <xf numFmtId="0" fontId="28" fillId="0" borderId="50" xfId="2450" applyFont="1" applyFill="1" applyBorder="1" applyAlignment="1">
      <alignment horizontal="center" vertical="center" wrapText="1"/>
    </xf>
    <xf numFmtId="0" fontId="26" fillId="0" borderId="60" xfId="2450" applyFont="1" applyBorder="1" applyAlignment="1">
      <alignment horizontal="center" vertical="center"/>
    </xf>
    <xf numFmtId="0" fontId="26" fillId="0" borderId="22" xfId="2450" applyFont="1" applyBorder="1" applyAlignment="1">
      <alignment horizontal="center" vertical="center"/>
    </xf>
    <xf numFmtId="0" fontId="26" fillId="0" borderId="23" xfId="2450" applyFont="1" applyBorder="1" applyAlignment="1">
      <alignment horizontal="center" vertical="center"/>
    </xf>
    <xf numFmtId="0" fontId="26" fillId="0" borderId="27" xfId="2450" applyFont="1" applyBorder="1" applyAlignment="1">
      <alignment horizontal="center" vertical="center" wrapText="1"/>
    </xf>
    <xf numFmtId="0" fontId="26" fillId="0" borderId="70" xfId="2450" applyFont="1" applyBorder="1" applyAlignment="1">
      <alignment horizontal="center" vertical="center"/>
    </xf>
    <xf numFmtId="0" fontId="26" fillId="0" borderId="81" xfId="2450" applyFont="1" applyBorder="1" applyAlignment="1">
      <alignment horizontal="center" vertical="center"/>
    </xf>
    <xf numFmtId="176" fontId="28" fillId="8" borderId="67" xfId="2452" applyNumberFormat="1" applyFont="1" applyFill="1" applyBorder="1" applyAlignment="1">
      <alignment horizontal="center" vertical="center" wrapText="1"/>
    </xf>
    <xf numFmtId="176" fontId="28" fillId="8" borderId="52" xfId="2452" applyNumberFormat="1" applyFont="1" applyFill="1" applyBorder="1" applyAlignment="1">
      <alignment horizontal="center" vertical="center" wrapText="1"/>
    </xf>
    <xf numFmtId="176" fontId="28" fillId="3" borderId="57" xfId="2452" applyNumberFormat="1" applyFont="1" applyFill="1" applyBorder="1" applyAlignment="1">
      <alignment horizontal="center" vertical="center" wrapText="1"/>
    </xf>
    <xf numFmtId="176" fontId="28" fillId="3" borderId="67" xfId="2452" applyNumberFormat="1" applyFont="1" applyFill="1" applyBorder="1" applyAlignment="1">
      <alignment horizontal="center" vertical="center" wrapText="1"/>
    </xf>
    <xf numFmtId="176" fontId="28" fillId="3" borderId="52" xfId="2452" applyNumberFormat="1" applyFont="1" applyFill="1" applyBorder="1" applyAlignment="1">
      <alignment horizontal="center" vertical="center" wrapText="1"/>
    </xf>
    <xf numFmtId="176" fontId="28" fillId="3" borderId="57" xfId="2452" applyNumberFormat="1" applyFont="1" applyFill="1" applyBorder="1" applyAlignment="1">
      <alignment horizontal="center" vertical="center"/>
    </xf>
    <xf numFmtId="176" fontId="28" fillId="3" borderId="57" xfId="2494" applyNumberFormat="1" applyFont="1" applyFill="1" applyBorder="1" applyAlignment="1">
      <alignment horizontal="center" vertical="center"/>
    </xf>
    <xf numFmtId="176" fontId="28" fillId="3" borderId="56" xfId="2494" applyNumberFormat="1" applyFont="1" applyFill="1" applyBorder="1" applyAlignment="1">
      <alignment horizontal="center" vertical="center"/>
    </xf>
    <xf numFmtId="176" fontId="106" fillId="4" borderId="46" xfId="2452" applyNumberFormat="1" applyFont="1" applyFill="1" applyBorder="1" applyAlignment="1">
      <alignment horizontal="center" vertical="center"/>
    </xf>
    <xf numFmtId="176" fontId="106" fillId="4" borderId="60" xfId="2452" applyNumberFormat="1" applyFont="1" applyFill="1" applyBorder="1" applyAlignment="1">
      <alignment horizontal="center" vertical="center"/>
    </xf>
    <xf numFmtId="41" fontId="28" fillId="4" borderId="33" xfId="2463" applyFont="1" applyFill="1" applyBorder="1" applyAlignment="1">
      <alignment horizontal="center" vertical="center"/>
    </xf>
    <xf numFmtId="41" fontId="28" fillId="4" borderId="28" xfId="2463" applyFont="1" applyFill="1" applyBorder="1" applyAlignment="1">
      <alignment horizontal="center" vertical="center"/>
    </xf>
    <xf numFmtId="176" fontId="27" fillId="4" borderId="6" xfId="2452" applyNumberFormat="1" applyFont="1" applyFill="1" applyBorder="1" applyAlignment="1">
      <alignment horizontal="center" vertical="center"/>
    </xf>
    <xf numFmtId="176" fontId="27" fillId="4" borderId="22" xfId="2452" applyNumberFormat="1" applyFont="1" applyFill="1" applyBorder="1" applyAlignment="1">
      <alignment horizontal="center" vertical="center"/>
    </xf>
    <xf numFmtId="176" fontId="28" fillId="0" borderId="27" xfId="2452" applyNumberFormat="1" applyFont="1" applyFill="1" applyBorder="1" applyAlignment="1">
      <alignment horizontal="center" vertical="center"/>
    </xf>
    <xf numFmtId="41" fontId="28" fillId="4" borderId="14" xfId="2463" applyFont="1" applyFill="1" applyBorder="1" applyAlignment="1">
      <alignment horizontal="center" vertical="center"/>
    </xf>
    <xf numFmtId="41" fontId="28" fillId="4" borderId="27" xfId="2463" applyFont="1" applyFill="1" applyBorder="1" applyAlignment="1">
      <alignment horizontal="center" vertical="center"/>
    </xf>
    <xf numFmtId="41" fontId="28" fillId="4" borderId="81" xfId="2463" applyFont="1" applyFill="1" applyBorder="1" applyAlignment="1">
      <alignment horizontal="center" vertical="center"/>
    </xf>
    <xf numFmtId="177" fontId="27" fillId="4" borderId="29" xfId="2452" applyNumberFormat="1" applyFont="1" applyFill="1" applyBorder="1" applyAlignment="1">
      <alignment horizontal="center" vertical="center"/>
    </xf>
    <xf numFmtId="177" fontId="27" fillId="4" borderId="52" xfId="2452" applyNumberFormat="1" applyFont="1" applyFill="1" applyBorder="1" applyAlignment="1">
      <alignment horizontal="center" vertical="center"/>
    </xf>
    <xf numFmtId="176" fontId="106" fillId="4" borderId="6" xfId="2452" applyNumberFormat="1" applyFont="1" applyFill="1" applyBorder="1" applyAlignment="1">
      <alignment horizontal="center" vertical="center"/>
    </xf>
    <xf numFmtId="176" fontId="106" fillId="4" borderId="22" xfId="2452" applyNumberFormat="1" applyFont="1" applyFill="1" applyBorder="1" applyAlignment="1">
      <alignment horizontal="center" vertical="center"/>
    </xf>
    <xf numFmtId="177" fontId="106" fillId="4" borderId="29" xfId="2452" applyNumberFormat="1" applyFont="1" applyFill="1" applyBorder="1" applyAlignment="1">
      <alignment horizontal="center" vertical="center"/>
    </xf>
    <xf numFmtId="177" fontId="106" fillId="4" borderId="52" xfId="2452" applyNumberFormat="1" applyFont="1" applyFill="1" applyBorder="1" applyAlignment="1">
      <alignment horizontal="center" vertical="center"/>
    </xf>
    <xf numFmtId="0" fontId="28" fillId="0" borderId="26" xfId="2450" applyFont="1" applyFill="1" applyBorder="1" applyAlignment="1">
      <alignment horizontal="center" vertical="center" wrapText="1"/>
    </xf>
    <xf numFmtId="0" fontId="28" fillId="0" borderId="58" xfId="2450" applyFont="1" applyFill="1" applyBorder="1" applyAlignment="1">
      <alignment horizontal="center" vertical="center" wrapText="1"/>
    </xf>
    <xf numFmtId="0" fontId="28" fillId="0" borderId="23" xfId="2450" applyFont="1" applyFill="1" applyBorder="1" applyAlignment="1">
      <alignment horizontal="center" vertical="center" wrapText="1"/>
    </xf>
    <xf numFmtId="0" fontId="27" fillId="5" borderId="90" xfId="2450" applyFont="1" applyFill="1" applyBorder="1" applyAlignment="1">
      <alignment horizontal="center" vertical="center"/>
    </xf>
    <xf numFmtId="0" fontId="27" fillId="5" borderId="91" xfId="2450" applyFont="1" applyFill="1" applyBorder="1" applyAlignment="1">
      <alignment horizontal="center" vertical="center"/>
    </xf>
    <xf numFmtId="0" fontId="27" fillId="5" borderId="92" xfId="2450" applyFont="1" applyFill="1" applyBorder="1" applyAlignment="1">
      <alignment horizontal="center" vertical="center"/>
    </xf>
    <xf numFmtId="0" fontId="27" fillId="5" borderId="83" xfId="2450" applyFont="1" applyFill="1" applyBorder="1" applyAlignment="1">
      <alignment horizontal="center" vertical="center"/>
    </xf>
    <xf numFmtId="9" fontId="27" fillId="5" borderId="83" xfId="2450" quotePrefix="1" applyNumberFormat="1" applyFont="1" applyFill="1" applyBorder="1" applyAlignment="1">
      <alignment horizontal="center" vertical="center"/>
    </xf>
    <xf numFmtId="0" fontId="27" fillId="5" borderId="83" xfId="2450" applyNumberFormat="1" applyFont="1" applyFill="1" applyBorder="1" applyAlignment="1">
      <alignment horizontal="center" vertical="center"/>
    </xf>
    <xf numFmtId="9" fontId="27" fillId="5" borderId="93" xfId="2450" quotePrefix="1" applyNumberFormat="1" applyFont="1" applyFill="1" applyBorder="1" applyAlignment="1">
      <alignment horizontal="center" vertical="center"/>
    </xf>
    <xf numFmtId="9" fontId="27" fillId="5" borderId="2" xfId="2450" quotePrefix="1" applyNumberFormat="1" applyFont="1" applyFill="1" applyBorder="1" applyAlignment="1">
      <alignment horizontal="center" vertical="center"/>
    </xf>
    <xf numFmtId="9" fontId="27" fillId="5" borderId="94" xfId="2450" quotePrefix="1" applyNumberFormat="1" applyFont="1" applyFill="1" applyBorder="1" applyAlignment="1">
      <alignment horizontal="center" vertical="center"/>
    </xf>
    <xf numFmtId="0" fontId="28" fillId="5" borderId="52" xfId="2450" applyFont="1" applyFill="1" applyBorder="1" applyAlignment="1">
      <alignment horizontal="center" vertical="center"/>
    </xf>
    <xf numFmtId="0" fontId="28" fillId="0" borderId="6" xfId="2450" applyFont="1" applyFill="1" applyBorder="1" applyAlignment="1">
      <alignment horizontal="center" vertical="center"/>
    </xf>
    <xf numFmtId="0" fontId="28" fillId="0" borderId="3" xfId="2450" applyFont="1" applyFill="1" applyBorder="1" applyAlignment="1">
      <alignment horizontal="center" vertical="center"/>
    </xf>
    <xf numFmtId="0" fontId="28" fillId="0" borderId="22" xfId="2450" applyFont="1" applyFill="1" applyBorder="1" applyAlignment="1">
      <alignment horizontal="center" vertical="center"/>
    </xf>
    <xf numFmtId="0" fontId="28" fillId="0" borderId="67" xfId="2450" applyFont="1" applyFill="1" applyBorder="1" applyAlignment="1">
      <alignment horizontal="center" vertical="center"/>
    </xf>
    <xf numFmtId="0" fontId="28" fillId="0" borderId="52" xfId="2450" applyFont="1" applyFill="1" applyBorder="1" applyAlignment="1">
      <alignment horizontal="center" vertical="center"/>
    </xf>
    <xf numFmtId="0" fontId="28" fillId="5" borderId="38" xfId="2450" applyFont="1" applyFill="1" applyBorder="1" applyAlignment="1">
      <alignment horizontal="center" vertical="center"/>
    </xf>
    <xf numFmtId="0" fontId="28" fillId="5" borderId="19" xfId="2450" applyFont="1" applyFill="1" applyBorder="1" applyAlignment="1">
      <alignment horizontal="center" vertical="center"/>
    </xf>
    <xf numFmtId="0" fontId="28" fillId="0" borderId="8" xfId="2450" applyFont="1" applyBorder="1" applyAlignment="1">
      <alignment horizontal="center" vertical="center"/>
    </xf>
    <xf numFmtId="0" fontId="28" fillId="0" borderId="15" xfId="2450" applyFont="1" applyBorder="1" applyAlignment="1">
      <alignment horizontal="center" vertical="center"/>
    </xf>
    <xf numFmtId="0" fontId="28" fillId="0" borderId="29" xfId="2450" applyFont="1" applyBorder="1" applyAlignment="1">
      <alignment horizontal="center" vertical="center"/>
    </xf>
    <xf numFmtId="0" fontId="28" fillId="0" borderId="52" xfId="2450" applyFont="1" applyBorder="1" applyAlignment="1">
      <alignment horizontal="center" vertical="center"/>
    </xf>
    <xf numFmtId="0" fontId="28" fillId="0" borderId="24" xfId="2450" applyFont="1" applyBorder="1" applyAlignment="1">
      <alignment horizontal="center" vertical="center"/>
    </xf>
    <xf numFmtId="0" fontId="28" fillId="0" borderId="7" xfId="2450" applyFont="1" applyBorder="1" applyAlignment="1">
      <alignment horizontal="center" vertical="center"/>
    </xf>
    <xf numFmtId="0" fontId="28" fillId="3" borderId="43" xfId="2450" applyFont="1" applyFill="1" applyBorder="1" applyAlignment="1">
      <alignment horizontal="center" vertical="center"/>
    </xf>
    <xf numFmtId="0" fontId="28" fillId="3" borderId="69" xfId="2450" applyFont="1" applyFill="1" applyBorder="1" applyAlignment="1">
      <alignment horizontal="center" vertical="center"/>
    </xf>
    <xf numFmtId="0" fontId="28" fillId="3" borderId="68" xfId="2450" applyFont="1" applyFill="1" applyBorder="1" applyAlignment="1">
      <alignment horizontal="center" vertical="center"/>
    </xf>
    <xf numFmtId="0" fontId="28" fillId="3" borderId="44" xfId="2450" applyFont="1" applyFill="1" applyBorder="1" applyAlignment="1">
      <alignment horizontal="center" vertical="center"/>
    </xf>
    <xf numFmtId="0" fontId="28" fillId="3" borderId="45" xfId="2450" applyFont="1" applyFill="1" applyBorder="1" applyAlignment="1">
      <alignment horizontal="center" vertical="center"/>
    </xf>
    <xf numFmtId="0" fontId="28" fillId="3" borderId="80" xfId="2450" applyFont="1" applyFill="1" applyBorder="1" applyAlignment="1">
      <alignment horizontal="center" vertical="center"/>
    </xf>
    <xf numFmtId="0" fontId="28" fillId="3" borderId="8" xfId="2450" applyFont="1" applyFill="1" applyBorder="1" applyAlignment="1">
      <alignment horizontal="center" vertical="center"/>
    </xf>
    <xf numFmtId="0" fontId="28" fillId="0" borderId="44" xfId="2450" applyFont="1" applyBorder="1" applyAlignment="1">
      <alignment horizontal="center" vertical="center"/>
    </xf>
    <xf numFmtId="0" fontId="28" fillId="0" borderId="46" xfId="2450" applyFont="1" applyBorder="1" applyAlignment="1">
      <alignment horizontal="center" vertical="center"/>
    </xf>
    <xf numFmtId="0" fontId="28" fillId="0" borderId="51" xfId="2450" applyFont="1" applyBorder="1" applyAlignment="1">
      <alignment horizontal="center" vertical="center"/>
    </xf>
    <xf numFmtId="0" fontId="28" fillId="6" borderId="6" xfId="2450" applyFont="1" applyFill="1" applyBorder="1" applyAlignment="1">
      <alignment horizontal="center" vertical="center"/>
    </xf>
    <xf numFmtId="0" fontId="28" fillId="6" borderId="3" xfId="2450" applyFont="1" applyFill="1" applyBorder="1" applyAlignment="1">
      <alignment horizontal="center" vertical="center"/>
    </xf>
    <xf numFmtId="0" fontId="28" fillId="6" borderId="41" xfId="2450" applyFont="1" applyFill="1" applyBorder="1" applyAlignment="1">
      <alignment horizontal="center" vertical="center"/>
    </xf>
    <xf numFmtId="0" fontId="102" fillId="3" borderId="21" xfId="2450" applyFont="1" applyFill="1" applyBorder="1" applyAlignment="1">
      <alignment horizontal="center" vertical="center"/>
    </xf>
    <xf numFmtId="0" fontId="102" fillId="3" borderId="4" xfId="2450" applyFont="1" applyFill="1" applyBorder="1" applyAlignment="1">
      <alignment horizontal="center" vertical="center"/>
    </xf>
    <xf numFmtId="0" fontId="102" fillId="0" borderId="4" xfId="2450" applyFont="1" applyFill="1" applyBorder="1" applyAlignment="1">
      <alignment horizontal="center" vertical="center"/>
    </xf>
    <xf numFmtId="0" fontId="102" fillId="0" borderId="12" xfId="2450" applyFont="1" applyFill="1" applyBorder="1" applyAlignment="1">
      <alignment horizontal="center" vertical="center"/>
    </xf>
    <xf numFmtId="0" fontId="102" fillId="3" borderId="17" xfId="2450" applyFont="1" applyFill="1" applyBorder="1" applyAlignment="1">
      <alignment horizontal="center" vertical="center"/>
    </xf>
    <xf numFmtId="0" fontId="102" fillId="3" borderId="7" xfId="2450" applyFont="1" applyFill="1" applyBorder="1" applyAlignment="1">
      <alignment horizontal="center" vertical="center"/>
    </xf>
    <xf numFmtId="0" fontId="102" fillId="0" borderId="7" xfId="2450" applyFont="1" applyFill="1" applyBorder="1" applyAlignment="1">
      <alignment horizontal="center" vertical="center"/>
    </xf>
    <xf numFmtId="0" fontId="102" fillId="0" borderId="18" xfId="2450" applyFont="1" applyFill="1" applyBorder="1" applyAlignment="1">
      <alignment horizontal="center" vertical="center"/>
    </xf>
    <xf numFmtId="0" fontId="28" fillId="5" borderId="15" xfId="2450" applyFont="1" applyFill="1" applyBorder="1" applyAlignment="1">
      <alignment horizontal="center" vertical="center"/>
    </xf>
    <xf numFmtId="0" fontId="28" fillId="5" borderId="46" xfId="2450" applyFont="1" applyFill="1" applyBorder="1" applyAlignment="1">
      <alignment horizontal="center" vertical="center"/>
    </xf>
    <xf numFmtId="0" fontId="28" fillId="5" borderId="135" xfId="2450" applyFont="1" applyFill="1" applyBorder="1" applyAlignment="1">
      <alignment horizontal="center" vertical="center"/>
    </xf>
    <xf numFmtId="0" fontId="28" fillId="5" borderId="136" xfId="2450" applyFont="1" applyFill="1" applyBorder="1" applyAlignment="1">
      <alignment horizontal="center" vertical="center"/>
    </xf>
    <xf numFmtId="0" fontId="28" fillId="0" borderId="4" xfId="2450" applyFont="1" applyBorder="1" applyAlignment="1">
      <alignment horizontal="center" vertical="center"/>
    </xf>
    <xf numFmtId="0" fontId="28" fillId="0" borderId="6" xfId="2450" applyFont="1" applyBorder="1" applyAlignment="1">
      <alignment horizontal="center" vertical="center"/>
    </xf>
    <xf numFmtId="0" fontId="28" fillId="0" borderId="137" xfId="2450" applyFont="1" applyBorder="1" applyAlignment="1">
      <alignment horizontal="center" vertical="center"/>
    </xf>
    <xf numFmtId="0" fontId="28" fillId="0" borderId="138" xfId="2450" applyFont="1" applyBorder="1" applyAlignment="1">
      <alignment horizontal="center" vertical="center"/>
    </xf>
    <xf numFmtId="0" fontId="28" fillId="5" borderId="6" xfId="2450" applyFont="1" applyFill="1" applyBorder="1" applyAlignment="1">
      <alignment horizontal="center" vertical="center"/>
    </xf>
    <xf numFmtId="0" fontId="28" fillId="5" borderId="3" xfId="2450" applyFont="1" applyFill="1" applyBorder="1" applyAlignment="1">
      <alignment horizontal="center" vertical="center"/>
    </xf>
    <xf numFmtId="0" fontId="28" fillId="0" borderId="10" xfId="2450" applyFont="1" applyFill="1" applyBorder="1" applyAlignment="1">
      <alignment horizontal="center" vertical="center"/>
    </xf>
    <xf numFmtId="0" fontId="28" fillId="0" borderId="36" xfId="2450" applyFont="1" applyFill="1" applyBorder="1" applyAlignment="1">
      <alignment horizontal="center" vertical="center"/>
    </xf>
    <xf numFmtId="0" fontId="28" fillId="0" borderId="35" xfId="2450" applyFont="1" applyFill="1" applyBorder="1" applyAlignment="1">
      <alignment horizontal="center" vertical="center"/>
    </xf>
    <xf numFmtId="0" fontId="28" fillId="0" borderId="46" xfId="2450" applyFont="1" applyFill="1" applyBorder="1" applyAlignment="1">
      <alignment horizontal="center" vertical="center"/>
    </xf>
    <xf numFmtId="0" fontId="28" fillId="0" borderId="8" xfId="2450" applyFont="1" applyFill="1" applyBorder="1" applyAlignment="1">
      <alignment horizontal="center" vertical="center"/>
    </xf>
    <xf numFmtId="0" fontId="28" fillId="0" borderId="9" xfId="2450" applyFont="1" applyFill="1" applyBorder="1" applyAlignment="1">
      <alignment horizontal="center" vertical="center"/>
    </xf>
    <xf numFmtId="0" fontId="28" fillId="6" borderId="10" xfId="2450" applyFont="1" applyFill="1" applyBorder="1" applyAlignment="1">
      <alignment horizontal="center" vertical="center"/>
    </xf>
    <xf numFmtId="0" fontId="28" fillId="6" borderId="47" xfId="2450" applyFont="1" applyFill="1" applyBorder="1" applyAlignment="1">
      <alignment horizontal="center" vertical="center"/>
    </xf>
    <xf numFmtId="0" fontId="28" fillId="6" borderId="48" xfId="2450" applyFont="1" applyFill="1" applyBorder="1" applyAlignment="1">
      <alignment horizontal="center" vertical="center"/>
    </xf>
    <xf numFmtId="0" fontId="28" fillId="6" borderId="35" xfId="2450" applyFont="1" applyFill="1" applyBorder="1" applyAlignment="1">
      <alignment horizontal="center" vertical="center"/>
    </xf>
    <xf numFmtId="0" fontId="28" fillId="5" borderId="10" xfId="2450" applyFont="1" applyFill="1" applyBorder="1" applyAlignment="1">
      <alignment horizontal="center" vertical="center"/>
    </xf>
    <xf numFmtId="0" fontId="28" fillId="5" borderId="48" xfId="2450" applyFont="1" applyFill="1" applyBorder="1" applyAlignment="1">
      <alignment horizontal="center" vertical="center"/>
    </xf>
    <xf numFmtId="9" fontId="28" fillId="0" borderId="4" xfId="2481" applyFont="1" applyBorder="1" applyAlignment="1">
      <alignment horizontal="center" vertical="center"/>
    </xf>
    <xf numFmtId="9" fontId="28" fillId="0" borderId="12" xfId="2481" applyFont="1" applyBorder="1" applyAlignment="1">
      <alignment horizontal="center" vertical="center"/>
    </xf>
    <xf numFmtId="0" fontId="28" fillId="5" borderId="12" xfId="2450" applyFont="1" applyFill="1" applyBorder="1" applyAlignment="1">
      <alignment horizontal="center" vertical="center"/>
    </xf>
    <xf numFmtId="0" fontId="28" fillId="5" borderId="14" xfId="2450" applyFont="1" applyFill="1" applyBorder="1" applyAlignment="1">
      <alignment horizontal="center" vertical="center"/>
    </xf>
    <xf numFmtId="0" fontId="28" fillId="5" borderId="6" xfId="2450" applyFont="1" applyFill="1" applyBorder="1" applyAlignment="1">
      <alignment horizontal="center" vertical="center" wrapText="1"/>
    </xf>
    <xf numFmtId="0" fontId="28" fillId="5" borderId="3" xfId="2450" applyFont="1" applyFill="1" applyBorder="1" applyAlignment="1">
      <alignment horizontal="center" vertical="center" wrapText="1"/>
    </xf>
    <xf numFmtId="0" fontId="28" fillId="5" borderId="139" xfId="2450" applyFont="1" applyFill="1" applyBorder="1" applyAlignment="1">
      <alignment horizontal="center" vertical="center"/>
    </xf>
    <xf numFmtId="0" fontId="28" fillId="5" borderId="140" xfId="2450" applyFont="1" applyFill="1" applyBorder="1" applyAlignment="1">
      <alignment horizontal="center" vertical="center"/>
    </xf>
    <xf numFmtId="0" fontId="28" fillId="5" borderId="48" xfId="2450" applyFont="1" applyFill="1" applyBorder="1" applyAlignment="1">
      <alignment horizontal="center" vertical="center" wrapText="1"/>
    </xf>
    <xf numFmtId="0" fontId="28" fillId="5" borderId="8" xfId="2450" applyFont="1" applyFill="1" applyBorder="1" applyAlignment="1">
      <alignment horizontal="center" vertical="center" wrapText="1"/>
    </xf>
    <xf numFmtId="0" fontId="28" fillId="3" borderId="42" xfId="2450" applyFont="1" applyFill="1" applyBorder="1" applyAlignment="1">
      <alignment horizontal="center" vertical="center"/>
    </xf>
    <xf numFmtId="0" fontId="28" fillId="3" borderId="50" xfId="2450" applyFont="1" applyFill="1" applyBorder="1" applyAlignment="1">
      <alignment horizontal="center" vertical="center"/>
    </xf>
    <xf numFmtId="0" fontId="28" fillId="0" borderId="50" xfId="2450" applyFont="1" applyBorder="1" applyAlignment="1">
      <alignment horizontal="center" vertical="center" wrapText="1"/>
    </xf>
    <xf numFmtId="9" fontId="28" fillId="0" borderId="141" xfId="2481" applyFont="1" applyFill="1" applyBorder="1" applyAlignment="1">
      <alignment horizontal="center" vertical="center"/>
    </xf>
    <xf numFmtId="9" fontId="28" fillId="0" borderId="142" xfId="2481" applyFont="1" applyFill="1" applyBorder="1" applyAlignment="1">
      <alignment horizontal="center" vertical="center"/>
    </xf>
    <xf numFmtId="9" fontId="28" fillId="0" borderId="143" xfId="2481" applyFont="1" applyFill="1" applyBorder="1" applyAlignment="1">
      <alignment horizontal="center" vertical="center"/>
    </xf>
    <xf numFmtId="9" fontId="28" fillId="0" borderId="144" xfId="2481" applyFont="1" applyFill="1" applyBorder="1" applyAlignment="1">
      <alignment horizontal="center" vertical="center"/>
    </xf>
    <xf numFmtId="176" fontId="28" fillId="3" borderId="69" xfId="0" applyNumberFormat="1" applyFont="1" applyFill="1" applyBorder="1" applyAlignment="1">
      <alignment horizontal="center" vertical="center" wrapText="1"/>
    </xf>
    <xf numFmtId="0" fontId="26" fillId="3" borderId="50" xfId="0" applyFont="1" applyFill="1" applyBorder="1" applyAlignment="1">
      <alignment vertical="center"/>
    </xf>
    <xf numFmtId="176" fontId="28" fillId="3" borderId="67" xfId="2452" applyNumberFormat="1" applyFont="1" applyFill="1" applyBorder="1" applyAlignment="1">
      <alignment horizontal="center" vertical="center"/>
    </xf>
    <xf numFmtId="0" fontId="101" fillId="3" borderId="29" xfId="2482" applyFont="1" applyFill="1" applyBorder="1" applyAlignment="1">
      <alignment horizontal="center" vertical="center"/>
    </xf>
    <xf numFmtId="0" fontId="101" fillId="3" borderId="56" xfId="2482" applyFont="1" applyFill="1" applyBorder="1" applyAlignment="1">
      <alignment horizontal="center" vertical="center"/>
    </xf>
    <xf numFmtId="0" fontId="101" fillId="3" borderId="67" xfId="2482" applyFont="1" applyFill="1" applyBorder="1" applyAlignment="1">
      <alignment horizontal="center" vertical="center"/>
    </xf>
    <xf numFmtId="9" fontId="28" fillId="3" borderId="29" xfId="2452" applyNumberFormat="1" applyFont="1" applyFill="1" applyBorder="1" applyAlignment="1">
      <alignment horizontal="center" vertical="center"/>
    </xf>
    <xf numFmtId="9" fontId="28" fillId="3" borderId="52" xfId="2452" applyNumberFormat="1" applyFont="1" applyFill="1" applyBorder="1" applyAlignment="1">
      <alignment horizontal="center" vertical="center"/>
    </xf>
    <xf numFmtId="9" fontId="28" fillId="3" borderId="57" xfId="2482" applyNumberFormat="1" applyFont="1" applyFill="1" applyBorder="1" applyAlignment="1">
      <alignment horizontal="center" vertical="center"/>
    </xf>
    <xf numFmtId="9" fontId="28" fillId="3" borderId="67" xfId="2482" applyNumberFormat="1" applyFont="1" applyFill="1" applyBorder="1" applyAlignment="1">
      <alignment horizontal="center" vertical="center"/>
    </xf>
    <xf numFmtId="9" fontId="28" fillId="3" borderId="52" xfId="2482" applyNumberFormat="1" applyFont="1" applyFill="1" applyBorder="1" applyAlignment="1">
      <alignment horizontal="center" vertical="center"/>
    </xf>
    <xf numFmtId="176" fontId="28" fillId="3" borderId="57" xfId="2482" applyNumberFormat="1" applyFont="1" applyFill="1" applyBorder="1" applyAlignment="1">
      <alignment horizontal="center" vertical="center"/>
    </xf>
    <xf numFmtId="176" fontId="28" fillId="3" borderId="56" xfId="2482" applyNumberFormat="1" applyFont="1" applyFill="1" applyBorder="1" applyAlignment="1">
      <alignment horizontal="center" vertical="center"/>
    </xf>
    <xf numFmtId="9" fontId="28" fillId="3" borderId="56" xfId="2482" applyNumberFormat="1" applyFont="1" applyFill="1" applyBorder="1" applyAlignment="1">
      <alignment horizontal="center" vertical="center"/>
    </xf>
    <xf numFmtId="177" fontId="36" fillId="4" borderId="21" xfId="2452" applyNumberFormat="1" applyFont="1" applyFill="1" applyBorder="1" applyAlignment="1">
      <alignment horizontal="center" vertical="center"/>
    </xf>
    <xf numFmtId="177" fontId="36" fillId="4" borderId="4" xfId="2452" applyNumberFormat="1" applyFont="1" applyFill="1" applyBorder="1" applyAlignment="1">
      <alignment horizontal="center" vertical="center"/>
    </xf>
    <xf numFmtId="177" fontId="36" fillId="4" borderId="6" xfId="2452" applyNumberFormat="1" applyFont="1" applyFill="1" applyBorder="1" applyAlignment="1">
      <alignment horizontal="center" vertical="center"/>
    </xf>
    <xf numFmtId="176" fontId="28" fillId="0" borderId="21" xfId="2452" applyNumberFormat="1" applyFont="1" applyBorder="1" applyAlignment="1">
      <alignment horizontal="center" vertical="center"/>
    </xf>
    <xf numFmtId="176" fontId="28" fillId="0" borderId="12" xfId="2452" applyNumberFormat="1" applyFont="1" applyFill="1" applyBorder="1" applyAlignment="1">
      <alignment horizontal="center" vertical="center"/>
    </xf>
    <xf numFmtId="176" fontId="28" fillId="0" borderId="9" xfId="2452" applyNumberFormat="1" applyFont="1" applyFill="1" applyBorder="1" applyAlignment="1">
      <alignment horizontal="center" vertical="center"/>
    </xf>
    <xf numFmtId="229" fontId="28" fillId="0" borderId="33" xfId="2483" applyNumberFormat="1" applyFont="1" applyFill="1" applyBorder="1" applyAlignment="1">
      <alignment horizontal="center" vertical="center"/>
    </xf>
    <xf numFmtId="229" fontId="28" fillId="0" borderId="15" xfId="2483" applyNumberFormat="1" applyFont="1" applyFill="1" applyBorder="1" applyAlignment="1">
      <alignment horizontal="center" vertical="center"/>
    </xf>
    <xf numFmtId="229" fontId="28" fillId="0" borderId="14" xfId="2483" applyNumberFormat="1" applyFont="1" applyFill="1" applyBorder="1" applyAlignment="1">
      <alignment horizontal="center" vertical="center"/>
    </xf>
    <xf numFmtId="229" fontId="28" fillId="0" borderId="36" xfId="2483" applyNumberFormat="1" applyFont="1" applyFill="1" applyBorder="1" applyAlignment="1">
      <alignment horizontal="center" vertical="center"/>
    </xf>
    <xf numFmtId="229" fontId="28" fillId="0" borderId="46" xfId="2483" applyNumberFormat="1" applyFont="1" applyFill="1" applyBorder="1" applyAlignment="1">
      <alignment horizontal="center" vertical="center"/>
    </xf>
    <xf numFmtId="176" fontId="28" fillId="0" borderId="14" xfId="2452" applyNumberFormat="1" applyFont="1" applyBorder="1" applyAlignment="1">
      <alignment horizontal="center" vertical="center"/>
    </xf>
    <xf numFmtId="176" fontId="28" fillId="0" borderId="15" xfId="2452" applyNumberFormat="1" applyFont="1" applyBorder="1" applyAlignment="1">
      <alignment horizontal="center" vertical="center"/>
    </xf>
    <xf numFmtId="41" fontId="28" fillId="0" borderId="14" xfId="2483" applyFont="1" applyFill="1" applyBorder="1" applyAlignment="1">
      <alignment horizontal="center" vertical="center"/>
    </xf>
    <xf numFmtId="41" fontId="28" fillId="0" borderId="15" xfId="2483" applyFont="1" applyFill="1" applyBorder="1" applyAlignment="1">
      <alignment horizontal="center" vertical="center"/>
    </xf>
    <xf numFmtId="229" fontId="28" fillId="0" borderId="4" xfId="2483" applyNumberFormat="1" applyFont="1" applyFill="1" applyBorder="1" applyAlignment="1">
      <alignment horizontal="center" vertical="center"/>
    </xf>
    <xf numFmtId="176" fontId="28" fillId="0" borderId="30" xfId="2452" applyNumberFormat="1" applyFont="1" applyBorder="1" applyAlignment="1">
      <alignment horizontal="center" vertical="center"/>
    </xf>
    <xf numFmtId="176" fontId="28" fillId="0" borderId="4" xfId="2452" applyNumberFormat="1" applyFont="1" applyBorder="1" applyAlignment="1">
      <alignment horizontal="center" vertical="center"/>
    </xf>
    <xf numFmtId="176" fontId="28" fillId="0" borderId="33" xfId="2452" applyNumberFormat="1" applyFont="1" applyBorder="1" applyAlignment="1">
      <alignment horizontal="center" vertical="center"/>
    </xf>
    <xf numFmtId="176" fontId="28" fillId="0" borderId="19" xfId="2452" applyNumberFormat="1" applyFont="1" applyBorder="1" applyAlignment="1">
      <alignment horizontal="center" vertical="center"/>
    </xf>
    <xf numFmtId="176" fontId="28" fillId="0" borderId="8" xfId="2452" applyNumberFormat="1" applyFont="1" applyFill="1" applyBorder="1" applyAlignment="1">
      <alignment horizontal="center" vertical="center"/>
    </xf>
    <xf numFmtId="177" fontId="27" fillId="4" borderId="21" xfId="2452" applyNumberFormat="1" applyFont="1" applyFill="1" applyBorder="1" applyAlignment="1">
      <alignment horizontal="center" vertical="center"/>
    </xf>
    <xf numFmtId="177" fontId="27" fillId="4" borderId="4" xfId="2452" applyNumberFormat="1" applyFont="1" applyFill="1" applyBorder="1" applyAlignment="1">
      <alignment horizontal="center" vertical="center"/>
    </xf>
    <xf numFmtId="177" fontId="27" fillId="4" borderId="6" xfId="2452" applyNumberFormat="1" applyFont="1" applyFill="1" applyBorder="1" applyAlignment="1">
      <alignment horizontal="center" vertical="center"/>
    </xf>
    <xf numFmtId="41" fontId="28" fillId="0" borderId="33" xfId="2483" applyFont="1" applyFill="1" applyBorder="1" applyAlignment="1">
      <alignment horizontal="center" vertical="center"/>
    </xf>
    <xf numFmtId="176" fontId="36" fillId="4" borderId="38" xfId="2452" applyNumberFormat="1" applyFont="1" applyFill="1" applyBorder="1" applyAlignment="1">
      <alignment horizontal="center" vertical="center"/>
    </xf>
    <xf numFmtId="176" fontId="36" fillId="4" borderId="3" xfId="2452" applyNumberFormat="1" applyFont="1" applyFill="1" applyBorder="1" applyAlignment="1">
      <alignment horizontal="center" vertical="center"/>
    </xf>
    <xf numFmtId="176" fontId="36" fillId="4" borderId="22" xfId="2452" applyNumberFormat="1" applyFont="1" applyFill="1" applyBorder="1" applyAlignment="1">
      <alignment horizontal="center" vertical="center"/>
    </xf>
    <xf numFmtId="176" fontId="28" fillId="0" borderId="62" xfId="2452" applyNumberFormat="1" applyFont="1" applyBorder="1" applyAlignment="1">
      <alignment vertical="center"/>
    </xf>
    <xf numFmtId="176" fontId="28" fillId="0" borderId="82" xfId="2452" applyNumberFormat="1" applyFont="1" applyBorder="1" applyAlignment="1">
      <alignment vertical="center"/>
    </xf>
    <xf numFmtId="176" fontId="28" fillId="0" borderId="28" xfId="2452" applyNumberFormat="1" applyFont="1" applyBorder="1" applyAlignment="1">
      <alignment horizontal="center" vertical="center"/>
    </xf>
    <xf numFmtId="41" fontId="28" fillId="0" borderId="28" xfId="2483" applyFont="1" applyFill="1" applyBorder="1" applyAlignment="1">
      <alignment horizontal="center" vertical="center"/>
    </xf>
    <xf numFmtId="41" fontId="28" fillId="0" borderId="27" xfId="2483" applyFont="1" applyFill="1" applyBorder="1" applyAlignment="1">
      <alignment horizontal="center" vertical="center"/>
    </xf>
    <xf numFmtId="41" fontId="28" fillId="0" borderId="81" xfId="2483" applyFont="1" applyFill="1" applyBorder="1" applyAlignment="1">
      <alignment horizontal="center" vertical="center"/>
    </xf>
    <xf numFmtId="0" fontId="28" fillId="2" borderId="55" xfId="2453" applyFont="1" applyFill="1" applyBorder="1" applyAlignment="1">
      <alignment horizontal="center" vertical="center"/>
    </xf>
    <xf numFmtId="0" fontId="28" fillId="2" borderId="5" xfId="2453" applyFont="1" applyFill="1" applyBorder="1" applyAlignment="1">
      <alignment horizontal="center" vertical="center"/>
    </xf>
    <xf numFmtId="0" fontId="28" fillId="2" borderId="34" xfId="2453" applyFont="1" applyFill="1" applyBorder="1" applyAlignment="1">
      <alignment horizontal="center" vertical="center"/>
    </xf>
    <xf numFmtId="0" fontId="20" fillId="4" borderId="63" xfId="2453" applyFont="1" applyFill="1" applyBorder="1" applyAlignment="1">
      <alignment horizontal="center" vertical="center"/>
    </xf>
    <xf numFmtId="0" fontId="27" fillId="3" borderId="25" xfId="2453" applyFont="1" applyFill="1" applyBorder="1" applyAlignment="1">
      <alignment horizontal="center" vertical="center"/>
    </xf>
    <xf numFmtId="0" fontId="27" fillId="3" borderId="29" xfId="2453" applyFont="1" applyFill="1" applyBorder="1" applyAlignment="1">
      <alignment horizontal="center" vertical="center"/>
    </xf>
    <xf numFmtId="0" fontId="27" fillId="3" borderId="68" xfId="2453" applyFont="1" applyFill="1" applyBorder="1" applyAlignment="1">
      <alignment horizontal="center" vertical="center"/>
    </xf>
    <xf numFmtId="0" fontId="27" fillId="3" borderId="45" xfId="2453" applyFont="1" applyFill="1" applyBorder="1" applyAlignment="1">
      <alignment horizontal="center" vertical="center"/>
    </xf>
    <xf numFmtId="0" fontId="27" fillId="3" borderId="37" xfId="2453" applyFont="1" applyFill="1" applyBorder="1" applyAlignment="1">
      <alignment horizontal="center" vertical="center" wrapText="1"/>
    </xf>
    <xf numFmtId="0" fontId="27" fillId="3" borderId="48" xfId="2453" applyFont="1" applyFill="1" applyBorder="1" applyAlignment="1">
      <alignment horizontal="center" vertical="center"/>
    </xf>
    <xf numFmtId="0" fontId="27" fillId="3" borderId="40" xfId="2453" applyFont="1" applyFill="1" applyBorder="1" applyAlignment="1">
      <alignment horizontal="center" vertical="center"/>
    </xf>
    <xf numFmtId="0" fontId="27" fillId="3" borderId="35" xfId="2453" applyFont="1" applyFill="1" applyBorder="1" applyAlignment="1">
      <alignment horizontal="center" vertical="center"/>
    </xf>
    <xf numFmtId="0" fontId="27" fillId="3" borderId="80" xfId="2453" applyFont="1" applyFill="1" applyBorder="1" applyAlignment="1">
      <alignment horizontal="center" vertical="center"/>
    </xf>
    <xf numFmtId="0" fontId="27" fillId="3" borderId="8" xfId="2453" applyFont="1" applyFill="1" applyBorder="1" applyAlignment="1">
      <alignment horizontal="center" vertical="center"/>
    </xf>
    <xf numFmtId="0" fontId="28" fillId="0" borderId="10" xfId="2453" applyFont="1" applyFill="1" applyBorder="1" applyAlignment="1">
      <alignment horizontal="center" vertical="center" wrapText="1"/>
    </xf>
    <xf numFmtId="0" fontId="28" fillId="0" borderId="47" xfId="2453" applyFont="1" applyFill="1" applyBorder="1" applyAlignment="1">
      <alignment horizontal="center" vertical="center"/>
    </xf>
    <xf numFmtId="0" fontId="28" fillId="0" borderId="48" xfId="2453" applyFont="1" applyFill="1" applyBorder="1" applyAlignment="1">
      <alignment horizontal="center" vertical="center"/>
    </xf>
    <xf numFmtId="0" fontId="28" fillId="0" borderId="36" xfId="2453" applyFont="1" applyFill="1" applyBorder="1" applyAlignment="1">
      <alignment horizontal="center" vertical="center" wrapText="1"/>
    </xf>
    <xf numFmtId="0" fontId="28" fillId="0" borderId="0" xfId="2453" applyFont="1" applyFill="1" applyBorder="1" applyAlignment="1">
      <alignment horizontal="center" vertical="center"/>
    </xf>
    <xf numFmtId="0" fontId="28" fillId="0" borderId="35" xfId="2453" applyFont="1" applyFill="1" applyBorder="1" applyAlignment="1">
      <alignment horizontal="center" vertical="center"/>
    </xf>
    <xf numFmtId="0" fontId="28" fillId="0" borderId="46" xfId="2453" applyFont="1" applyFill="1" applyBorder="1" applyAlignment="1">
      <alignment horizontal="center" vertical="center"/>
    </xf>
    <xf numFmtId="0" fontId="28" fillId="0" borderId="51" xfId="2453" applyFont="1" applyFill="1" applyBorder="1" applyAlignment="1">
      <alignment horizontal="center" vertical="center"/>
    </xf>
    <xf numFmtId="0" fontId="28" fillId="0" borderId="8" xfId="2453" applyFont="1" applyFill="1" applyBorder="1" applyAlignment="1">
      <alignment horizontal="center" vertical="center"/>
    </xf>
    <xf numFmtId="0" fontId="28" fillId="2" borderId="10" xfId="2453" applyFont="1" applyFill="1" applyBorder="1" applyAlignment="1">
      <alignment horizontal="center" vertical="center" wrapText="1"/>
    </xf>
    <xf numFmtId="0" fontId="28" fillId="2" borderId="47" xfId="2453" applyFont="1" applyFill="1" applyBorder="1" applyAlignment="1">
      <alignment horizontal="center" vertical="center" wrapText="1"/>
    </xf>
    <xf numFmtId="0" fontId="28" fillId="2" borderId="49" xfId="2453" applyFont="1" applyFill="1" applyBorder="1" applyAlignment="1">
      <alignment horizontal="center" vertical="center" wrapText="1"/>
    </xf>
    <xf numFmtId="0" fontId="28" fillId="2" borderId="36" xfId="2453" applyFont="1" applyFill="1" applyBorder="1" applyAlignment="1">
      <alignment horizontal="center" vertical="center" wrapText="1"/>
    </xf>
    <xf numFmtId="0" fontId="28" fillId="2" borderId="0" xfId="2453" applyFont="1" applyFill="1" applyBorder="1" applyAlignment="1">
      <alignment horizontal="center" vertical="center" wrapText="1"/>
    </xf>
    <xf numFmtId="0" fontId="28" fillId="2" borderId="41" xfId="2453" applyFont="1" applyFill="1" applyBorder="1" applyAlignment="1">
      <alignment horizontal="center" vertical="center" wrapText="1"/>
    </xf>
    <xf numFmtId="0" fontId="28" fillId="2" borderId="5" xfId="2453" applyFont="1" applyFill="1" applyBorder="1" applyAlignment="1">
      <alignment horizontal="center" vertical="center" wrapText="1"/>
    </xf>
    <xf numFmtId="0" fontId="28" fillId="2" borderId="34" xfId="2453" applyFont="1" applyFill="1" applyBorder="1" applyAlignment="1">
      <alignment horizontal="center" vertical="center" wrapText="1"/>
    </xf>
    <xf numFmtId="0" fontId="27" fillId="3" borderId="19" xfId="2453" applyFont="1" applyFill="1" applyBorder="1" applyAlignment="1">
      <alignment horizontal="center" vertical="center"/>
    </xf>
    <xf numFmtId="0" fontId="27" fillId="3" borderId="15" xfId="2453" applyFont="1" applyFill="1" applyBorder="1" applyAlignment="1">
      <alignment horizontal="center" vertical="center"/>
    </xf>
    <xf numFmtId="0" fontId="27" fillId="3" borderId="4" xfId="2453" applyFont="1" applyFill="1" applyBorder="1" applyAlignment="1">
      <alignment horizontal="center" vertical="center"/>
    </xf>
    <xf numFmtId="0" fontId="27" fillId="3" borderId="7" xfId="2453" applyFont="1" applyFill="1" applyBorder="1" applyAlignment="1">
      <alignment horizontal="center" vertical="center"/>
    </xf>
    <xf numFmtId="0" fontId="28" fillId="0" borderId="0" xfId="2453" applyFont="1" applyFill="1" applyBorder="1" applyAlignment="1">
      <alignment horizontal="center" vertical="center" wrapText="1"/>
    </xf>
    <xf numFmtId="0" fontId="28" fillId="0" borderId="41" xfId="2453" applyFont="1" applyFill="1" applyBorder="1" applyAlignment="1">
      <alignment horizontal="center" vertical="center" wrapText="1"/>
    </xf>
    <xf numFmtId="0" fontId="28" fillId="0" borderId="55" xfId="2453" applyFont="1" applyFill="1" applyBorder="1" applyAlignment="1">
      <alignment horizontal="center" vertical="center" wrapText="1"/>
    </xf>
    <xf numFmtId="0" fontId="28" fillId="0" borderId="5" xfId="2453" applyFont="1" applyFill="1" applyBorder="1" applyAlignment="1">
      <alignment horizontal="center" vertical="center" wrapText="1"/>
    </xf>
    <xf numFmtId="0" fontId="28" fillId="0" borderId="34" xfId="2453" applyFont="1" applyFill="1" applyBorder="1" applyAlignment="1">
      <alignment horizontal="center" vertical="center" wrapText="1"/>
    </xf>
    <xf numFmtId="0" fontId="27" fillId="3" borderId="57" xfId="2453" applyFont="1" applyFill="1" applyBorder="1" applyAlignment="1">
      <alignment horizontal="center" vertical="center"/>
    </xf>
    <xf numFmtId="0" fontId="27" fillId="3" borderId="37" xfId="2453" applyFont="1" applyFill="1" applyBorder="1" applyAlignment="1">
      <alignment horizontal="center" vertical="center"/>
    </xf>
    <xf numFmtId="0" fontId="27" fillId="3" borderId="47" xfId="2453" applyFont="1" applyFill="1" applyBorder="1" applyAlignment="1">
      <alignment horizontal="center" vertical="center"/>
    </xf>
    <xf numFmtId="0" fontId="27" fillId="3" borderId="42" xfId="2453" applyFont="1" applyFill="1" applyBorder="1" applyAlignment="1">
      <alignment horizontal="center" vertical="center"/>
    </xf>
    <xf numFmtId="0" fontId="27" fillId="3" borderId="50" xfId="2453" applyFont="1" applyFill="1" applyBorder="1" applyAlignment="1">
      <alignment horizontal="center" vertical="center"/>
    </xf>
    <xf numFmtId="0" fontId="27" fillId="3" borderId="52" xfId="2453" applyFont="1" applyFill="1" applyBorder="1" applyAlignment="1">
      <alignment horizontal="center" vertical="center"/>
    </xf>
    <xf numFmtId="0" fontId="28" fillId="2" borderId="6" xfId="2453" applyFont="1" applyFill="1" applyBorder="1" applyAlignment="1">
      <alignment horizontal="center" vertical="center"/>
    </xf>
    <xf numFmtId="0" fontId="28" fillId="2" borderId="3" xfId="2453" applyFont="1" applyFill="1" applyBorder="1" applyAlignment="1">
      <alignment horizontal="center" vertical="center"/>
    </xf>
    <xf numFmtId="0" fontId="28" fillId="2" borderId="22" xfId="2453" applyFont="1" applyFill="1" applyBorder="1" applyAlignment="1">
      <alignment horizontal="center" vertical="center"/>
    </xf>
    <xf numFmtId="0" fontId="27" fillId="3" borderId="82" xfId="2453" applyFont="1" applyFill="1" applyBorder="1" applyAlignment="1">
      <alignment horizontal="center" vertical="center"/>
    </xf>
    <xf numFmtId="0" fontId="27" fillId="3" borderId="28" xfId="2453" applyFont="1" applyFill="1" applyBorder="1" applyAlignment="1">
      <alignment horizontal="center" vertical="center"/>
    </xf>
    <xf numFmtId="0" fontId="102" fillId="2" borderId="26" xfId="2453" applyFont="1" applyFill="1" applyBorder="1" applyAlignment="1">
      <alignment horizontal="center" vertical="center"/>
    </xf>
    <xf numFmtId="0" fontId="102" fillId="2" borderId="58" xfId="2453" applyFont="1" applyFill="1" applyBorder="1" applyAlignment="1">
      <alignment horizontal="center" vertical="center"/>
    </xf>
    <xf numFmtId="0" fontId="102" fillId="2" borderId="23" xfId="2453" applyFont="1" applyFill="1" applyBorder="1" applyAlignment="1">
      <alignment horizontal="center" vertical="center"/>
    </xf>
    <xf numFmtId="0" fontId="27" fillId="3" borderId="30" xfId="2453" applyFont="1" applyFill="1" applyBorder="1" applyAlignment="1">
      <alignment horizontal="center" vertical="center"/>
    </xf>
    <xf numFmtId="0" fontId="27" fillId="3" borderId="21" xfId="2453" applyFont="1" applyFill="1" applyBorder="1" applyAlignment="1">
      <alignment horizontal="center" vertical="center" wrapText="1"/>
    </xf>
    <xf numFmtId="0" fontId="28" fillId="2" borderId="51" xfId="2453" applyFont="1" applyFill="1" applyBorder="1" applyAlignment="1">
      <alignment horizontal="center" vertical="center" wrapText="1"/>
    </xf>
    <xf numFmtId="0" fontId="28" fillId="2" borderId="60" xfId="2453" applyFont="1" applyFill="1" applyBorder="1" applyAlignment="1">
      <alignment horizontal="center" vertical="center" wrapText="1"/>
    </xf>
    <xf numFmtId="0" fontId="27" fillId="3" borderId="65" xfId="2453" applyFont="1" applyFill="1" applyBorder="1" applyAlignment="1">
      <alignment horizontal="center" vertical="center" wrapText="1"/>
    </xf>
    <xf numFmtId="0" fontId="27" fillId="3" borderId="82" xfId="2453" applyFont="1" applyFill="1" applyBorder="1" applyAlignment="1">
      <alignment horizontal="center" vertical="center" wrapText="1"/>
    </xf>
    <xf numFmtId="0" fontId="27" fillId="3" borderId="40" xfId="2453" applyFont="1" applyFill="1" applyBorder="1" applyAlignment="1">
      <alignment horizontal="center" vertical="center" wrapText="1"/>
    </xf>
    <xf numFmtId="0" fontId="27" fillId="3" borderId="35" xfId="2453" applyFont="1" applyFill="1" applyBorder="1" applyAlignment="1">
      <alignment horizontal="center" vertical="center" wrapText="1"/>
    </xf>
    <xf numFmtId="0" fontId="27" fillId="3" borderId="42" xfId="2453" applyFont="1" applyFill="1" applyBorder="1" applyAlignment="1">
      <alignment horizontal="center" vertical="center" wrapText="1"/>
    </xf>
    <xf numFmtId="0" fontId="27" fillId="3" borderId="50" xfId="2453" applyFont="1" applyFill="1" applyBorder="1" applyAlignment="1">
      <alignment horizontal="center" vertical="center" wrapText="1"/>
    </xf>
    <xf numFmtId="0" fontId="28" fillId="2" borderId="55" xfId="2453" applyFont="1" applyFill="1" applyBorder="1" applyAlignment="1">
      <alignment horizontal="center" vertical="center" wrapText="1"/>
    </xf>
    <xf numFmtId="0" fontId="28" fillId="2" borderId="89" xfId="2453" applyFont="1" applyFill="1" applyBorder="1" applyAlignment="1">
      <alignment horizontal="center" vertical="center"/>
    </xf>
    <xf numFmtId="0" fontId="28" fillId="2" borderId="23" xfId="2453" applyFont="1" applyFill="1" applyBorder="1" applyAlignment="1">
      <alignment horizontal="center" vertical="center"/>
    </xf>
    <xf numFmtId="49" fontId="27" fillId="3" borderId="21" xfId="2453" applyNumberFormat="1" applyFont="1" applyFill="1" applyBorder="1" applyAlignment="1">
      <alignment horizontal="center" vertical="center"/>
    </xf>
    <xf numFmtId="49" fontId="27" fillId="3" borderId="4" xfId="2453" applyNumberFormat="1" applyFont="1" applyFill="1" applyBorder="1" applyAlignment="1">
      <alignment horizontal="center" vertical="center"/>
    </xf>
    <xf numFmtId="49" fontId="27" fillId="3" borderId="17" xfId="2453" applyNumberFormat="1" applyFont="1" applyFill="1" applyBorder="1" applyAlignment="1">
      <alignment horizontal="center" vertical="center"/>
    </xf>
    <xf numFmtId="49" fontId="27" fillId="3" borderId="7" xfId="2453" applyNumberFormat="1" applyFont="1" applyFill="1" applyBorder="1" applyAlignment="1">
      <alignment horizontal="center" vertical="center"/>
    </xf>
    <xf numFmtId="176" fontId="20" fillId="4" borderId="100" xfId="2452" applyNumberFormat="1" applyFont="1" applyFill="1" applyBorder="1" applyAlignment="1">
      <alignment horizontal="center" vertical="center"/>
    </xf>
    <xf numFmtId="176" fontId="27" fillId="3" borderId="32" xfId="2452" applyNumberFormat="1" applyFont="1" applyFill="1" applyBorder="1" applyAlignment="1">
      <alignment horizontal="center" vertical="center" wrapText="1"/>
    </xf>
    <xf numFmtId="176" fontId="27" fillId="3" borderId="25" xfId="2452" applyNumberFormat="1" applyFont="1" applyFill="1" applyBorder="1" applyAlignment="1">
      <alignment horizontal="center" vertical="center" wrapText="1"/>
    </xf>
    <xf numFmtId="176" fontId="27" fillId="3" borderId="16" xfId="2452" applyNumberFormat="1" applyFont="1" applyFill="1" applyBorder="1" applyAlignment="1">
      <alignment horizontal="center" vertical="center" wrapText="1"/>
    </xf>
    <xf numFmtId="176" fontId="28" fillId="3" borderId="35" xfId="0" applyNumberFormat="1" applyFont="1" applyFill="1" applyBorder="1" applyAlignment="1">
      <alignment horizontal="center" vertical="center" wrapText="1"/>
    </xf>
    <xf numFmtId="176" fontId="28" fillId="3" borderId="33" xfId="2452" applyNumberFormat="1" applyFont="1" applyFill="1" applyBorder="1" applyAlignment="1">
      <alignment horizontal="center" vertical="center" wrapText="1"/>
    </xf>
    <xf numFmtId="176" fontId="28" fillId="8" borderId="30" xfId="2452" applyNumberFormat="1" applyFont="1" applyFill="1" applyBorder="1" applyAlignment="1">
      <alignment horizontal="center" vertical="center"/>
    </xf>
    <xf numFmtId="176" fontId="28" fillId="8" borderId="33" xfId="2452" applyNumberFormat="1" applyFont="1" applyFill="1" applyBorder="1" applyAlignment="1">
      <alignment horizontal="center" vertical="center"/>
    </xf>
    <xf numFmtId="0" fontId="28" fillId="8" borderId="25" xfId="2452" applyNumberFormat="1" applyFont="1" applyFill="1" applyBorder="1" applyAlignment="1">
      <alignment horizontal="center" vertical="center" wrapText="1"/>
    </xf>
    <xf numFmtId="0" fontId="28" fillId="8" borderId="16" xfId="2452" applyNumberFormat="1" applyFont="1" applyFill="1" applyBorder="1" applyAlignment="1">
      <alignment horizontal="center" vertical="center" wrapText="1"/>
    </xf>
    <xf numFmtId="9" fontId="28" fillId="3" borderId="57" xfId="2495" applyNumberFormat="1" applyFont="1" applyFill="1" applyBorder="1" applyAlignment="1">
      <alignment horizontal="center" vertical="center"/>
    </xf>
    <xf numFmtId="9" fontId="28" fillId="3" borderId="56" xfId="2495" applyNumberFormat="1" applyFont="1" applyFill="1" applyBorder="1" applyAlignment="1">
      <alignment horizontal="center" vertical="center"/>
    </xf>
    <xf numFmtId="176" fontId="28" fillId="3" borderId="62" xfId="2453" applyNumberFormat="1" applyFont="1" applyFill="1" applyBorder="1" applyAlignment="1">
      <alignment horizontal="center" vertical="center"/>
    </xf>
    <xf numFmtId="176" fontId="28" fillId="3" borderId="14" xfId="2452" applyNumberFormat="1" applyFont="1" applyFill="1" applyBorder="1" applyAlignment="1">
      <alignment horizontal="center" vertical="center" wrapText="1"/>
    </xf>
    <xf numFmtId="176" fontId="28" fillId="3" borderId="27" xfId="2452" applyNumberFormat="1" applyFont="1" applyFill="1" applyBorder="1" applyAlignment="1">
      <alignment horizontal="center" vertical="center" wrapText="1"/>
    </xf>
    <xf numFmtId="176" fontId="28" fillId="3" borderId="81" xfId="2452" applyNumberFormat="1" applyFont="1" applyFill="1" applyBorder="1" applyAlignment="1">
      <alignment horizontal="center" vertical="center" wrapText="1"/>
    </xf>
    <xf numFmtId="176" fontId="28" fillId="3" borderId="62" xfId="2495" applyNumberFormat="1" applyFont="1" applyFill="1" applyBorder="1" applyAlignment="1">
      <alignment horizontal="center" vertical="center"/>
    </xf>
    <xf numFmtId="176" fontId="28" fillId="3" borderId="82" xfId="2495" applyNumberFormat="1" applyFont="1" applyFill="1" applyBorder="1" applyAlignment="1">
      <alignment horizontal="center" vertical="center"/>
    </xf>
    <xf numFmtId="176" fontId="28" fillId="3" borderId="14" xfId="2495" applyNumberFormat="1" applyFont="1" applyFill="1" applyBorder="1" applyAlignment="1">
      <alignment horizontal="center" vertical="center" wrapText="1"/>
    </xf>
    <xf numFmtId="176" fontId="28" fillId="3" borderId="28" xfId="2495" applyNumberFormat="1" applyFont="1" applyFill="1" applyBorder="1" applyAlignment="1">
      <alignment horizontal="center" vertical="center" wrapText="1"/>
    </xf>
    <xf numFmtId="176" fontId="28" fillId="3" borderId="27" xfId="2495" applyNumberFormat="1" applyFont="1" applyFill="1" applyBorder="1" applyAlignment="1">
      <alignment horizontal="center" vertical="center"/>
    </xf>
    <xf numFmtId="176" fontId="28" fillId="3" borderId="81" xfId="2495" applyNumberFormat="1" applyFont="1" applyFill="1" applyBorder="1" applyAlignment="1">
      <alignment horizontal="center" vertical="center"/>
    </xf>
    <xf numFmtId="176" fontId="36" fillId="4" borderId="25" xfId="2452" applyNumberFormat="1" applyFont="1" applyFill="1" applyBorder="1" applyAlignment="1">
      <alignment horizontal="center" vertical="center"/>
    </xf>
    <xf numFmtId="176" fontId="36" fillId="4" borderId="16" xfId="2452" applyNumberFormat="1" applyFont="1" applyFill="1" applyBorder="1" applyAlignment="1">
      <alignment horizontal="center" vertical="center"/>
    </xf>
    <xf numFmtId="176" fontId="28" fillId="0" borderId="56" xfId="2452" applyNumberFormat="1" applyFont="1" applyFill="1" applyBorder="1" applyAlignment="1">
      <alignment horizontal="center" vertical="center"/>
    </xf>
    <xf numFmtId="176" fontId="36" fillId="4" borderId="12" xfId="2452" applyNumberFormat="1" applyFont="1" applyFill="1" applyBorder="1" applyAlignment="1">
      <alignment horizontal="center" vertical="center"/>
    </xf>
    <xf numFmtId="176" fontId="28" fillId="0" borderId="16" xfId="2452" applyNumberFormat="1" applyFont="1" applyFill="1" applyBorder="1" applyAlignment="1">
      <alignment horizontal="center" vertical="center"/>
    </xf>
    <xf numFmtId="177" fontId="36" fillId="4" borderId="15" xfId="2452" applyNumberFormat="1" applyFont="1" applyFill="1" applyBorder="1" applyAlignment="1">
      <alignment horizontal="center" vertical="center"/>
    </xf>
    <xf numFmtId="177" fontId="36" fillId="4" borderId="20" xfId="2452" applyNumberFormat="1" applyFont="1" applyFill="1" applyBorder="1" applyAlignment="1">
      <alignment horizontal="center" vertical="center"/>
    </xf>
    <xf numFmtId="176" fontId="28" fillId="0" borderId="24" xfId="2452" applyNumberFormat="1" applyFont="1" applyFill="1" applyBorder="1" applyAlignment="1">
      <alignment horizontal="center" vertical="center"/>
    </xf>
    <xf numFmtId="177" fontId="106" fillId="4" borderId="15" xfId="2452" applyNumberFormat="1" applyFont="1" applyFill="1" applyBorder="1" applyAlignment="1">
      <alignment horizontal="center" vertical="center" wrapText="1"/>
    </xf>
    <xf numFmtId="0" fontId="28" fillId="3" borderId="21" xfId="2450" applyFont="1" applyFill="1" applyBorder="1" applyAlignment="1">
      <alignment horizontal="center" vertical="center" wrapText="1"/>
    </xf>
    <xf numFmtId="0" fontId="28" fillId="6" borderId="10" xfId="2450" applyFont="1" applyFill="1" applyBorder="1" applyAlignment="1">
      <alignment horizontal="center" vertical="center" wrapText="1"/>
    </xf>
    <xf numFmtId="0" fontId="28" fillId="6" borderId="49" xfId="2450" applyFont="1" applyFill="1" applyBorder="1" applyAlignment="1">
      <alignment horizontal="center" vertical="center"/>
    </xf>
    <xf numFmtId="0" fontId="28" fillId="6" borderId="55" xfId="2450" applyFont="1" applyFill="1" applyBorder="1" applyAlignment="1">
      <alignment horizontal="center" vertical="center"/>
    </xf>
    <xf numFmtId="0" fontId="28" fillId="6" borderId="5" xfId="2450" applyFont="1" applyFill="1" applyBorder="1" applyAlignment="1">
      <alignment horizontal="center" vertical="center"/>
    </xf>
    <xf numFmtId="0" fontId="28" fillId="6" borderId="34" xfId="2450" applyFont="1" applyFill="1" applyBorder="1" applyAlignment="1">
      <alignment horizontal="center" vertical="center"/>
    </xf>
    <xf numFmtId="0" fontId="28" fillId="2" borderId="10" xfId="2450" applyFont="1" applyFill="1" applyBorder="1" applyAlignment="1">
      <alignment horizontal="center" vertical="center"/>
    </xf>
    <xf numFmtId="0" fontId="28" fillId="2" borderId="47" xfId="2450" applyFont="1" applyFill="1" applyBorder="1" applyAlignment="1">
      <alignment horizontal="center" vertical="center"/>
    </xf>
    <xf numFmtId="0" fontId="28" fillId="2" borderId="48" xfId="2450" applyFont="1" applyFill="1" applyBorder="1" applyAlignment="1">
      <alignment horizontal="center" vertical="center"/>
    </xf>
    <xf numFmtId="0" fontId="28" fillId="2" borderId="46" xfId="2450" applyFont="1" applyFill="1" applyBorder="1" applyAlignment="1">
      <alignment horizontal="center" vertical="center"/>
    </xf>
    <xf numFmtId="0" fontId="28" fillId="2" borderId="51" xfId="2450" applyFont="1" applyFill="1" applyBorder="1" applyAlignment="1">
      <alignment horizontal="center" vertical="center"/>
    </xf>
    <xf numFmtId="0" fontId="28" fillId="2" borderId="8" xfId="2450" applyFont="1" applyFill="1" applyBorder="1" applyAlignment="1">
      <alignment horizontal="center" vertical="center"/>
    </xf>
    <xf numFmtId="0" fontId="28" fillId="2" borderId="49" xfId="2450" applyFont="1" applyFill="1" applyBorder="1" applyAlignment="1">
      <alignment horizontal="center" vertical="center"/>
    </xf>
    <xf numFmtId="0" fontId="28" fillId="2" borderId="60" xfId="2450" applyFont="1" applyFill="1" applyBorder="1" applyAlignment="1">
      <alignment horizontal="center" vertical="center"/>
    </xf>
    <xf numFmtId="0" fontId="28" fillId="3" borderId="62" xfId="2450" applyFont="1" applyFill="1" applyBorder="1" applyAlignment="1">
      <alignment horizontal="center" vertical="center"/>
    </xf>
    <xf numFmtId="0" fontId="28" fillId="3" borderId="14" xfId="2450" applyFont="1" applyFill="1" applyBorder="1" applyAlignment="1">
      <alignment horizontal="center" vertical="center"/>
    </xf>
    <xf numFmtId="0" fontId="28" fillId="6" borderId="14" xfId="2450" applyFont="1" applyFill="1" applyBorder="1" applyAlignment="1">
      <alignment horizontal="center" vertical="center"/>
    </xf>
    <xf numFmtId="0" fontId="105" fillId="0" borderId="4" xfId="2450" applyFont="1" applyBorder="1" applyAlignment="1">
      <alignment horizontal="center" vertical="center" wrapText="1"/>
    </xf>
    <xf numFmtId="0" fontId="105" fillId="0" borderId="4" xfId="2450" applyFont="1" applyBorder="1" applyAlignment="1">
      <alignment horizontal="center" vertical="center"/>
    </xf>
    <xf numFmtId="0" fontId="105" fillId="0" borderId="12" xfId="2450" applyFont="1" applyBorder="1" applyAlignment="1">
      <alignment horizontal="center" vertical="center"/>
    </xf>
    <xf numFmtId="0" fontId="105" fillId="0" borderId="14" xfId="2450" applyFont="1" applyBorder="1" applyAlignment="1">
      <alignment horizontal="center" vertical="center"/>
    </xf>
    <xf numFmtId="0" fontId="105" fillId="0" borderId="27" xfId="2450" applyFont="1" applyBorder="1" applyAlignment="1">
      <alignment horizontal="center" vertical="center"/>
    </xf>
    <xf numFmtId="0" fontId="28" fillId="6" borderId="33" xfId="2450" applyFont="1" applyFill="1" applyBorder="1" applyAlignment="1">
      <alignment horizontal="center" vertical="center"/>
    </xf>
    <xf numFmtId="0" fontId="28" fillId="6" borderId="10" xfId="2450" applyFont="1" applyFill="1" applyBorder="1" applyAlignment="1">
      <alignment horizontal="center"/>
    </xf>
    <xf numFmtId="0" fontId="28" fillId="6" borderId="47" xfId="2450" applyFont="1" applyFill="1" applyBorder="1" applyAlignment="1">
      <alignment horizontal="center"/>
    </xf>
    <xf numFmtId="0" fontId="28" fillId="6" borderId="48" xfId="2450" applyFont="1" applyFill="1" applyBorder="1" applyAlignment="1">
      <alignment horizontal="center"/>
    </xf>
    <xf numFmtId="0" fontId="28" fillId="2" borderId="27" xfId="2450" applyFont="1" applyFill="1" applyBorder="1" applyAlignment="1">
      <alignment horizontal="center" vertical="center"/>
    </xf>
    <xf numFmtId="0" fontId="28" fillId="2" borderId="36" xfId="2450" applyFont="1" applyFill="1" applyBorder="1" applyAlignment="1">
      <alignment horizontal="center" vertical="center" wrapText="1"/>
    </xf>
    <xf numFmtId="0" fontId="28" fillId="2" borderId="0" xfId="2450" applyFont="1" applyFill="1" applyBorder="1" applyAlignment="1">
      <alignment horizontal="center" vertical="center" wrapText="1"/>
    </xf>
    <xf numFmtId="0" fontId="28" fillId="2" borderId="41" xfId="2450" applyFont="1" applyFill="1" applyBorder="1" applyAlignment="1">
      <alignment horizontal="center" vertical="center" wrapText="1"/>
    </xf>
    <xf numFmtId="0" fontId="106" fillId="2" borderId="46" xfId="2450" applyFont="1" applyFill="1" applyBorder="1" applyAlignment="1">
      <alignment horizontal="center" vertical="top"/>
    </xf>
    <xf numFmtId="0" fontId="28" fillId="2" borderId="51" xfId="2450" applyFont="1" applyFill="1" applyBorder="1" applyAlignment="1">
      <alignment horizontal="center" vertical="top"/>
    </xf>
    <xf numFmtId="0" fontId="28" fillId="2" borderId="8" xfId="2450" applyFont="1" applyFill="1" applyBorder="1" applyAlignment="1">
      <alignment horizontal="center" vertical="top"/>
    </xf>
    <xf numFmtId="0" fontId="130" fillId="2" borderId="46" xfId="2450" applyFont="1" applyFill="1" applyBorder="1" applyAlignment="1">
      <alignment horizontal="center" vertical="top"/>
    </xf>
    <xf numFmtId="0" fontId="130" fillId="2" borderId="51" xfId="2450" applyFont="1" applyFill="1" applyBorder="1" applyAlignment="1">
      <alignment horizontal="center" vertical="top"/>
    </xf>
    <xf numFmtId="0" fontId="130" fillId="2" borderId="60" xfId="2450" applyFont="1" applyFill="1" applyBorder="1" applyAlignment="1">
      <alignment horizontal="center" vertical="top"/>
    </xf>
    <xf numFmtId="0" fontId="28" fillId="3" borderId="9" xfId="2450" applyFont="1" applyFill="1" applyBorder="1" applyAlignment="1">
      <alignment horizontal="center" vertical="center"/>
    </xf>
    <xf numFmtId="0" fontId="29" fillId="2" borderId="10" xfId="2450" applyFont="1" applyFill="1" applyBorder="1" applyAlignment="1">
      <alignment horizontal="center" vertical="center"/>
    </xf>
    <xf numFmtId="0" fontId="29" fillId="2" borderId="47" xfId="2450" applyFont="1" applyFill="1" applyBorder="1" applyAlignment="1">
      <alignment horizontal="center" vertical="center"/>
    </xf>
    <xf numFmtId="0" fontId="29" fillId="2" borderId="49" xfId="2450" applyFont="1" applyFill="1" applyBorder="1" applyAlignment="1">
      <alignment horizontal="center" vertical="center"/>
    </xf>
    <xf numFmtId="0" fontId="29" fillId="2" borderId="46" xfId="2450" applyFont="1" applyFill="1" applyBorder="1" applyAlignment="1">
      <alignment horizontal="center" vertical="center"/>
    </xf>
    <xf numFmtId="0" fontId="29" fillId="2" borderId="51" xfId="2450" applyFont="1" applyFill="1" applyBorder="1" applyAlignment="1">
      <alignment horizontal="center" vertical="center"/>
    </xf>
    <xf numFmtId="0" fontId="29" fillId="2" borderId="60" xfId="2450" applyFont="1" applyFill="1" applyBorder="1" applyAlignment="1">
      <alignment horizontal="center" vertical="center"/>
    </xf>
    <xf numFmtId="0" fontId="102" fillId="3" borderId="42" xfId="2450" applyFont="1" applyFill="1" applyBorder="1" applyAlignment="1">
      <alignment horizontal="center" vertical="center"/>
    </xf>
    <xf numFmtId="0" fontId="102" fillId="3" borderId="50" xfId="2450" applyFont="1" applyFill="1" applyBorder="1" applyAlignment="1">
      <alignment horizontal="center" vertical="center"/>
    </xf>
    <xf numFmtId="0" fontId="102" fillId="6" borderId="26" xfId="2450" applyFont="1" applyFill="1" applyBorder="1" applyAlignment="1">
      <alignment horizontal="center" vertical="center"/>
    </xf>
    <xf numFmtId="0" fontId="102" fillId="6" borderId="58" xfId="2450" applyFont="1" applyFill="1" applyBorder="1" applyAlignment="1">
      <alignment horizontal="center" vertical="center"/>
    </xf>
    <xf numFmtId="0" fontId="102" fillId="6" borderId="23" xfId="2450" applyFont="1" applyFill="1" applyBorder="1" applyAlignment="1">
      <alignment horizontal="center" vertical="center"/>
    </xf>
    <xf numFmtId="0" fontId="28" fillId="2" borderId="6" xfId="2450" applyFont="1" applyFill="1" applyBorder="1" applyAlignment="1">
      <alignment horizontal="center" vertical="center"/>
    </xf>
    <xf numFmtId="0" fontId="28" fillId="2" borderId="3" xfId="2450" applyFont="1" applyFill="1" applyBorder="1" applyAlignment="1">
      <alignment horizontal="center" vertical="center"/>
    </xf>
    <xf numFmtId="0" fontId="28" fillId="2" borderId="22" xfId="2450" applyFont="1" applyFill="1" applyBorder="1" applyAlignment="1">
      <alignment horizontal="center" vertical="center"/>
    </xf>
    <xf numFmtId="0" fontId="26" fillId="3" borderId="38" xfId="2450" applyFont="1" applyFill="1" applyBorder="1" applyAlignment="1">
      <alignment horizontal="center" vertical="center"/>
    </xf>
    <xf numFmtId="0" fontId="26" fillId="3" borderId="9" xfId="2450" applyFont="1" applyFill="1" applyBorder="1" applyAlignment="1">
      <alignment horizontal="center" vertical="center"/>
    </xf>
    <xf numFmtId="0" fontId="28" fillId="2" borderId="36" xfId="2450" applyFont="1" applyFill="1" applyBorder="1" applyAlignment="1">
      <alignment horizontal="center" vertical="center"/>
    </xf>
    <xf numFmtId="0" fontId="28" fillId="2" borderId="0" xfId="2450" applyFont="1" applyFill="1" applyBorder="1" applyAlignment="1">
      <alignment horizontal="center" vertical="center"/>
    </xf>
    <xf numFmtId="0" fontId="28" fillId="2" borderId="41" xfId="2450" applyFont="1" applyFill="1" applyBorder="1" applyAlignment="1">
      <alignment horizontal="center" vertical="center"/>
    </xf>
    <xf numFmtId="0" fontId="28" fillId="2" borderId="34" xfId="2450" applyFont="1" applyFill="1" applyBorder="1" applyAlignment="1">
      <alignment horizontal="center" vertical="center"/>
    </xf>
    <xf numFmtId="0" fontId="28" fillId="2" borderId="50" xfId="2450" applyFont="1" applyFill="1" applyBorder="1" applyAlignment="1">
      <alignment horizontal="center" vertical="center"/>
    </xf>
    <xf numFmtId="0" fontId="26" fillId="3" borderId="21" xfId="2450" applyFont="1" applyFill="1" applyBorder="1" applyAlignment="1">
      <alignment horizontal="center" vertical="center"/>
    </xf>
    <xf numFmtId="0" fontId="26" fillId="3" borderId="4" xfId="2450" applyFont="1" applyFill="1" applyBorder="1" applyAlignment="1">
      <alignment horizontal="center" vertical="center"/>
    </xf>
    <xf numFmtId="0" fontId="106" fillId="2" borderId="46" xfId="2450" applyFont="1" applyFill="1" applyBorder="1" applyAlignment="1">
      <alignment horizontal="center" vertical="center"/>
    </xf>
    <xf numFmtId="0" fontId="89" fillId="2" borderId="51" xfId="2450" applyFont="1" applyFill="1" applyBorder="1" applyAlignment="1">
      <alignment horizontal="center" vertical="center"/>
    </xf>
    <xf numFmtId="0" fontId="89" fillId="2" borderId="60" xfId="2450" applyFont="1" applyFill="1" applyBorder="1" applyAlignment="1">
      <alignment horizontal="center" vertical="center"/>
    </xf>
    <xf numFmtId="0" fontId="26" fillId="3" borderId="37" xfId="2450" applyFont="1" applyFill="1" applyBorder="1" applyAlignment="1">
      <alignment horizontal="center" vertical="center"/>
    </xf>
    <xf numFmtId="0" fontId="26" fillId="3" borderId="48" xfId="2450" applyFont="1" applyFill="1" applyBorder="1" applyAlignment="1">
      <alignment horizontal="center" vertical="center"/>
    </xf>
    <xf numFmtId="0" fontId="26" fillId="3" borderId="42" xfId="2450" applyFont="1" applyFill="1" applyBorder="1" applyAlignment="1">
      <alignment horizontal="center" vertical="center"/>
    </xf>
    <xf numFmtId="0" fontId="26" fillId="3" borderId="50" xfId="2450" applyFont="1" applyFill="1" applyBorder="1" applyAlignment="1">
      <alignment horizontal="center" vertical="center"/>
    </xf>
    <xf numFmtId="0" fontId="28" fillId="2" borderId="35" xfId="2450" applyFont="1" applyFill="1" applyBorder="1" applyAlignment="1">
      <alignment horizontal="center" vertical="center"/>
    </xf>
    <xf numFmtId="0" fontId="29" fillId="2" borderId="36" xfId="2450" applyFont="1" applyFill="1" applyBorder="1" applyAlignment="1">
      <alignment horizontal="center" vertical="center"/>
    </xf>
    <xf numFmtId="0" fontId="29" fillId="2" borderId="0" xfId="2450" applyFont="1" applyFill="1" applyBorder="1" applyAlignment="1">
      <alignment horizontal="center" vertical="center"/>
    </xf>
    <xf numFmtId="0" fontId="29" fillId="2" borderId="41" xfId="2450" applyFont="1" applyFill="1" applyBorder="1" applyAlignment="1">
      <alignment horizontal="center" vertical="center"/>
    </xf>
    <xf numFmtId="0" fontId="28" fillId="2" borderId="9" xfId="2450" applyFont="1" applyFill="1" applyBorder="1" applyAlignment="1">
      <alignment horizontal="center" vertical="center"/>
    </xf>
    <xf numFmtId="0" fontId="28" fillId="2" borderId="4" xfId="2450" applyFont="1" applyFill="1" applyBorder="1" applyAlignment="1">
      <alignment horizontal="center" vertical="center"/>
    </xf>
    <xf numFmtId="0" fontId="28" fillId="2" borderId="12" xfId="2450" applyFont="1" applyFill="1" applyBorder="1" applyAlignment="1">
      <alignment horizontal="center" vertical="center"/>
    </xf>
    <xf numFmtId="176" fontId="28" fillId="2" borderId="74" xfId="2450" applyNumberFormat="1" applyFont="1" applyFill="1" applyBorder="1" applyAlignment="1">
      <alignment horizontal="center" vertical="center"/>
    </xf>
    <xf numFmtId="176" fontId="28" fillId="2" borderId="75" xfId="2450" applyNumberFormat="1" applyFont="1" applyFill="1" applyBorder="1" applyAlignment="1">
      <alignment horizontal="center" vertical="center"/>
    </xf>
    <xf numFmtId="176" fontId="28" fillId="2" borderId="48" xfId="2450" applyNumberFormat="1" applyFont="1" applyFill="1" applyBorder="1" applyAlignment="1">
      <alignment horizontal="center" vertical="center"/>
    </xf>
    <xf numFmtId="176" fontId="28" fillId="2" borderId="8" xfId="2450" applyNumberFormat="1" applyFont="1" applyFill="1" applyBorder="1" applyAlignment="1">
      <alignment horizontal="center" vertical="center"/>
    </xf>
    <xf numFmtId="176" fontId="28" fillId="2" borderId="3" xfId="2450" applyNumberFormat="1" applyFont="1" applyFill="1" applyBorder="1" applyAlignment="1">
      <alignment horizontal="center" vertical="center"/>
    </xf>
    <xf numFmtId="176" fontId="28" fillId="2" borderId="72" xfId="2450" applyNumberFormat="1" applyFont="1" applyFill="1" applyBorder="1" applyAlignment="1">
      <alignment horizontal="center" vertical="center"/>
    </xf>
    <xf numFmtId="176" fontId="28" fillId="2" borderId="73" xfId="2450" applyNumberFormat="1" applyFont="1" applyFill="1" applyBorder="1" applyAlignment="1">
      <alignment horizontal="center" vertical="center"/>
    </xf>
    <xf numFmtId="176" fontId="28" fillId="2" borderId="71" xfId="2450" applyNumberFormat="1" applyFont="1" applyFill="1" applyBorder="1" applyAlignment="1">
      <alignment horizontal="center" vertical="center"/>
    </xf>
    <xf numFmtId="176" fontId="28" fillId="2" borderId="22" xfId="2450" applyNumberFormat="1" applyFont="1" applyFill="1" applyBorder="1" applyAlignment="1">
      <alignment horizontal="center" vertical="center"/>
    </xf>
    <xf numFmtId="176" fontId="28" fillId="2" borderId="107" xfId="2450" applyNumberFormat="1" applyFont="1" applyFill="1" applyBorder="1" applyAlignment="1">
      <alignment horizontal="center" vertical="center"/>
    </xf>
    <xf numFmtId="176" fontId="28" fillId="2" borderId="109" xfId="2450" applyNumberFormat="1" applyFont="1" applyFill="1" applyBorder="1" applyAlignment="1">
      <alignment horizontal="center" vertical="center"/>
    </xf>
    <xf numFmtId="0" fontId="27" fillId="4" borderId="21" xfId="2450" applyFont="1" applyFill="1" applyBorder="1" applyAlignment="1">
      <alignment horizontal="center" vertical="center"/>
    </xf>
    <xf numFmtId="0" fontId="27" fillId="4" borderId="4" xfId="2450" applyFont="1" applyFill="1" applyBorder="1" applyAlignment="1">
      <alignment horizontal="center" vertical="center"/>
    </xf>
    <xf numFmtId="0" fontId="27" fillId="4" borderId="12" xfId="2450" applyFont="1" applyFill="1" applyBorder="1" applyAlignment="1">
      <alignment horizontal="center" vertical="center"/>
    </xf>
    <xf numFmtId="176" fontId="28" fillId="2" borderId="12" xfId="2450" applyNumberFormat="1" applyFont="1" applyFill="1" applyBorder="1" applyAlignment="1">
      <alignment horizontal="center" vertical="center"/>
    </xf>
    <xf numFmtId="176" fontId="28" fillId="2" borderId="21" xfId="2450" applyNumberFormat="1" applyFont="1" applyFill="1" applyBorder="1" applyAlignment="1">
      <alignment horizontal="center" vertical="center"/>
    </xf>
    <xf numFmtId="176" fontId="28" fillId="2" borderId="4" xfId="2450" applyNumberFormat="1" applyFont="1" applyFill="1" applyBorder="1" applyAlignment="1">
      <alignment horizontal="center" vertical="center"/>
    </xf>
    <xf numFmtId="176" fontId="28" fillId="2" borderId="10" xfId="2450" applyNumberFormat="1" applyFont="1" applyFill="1" applyBorder="1" applyAlignment="1">
      <alignment horizontal="center" vertical="center"/>
    </xf>
    <xf numFmtId="176" fontId="28" fillId="2" borderId="46" xfId="2450" applyNumberFormat="1" applyFont="1" applyFill="1" applyBorder="1" applyAlignment="1">
      <alignment horizontal="center" vertical="center"/>
    </xf>
    <xf numFmtId="176" fontId="28" fillId="2" borderId="106" xfId="2450" applyNumberFormat="1" applyFont="1" applyFill="1" applyBorder="1" applyAlignment="1">
      <alignment horizontal="center" vertical="center"/>
    </xf>
    <xf numFmtId="176" fontId="28" fillId="2" borderId="108" xfId="2450" applyNumberFormat="1" applyFont="1" applyFill="1" applyBorder="1" applyAlignment="1">
      <alignment horizontal="center" vertical="center"/>
    </xf>
    <xf numFmtId="176" fontId="28" fillId="2" borderId="14" xfId="2450" applyNumberFormat="1" applyFont="1" applyFill="1" applyBorder="1" applyAlignment="1">
      <alignment horizontal="center" vertical="center"/>
    </xf>
    <xf numFmtId="176" fontId="28" fillId="2" borderId="15" xfId="2450" applyNumberFormat="1" applyFont="1" applyFill="1" applyBorder="1" applyAlignment="1">
      <alignment horizontal="center" vertical="center"/>
    </xf>
    <xf numFmtId="176" fontId="28" fillId="2" borderId="148" xfId="2450" applyNumberFormat="1" applyFont="1" applyFill="1" applyBorder="1" applyAlignment="1">
      <alignment horizontal="center" vertical="center"/>
    </xf>
    <xf numFmtId="176" fontId="28" fillId="2" borderId="149" xfId="2450" applyNumberFormat="1" applyFont="1" applyFill="1" applyBorder="1" applyAlignment="1">
      <alignment horizontal="center" vertical="center"/>
    </xf>
    <xf numFmtId="176" fontId="28" fillId="2" borderId="62" xfId="2450" applyNumberFormat="1" applyFont="1" applyFill="1" applyBorder="1" applyAlignment="1">
      <alignment horizontal="center" vertical="center"/>
    </xf>
    <xf numFmtId="176" fontId="28" fillId="2" borderId="19" xfId="2450" applyNumberFormat="1" applyFont="1" applyFill="1" applyBorder="1" applyAlignment="1">
      <alignment horizontal="center" vertical="center"/>
    </xf>
    <xf numFmtId="176" fontId="28" fillId="2" borderId="27" xfId="2450" applyNumberFormat="1" applyFont="1" applyFill="1" applyBorder="1" applyAlignment="1">
      <alignment horizontal="center" vertical="center"/>
    </xf>
    <xf numFmtId="176" fontId="28" fillId="2" borderId="20" xfId="2450" applyNumberFormat="1" applyFont="1" applyFill="1" applyBorder="1" applyAlignment="1">
      <alignment horizontal="center" vertical="center"/>
    </xf>
    <xf numFmtId="176" fontId="28" fillId="2" borderId="77" xfId="2450" applyNumberFormat="1" applyFont="1" applyFill="1" applyBorder="1" applyAlignment="1">
      <alignment horizontal="center" vertical="center"/>
    </xf>
    <xf numFmtId="176" fontId="28" fillId="2" borderId="9" xfId="2450" applyNumberFormat="1" applyFont="1" applyFill="1" applyBorder="1" applyAlignment="1">
      <alignment horizontal="center" vertical="center"/>
    </xf>
    <xf numFmtId="176" fontId="28" fillId="2" borderId="51" xfId="2450" applyNumberFormat="1" applyFont="1" applyFill="1" applyBorder="1" applyAlignment="1">
      <alignment horizontal="center" vertical="center"/>
    </xf>
    <xf numFmtId="176" fontId="28" fillId="2" borderId="76" xfId="2450" applyNumberFormat="1" applyFont="1" applyFill="1" applyBorder="1" applyAlignment="1">
      <alignment horizontal="center" vertical="center"/>
    </xf>
    <xf numFmtId="176" fontId="28" fillId="2" borderId="120" xfId="2450" applyNumberFormat="1" applyFont="1" applyFill="1" applyBorder="1" applyAlignment="1">
      <alignment horizontal="center" vertical="center"/>
    </xf>
    <xf numFmtId="176" fontId="28" fillId="3" borderId="57" xfId="2450" applyNumberFormat="1" applyFont="1" applyFill="1" applyBorder="1" applyAlignment="1">
      <alignment horizontal="center" vertical="center"/>
    </xf>
    <xf numFmtId="176" fontId="28" fillId="3" borderId="56" xfId="2450" applyNumberFormat="1" applyFont="1" applyFill="1" applyBorder="1" applyAlignment="1">
      <alignment horizontal="center" vertical="center"/>
    </xf>
    <xf numFmtId="9" fontId="28" fillId="3" borderId="57" xfId="2450" applyNumberFormat="1" applyFont="1" applyFill="1" applyBorder="1" applyAlignment="1">
      <alignment horizontal="center" vertical="center"/>
    </xf>
    <xf numFmtId="9" fontId="28" fillId="3" borderId="56" xfId="2450" applyNumberFormat="1" applyFont="1" applyFill="1" applyBorder="1" applyAlignment="1">
      <alignment horizontal="center" vertical="center"/>
    </xf>
    <xf numFmtId="0" fontId="27" fillId="4" borderId="19" xfId="2450" applyFont="1" applyFill="1" applyBorder="1" applyAlignment="1">
      <alignment horizontal="center" vertical="center"/>
    </xf>
    <xf numFmtId="0" fontId="27" fillId="4" borderId="15" xfId="2450" applyFont="1" applyFill="1" applyBorder="1" applyAlignment="1">
      <alignment horizontal="center" vertical="center"/>
    </xf>
    <xf numFmtId="0" fontId="27" fillId="4" borderId="20" xfId="2450" applyFont="1" applyFill="1" applyBorder="1" applyAlignment="1">
      <alignment horizontal="center" vertical="center"/>
    </xf>
    <xf numFmtId="176" fontId="28" fillId="2" borderId="33" xfId="2450" applyNumberFormat="1" applyFont="1" applyFill="1" applyBorder="1" applyAlignment="1">
      <alignment horizontal="center" vertical="center"/>
    </xf>
    <xf numFmtId="176" fontId="27" fillId="3" borderId="32" xfId="2450" applyNumberFormat="1" applyFont="1" applyFill="1" applyBorder="1" applyAlignment="1">
      <alignment horizontal="center" vertical="center" wrapText="1"/>
    </xf>
    <xf numFmtId="176" fontId="27" fillId="3" borderId="25" xfId="2450" applyNumberFormat="1" applyFont="1" applyFill="1" applyBorder="1" applyAlignment="1">
      <alignment horizontal="center" vertical="center" wrapText="1"/>
    </xf>
    <xf numFmtId="176" fontId="27" fillId="3" borderId="16" xfId="2450" applyNumberFormat="1" applyFont="1" applyFill="1" applyBorder="1" applyAlignment="1">
      <alignment horizontal="center" vertical="center" wrapText="1"/>
    </xf>
    <xf numFmtId="176" fontId="28" fillId="3" borderId="67" xfId="2450" applyNumberFormat="1" applyFont="1" applyFill="1" applyBorder="1" applyAlignment="1">
      <alignment horizontal="center" vertical="center" wrapText="1"/>
    </xf>
    <xf numFmtId="176" fontId="28" fillId="3" borderId="52" xfId="2450" applyNumberFormat="1" applyFont="1" applyFill="1" applyBorder="1" applyAlignment="1">
      <alignment horizontal="center" vertical="center" wrapText="1"/>
    </xf>
    <xf numFmtId="176" fontId="28" fillId="3" borderId="56" xfId="2450" applyNumberFormat="1" applyFont="1" applyFill="1" applyBorder="1" applyAlignment="1">
      <alignment horizontal="center" vertical="center" wrapText="1"/>
    </xf>
    <xf numFmtId="176" fontId="28" fillId="3" borderId="25" xfId="2450" applyNumberFormat="1" applyFont="1" applyFill="1" applyBorder="1" applyAlignment="1">
      <alignment horizontal="center" vertical="center" wrapText="1"/>
    </xf>
    <xf numFmtId="176" fontId="28" fillId="3" borderId="29" xfId="2450" applyNumberFormat="1" applyFont="1" applyFill="1" applyBorder="1" applyAlignment="1">
      <alignment horizontal="center" vertical="center" wrapText="1"/>
    </xf>
    <xf numFmtId="9" fontId="28" fillId="3" borderId="67" xfId="2450" applyNumberFormat="1" applyFont="1" applyFill="1" applyBorder="1" applyAlignment="1">
      <alignment horizontal="center" vertical="center"/>
    </xf>
    <xf numFmtId="176" fontId="28" fillId="3" borderId="67" xfId="2450" applyNumberFormat="1" applyFont="1" applyFill="1" applyBorder="1" applyAlignment="1">
      <alignment horizontal="center" vertical="center"/>
    </xf>
    <xf numFmtId="176" fontId="28" fillId="2" borderId="35" xfId="2450" applyNumberFormat="1" applyFont="1" applyFill="1" applyBorder="1" applyAlignment="1">
      <alignment horizontal="center" vertical="center"/>
    </xf>
    <xf numFmtId="176" fontId="28" fillId="2" borderId="50" xfId="2450" applyNumberFormat="1" applyFont="1" applyFill="1" applyBorder="1" applyAlignment="1">
      <alignment horizontal="center" vertical="center"/>
    </xf>
    <xf numFmtId="176" fontId="28" fillId="2" borderId="58" xfId="2450" applyNumberFormat="1" applyFont="1" applyFill="1" applyBorder="1" applyAlignment="1">
      <alignment horizontal="center" vertical="center"/>
    </xf>
    <xf numFmtId="176" fontId="28" fillId="2" borderId="61" xfId="2450" applyNumberFormat="1" applyFont="1" applyFill="1" applyBorder="1" applyAlignment="1">
      <alignment horizontal="center" vertical="center"/>
    </xf>
    <xf numFmtId="176" fontId="28" fillId="2" borderId="79" xfId="2450" applyNumberFormat="1" applyFont="1" applyFill="1" applyBorder="1" applyAlignment="1">
      <alignment horizontal="center" vertical="center"/>
    </xf>
    <xf numFmtId="176" fontId="28" fillId="2" borderId="60" xfId="2450" applyNumberFormat="1" applyFont="1" applyFill="1" applyBorder="1" applyAlignment="1">
      <alignment horizontal="center" vertical="center"/>
    </xf>
    <xf numFmtId="176" fontId="28" fillId="2" borderId="23" xfId="2450" applyNumberFormat="1" applyFont="1" applyFill="1" applyBorder="1" applyAlignment="1">
      <alignment horizontal="center" vertical="center"/>
    </xf>
    <xf numFmtId="176" fontId="28" fillId="2" borderId="18" xfId="2450" applyNumberFormat="1" applyFont="1" applyFill="1" applyBorder="1" applyAlignment="1">
      <alignment horizontal="center" vertical="center"/>
    </xf>
    <xf numFmtId="176" fontId="28" fillId="2" borderId="17" xfId="2450" applyNumberFormat="1" applyFont="1" applyFill="1" applyBorder="1" applyAlignment="1">
      <alignment horizontal="center" vertical="center"/>
    </xf>
    <xf numFmtId="176" fontId="28" fillId="2" borderId="7" xfId="2450" applyNumberFormat="1" applyFont="1" applyFill="1" applyBorder="1" applyAlignment="1">
      <alignment horizontal="center" vertical="center"/>
    </xf>
    <xf numFmtId="176" fontId="28" fillId="2" borderId="36" xfId="2450" applyNumberFormat="1" applyFont="1" applyFill="1" applyBorder="1" applyAlignment="1">
      <alignment horizontal="center" vertical="center"/>
    </xf>
    <xf numFmtId="176" fontId="28" fillId="2" borderId="55" xfId="2450" applyNumberFormat="1" applyFont="1" applyFill="1" applyBorder="1" applyAlignment="1">
      <alignment horizontal="center" vertical="center"/>
    </xf>
    <xf numFmtId="176" fontId="28" fillId="2" borderId="119" xfId="2450" applyNumberFormat="1" applyFont="1" applyFill="1" applyBorder="1" applyAlignment="1">
      <alignment horizontal="center" vertical="center"/>
    </xf>
    <xf numFmtId="176" fontId="28" fillId="2" borderId="78" xfId="2450" applyNumberFormat="1" applyFont="1" applyFill="1" applyBorder="1" applyAlignment="1">
      <alignment horizontal="center" vertical="center"/>
    </xf>
    <xf numFmtId="0" fontId="28" fillId="0" borderId="6" xfId="0" applyFont="1" applyFill="1" applyBorder="1" applyAlignment="1">
      <alignment horizontal="center" vertical="center"/>
    </xf>
    <xf numFmtId="0" fontId="28" fillId="0" borderId="47"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60" xfId="0" applyFont="1" applyFill="1" applyBorder="1" applyAlignment="1">
      <alignment horizontal="center" vertical="center"/>
    </xf>
    <xf numFmtId="0" fontId="28" fillId="3" borderId="36" xfId="0" applyFont="1" applyFill="1" applyBorder="1" applyAlignment="1">
      <alignment horizontal="center" vertical="center"/>
    </xf>
    <xf numFmtId="0" fontId="28" fillId="3" borderId="36" xfId="0" quotePrefix="1" applyFont="1" applyFill="1" applyBorder="1" applyAlignment="1">
      <alignment horizontal="center" vertical="center"/>
    </xf>
    <xf numFmtId="0" fontId="28" fillId="3" borderId="37" xfId="0" applyFont="1" applyFill="1" applyBorder="1" applyAlignment="1">
      <alignment horizontal="center" vertical="center" wrapText="1"/>
    </xf>
    <xf numFmtId="0" fontId="28" fillId="3" borderId="48" xfId="0" applyFont="1" applyFill="1" applyBorder="1" applyAlignment="1">
      <alignment horizontal="center" vertical="center"/>
    </xf>
    <xf numFmtId="0" fontId="28" fillId="3" borderId="40" xfId="0" applyFont="1" applyFill="1" applyBorder="1" applyAlignment="1">
      <alignment horizontal="center" vertical="center"/>
    </xf>
    <xf numFmtId="0" fontId="28" fillId="3" borderId="35" xfId="0" applyFont="1" applyFill="1" applyBorder="1" applyAlignment="1">
      <alignment horizontal="center" vertical="center"/>
    </xf>
    <xf numFmtId="0" fontId="28" fillId="3" borderId="42" xfId="0" applyFont="1" applyFill="1" applyBorder="1" applyAlignment="1">
      <alignment horizontal="center" vertical="center"/>
    </xf>
    <xf numFmtId="0" fontId="28" fillId="3" borderId="50" xfId="0" applyFont="1" applyFill="1" applyBorder="1" applyAlignment="1">
      <alignment horizontal="center" vertical="center"/>
    </xf>
    <xf numFmtId="0" fontId="28" fillId="2" borderId="10" xfId="0" applyFont="1" applyFill="1" applyBorder="1" applyAlignment="1">
      <alignment horizontal="left" vertical="center" wrapText="1"/>
    </xf>
    <xf numFmtId="0" fontId="28" fillId="2" borderId="47" xfId="0" applyFont="1" applyFill="1" applyBorder="1" applyAlignment="1">
      <alignment horizontal="left" vertical="center" wrapText="1"/>
    </xf>
    <xf numFmtId="0" fontId="28" fillId="2" borderId="48" xfId="0" applyFont="1" applyFill="1" applyBorder="1" applyAlignment="1">
      <alignment horizontal="left" vertical="center" wrapText="1"/>
    </xf>
    <xf numFmtId="0" fontId="28" fillId="2" borderId="36"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35" xfId="0" applyFont="1" applyFill="1" applyBorder="1" applyAlignment="1">
      <alignment horizontal="left" vertical="center" wrapText="1"/>
    </xf>
    <xf numFmtId="0" fontId="28" fillId="2" borderId="55"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50" xfId="0" applyFont="1" applyFill="1" applyBorder="1" applyAlignment="1">
      <alignment horizontal="left" vertical="center" wrapText="1"/>
    </xf>
    <xf numFmtId="0" fontId="28" fillId="2" borderId="33" xfId="0" applyFont="1" applyFill="1" applyBorder="1" applyAlignment="1">
      <alignment vertical="center"/>
    </xf>
    <xf numFmtId="0" fontId="28" fillId="3" borderId="0" xfId="0" quotePrefix="1" applyFont="1" applyFill="1" applyBorder="1" applyAlignment="1">
      <alignment horizontal="center" vertical="center"/>
    </xf>
    <xf numFmtId="0" fontId="28" fillId="2" borderId="15" xfId="0" applyFont="1" applyFill="1" applyBorder="1" applyAlignment="1">
      <alignment vertical="center"/>
    </xf>
    <xf numFmtId="0" fontId="28" fillId="0" borderId="3" xfId="0" applyFont="1" applyFill="1" applyBorder="1" applyAlignment="1">
      <alignment horizontal="center" vertical="center"/>
    </xf>
    <xf numFmtId="0" fontId="28" fillId="0" borderId="22" xfId="0" applyFont="1" applyFill="1" applyBorder="1" applyAlignment="1">
      <alignment horizontal="center" vertical="center"/>
    </xf>
    <xf numFmtId="0" fontId="28" fillId="3" borderId="55" xfId="0" quotePrefix="1" applyFont="1" applyFill="1" applyBorder="1" applyAlignment="1">
      <alignment horizontal="center" vertical="center"/>
    </xf>
    <xf numFmtId="0" fontId="28" fillId="3" borderId="6" xfId="0" applyFont="1" applyFill="1" applyBorder="1" applyAlignment="1">
      <alignment horizontal="center" vertical="center"/>
    </xf>
    <xf numFmtId="0" fontId="28" fillId="3" borderId="9" xfId="0" applyFont="1" applyFill="1" applyBorder="1" applyAlignment="1">
      <alignment horizontal="center" vertical="center"/>
    </xf>
    <xf numFmtId="0" fontId="28" fillId="3" borderId="26" xfId="0" applyFont="1" applyFill="1" applyBorder="1" applyAlignment="1">
      <alignment horizontal="center" vertical="center"/>
    </xf>
    <xf numFmtId="0" fontId="28" fillId="3" borderId="24" xfId="0" applyFont="1" applyFill="1" applyBorder="1" applyAlignment="1">
      <alignment horizontal="center" vertical="center"/>
    </xf>
    <xf numFmtId="0" fontId="102" fillId="3" borderId="17" xfId="0" applyFont="1" applyFill="1" applyBorder="1" applyAlignment="1">
      <alignment horizontal="center" vertical="center"/>
    </xf>
    <xf numFmtId="0" fontId="102" fillId="3" borderId="7" xfId="0" applyFont="1" applyFill="1" applyBorder="1" applyAlignment="1">
      <alignment horizontal="center" vertical="center"/>
    </xf>
    <xf numFmtId="0" fontId="29" fillId="0" borderId="26" xfId="0" applyFont="1" applyBorder="1" applyAlignment="1">
      <alignment horizontal="center" vertical="center"/>
    </xf>
    <xf numFmtId="0" fontId="29" fillId="0" borderId="58" xfId="0" applyFont="1" applyBorder="1" applyAlignment="1">
      <alignment horizontal="center" vertical="center"/>
    </xf>
    <xf numFmtId="0" fontId="29" fillId="0" borderId="5" xfId="0" applyFont="1" applyBorder="1" applyAlignment="1">
      <alignment horizontal="center" vertical="center"/>
    </xf>
    <xf numFmtId="0" fontId="29" fillId="0" borderId="34" xfId="0" applyFont="1" applyBorder="1" applyAlignment="1">
      <alignment horizontal="center" vertical="center"/>
    </xf>
    <xf numFmtId="0" fontId="28" fillId="3" borderId="32" xfId="0" applyFont="1" applyFill="1" applyBorder="1" applyAlignment="1">
      <alignment horizontal="center" vertical="center"/>
    </xf>
    <xf numFmtId="0" fontId="28" fillId="3" borderId="25" xfId="0" applyFont="1" applyFill="1" applyBorder="1" applyAlignment="1">
      <alignment horizontal="center" vertical="center"/>
    </xf>
    <xf numFmtId="0" fontId="28" fillId="3" borderId="29" xfId="0" applyFont="1" applyFill="1" applyBorder="1" applyAlignment="1">
      <alignment horizontal="center" vertical="center"/>
    </xf>
    <xf numFmtId="0" fontId="28" fillId="3" borderId="67"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30" xfId="0" applyFont="1" applyFill="1" applyBorder="1" applyAlignment="1">
      <alignment horizontal="center" vertical="center"/>
    </xf>
    <xf numFmtId="0" fontId="28" fillId="3" borderId="31" xfId="0" applyFont="1" applyFill="1" applyBorder="1" applyAlignment="1">
      <alignment horizontal="center" vertical="center"/>
    </xf>
    <xf numFmtId="0" fontId="28" fillId="2" borderId="14" xfId="0" applyFont="1" applyFill="1" applyBorder="1" applyAlignment="1">
      <alignment vertical="center"/>
    </xf>
    <xf numFmtId="0" fontId="28" fillId="3" borderId="47"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80" xfId="0" applyFont="1" applyFill="1" applyBorder="1" applyAlignment="1">
      <alignment horizontal="center" vertical="center"/>
    </xf>
    <xf numFmtId="0" fontId="28" fillId="3" borderId="51" xfId="0" applyFont="1" applyFill="1" applyBorder="1" applyAlignment="1">
      <alignment horizontal="center" vertical="center"/>
    </xf>
    <xf numFmtId="0" fontId="91" fillId="2" borderId="46" xfId="0" applyFont="1" applyFill="1" applyBorder="1" applyAlignment="1">
      <alignment vertical="center"/>
    </xf>
    <xf numFmtId="0" fontId="91" fillId="2" borderId="51" xfId="0" applyFont="1" applyFill="1" applyBorder="1" applyAlignment="1">
      <alignment vertical="center"/>
    </xf>
    <xf numFmtId="0" fontId="91" fillId="2" borderId="8" xfId="0" applyFont="1" applyFill="1" applyBorder="1" applyAlignment="1">
      <alignment vertical="center"/>
    </xf>
    <xf numFmtId="0" fontId="91" fillId="0" borderId="36" xfId="0" applyFont="1" applyFill="1" applyBorder="1" applyAlignment="1">
      <alignment vertical="center"/>
    </xf>
    <xf numFmtId="0" fontId="91" fillId="0" borderId="0" xfId="0" applyFont="1" applyFill="1" applyBorder="1" applyAlignment="1">
      <alignment vertical="center"/>
    </xf>
    <xf numFmtId="0" fontId="91" fillId="0" borderId="35" xfId="0" applyFont="1" applyFill="1" applyBorder="1" applyAlignment="1">
      <alignment vertical="center"/>
    </xf>
    <xf numFmtId="0" fontId="28" fillId="3" borderId="21" xfId="0" applyFont="1" applyFill="1" applyBorder="1" applyAlignment="1">
      <alignment horizontal="center" vertical="center"/>
    </xf>
    <xf numFmtId="0" fontId="28" fillId="3" borderId="4"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47" xfId="0" applyFont="1" applyFill="1" applyBorder="1" applyAlignment="1">
      <alignment horizontal="center" vertical="center"/>
    </xf>
    <xf numFmtId="0" fontId="28" fillId="2" borderId="48" xfId="0" applyFont="1" applyFill="1" applyBorder="1" applyAlignment="1">
      <alignment horizontal="center" vertical="center"/>
    </xf>
    <xf numFmtId="0" fontId="28" fillId="2" borderId="46" xfId="0" applyFont="1" applyFill="1" applyBorder="1" applyAlignment="1">
      <alignment horizontal="center" vertical="center"/>
    </xf>
    <xf numFmtId="0" fontId="28" fillId="2" borderId="51" xfId="0" applyFont="1" applyFill="1" applyBorder="1" applyAlignment="1">
      <alignment horizontal="center" vertical="center"/>
    </xf>
    <xf numFmtId="0" fontId="28" fillId="2" borderId="8" xfId="0" applyFont="1" applyFill="1" applyBorder="1" applyAlignment="1">
      <alignment horizontal="center" vertical="center"/>
    </xf>
    <xf numFmtId="0" fontId="28" fillId="3" borderId="3" xfId="0" applyFont="1" applyFill="1" applyBorder="1" applyAlignment="1">
      <alignment horizontal="center" vertical="center"/>
    </xf>
    <xf numFmtId="0" fontId="28" fillId="2" borderId="49" xfId="0" applyFont="1" applyFill="1" applyBorder="1" applyAlignment="1">
      <alignment horizontal="center" vertical="center"/>
    </xf>
    <xf numFmtId="0" fontId="28" fillId="2" borderId="36"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41" xfId="0" applyFont="1" applyFill="1" applyBorder="1" applyAlignment="1">
      <alignment horizontal="center" vertical="center"/>
    </xf>
    <xf numFmtId="0" fontId="28" fillId="3" borderId="16" xfId="0" applyFont="1" applyFill="1" applyBorder="1" applyAlignment="1">
      <alignment horizontal="center" vertical="center"/>
    </xf>
    <xf numFmtId="0" fontId="28" fillId="3" borderId="37" xfId="0" applyFont="1" applyFill="1" applyBorder="1" applyAlignment="1">
      <alignment horizontal="center" vertical="center"/>
    </xf>
    <xf numFmtId="0" fontId="28" fillId="3" borderId="8"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8"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60" xfId="0" applyFont="1" applyFill="1" applyBorder="1" applyAlignment="1">
      <alignment horizontal="center" vertical="center"/>
    </xf>
    <xf numFmtId="0" fontId="28" fillId="0" borderId="6" xfId="0" applyFont="1" applyBorder="1" applyAlignment="1">
      <alignment horizontal="center" vertical="center"/>
    </xf>
    <xf numFmtId="0" fontId="28" fillId="0" borderId="3" xfId="0" applyFont="1" applyBorder="1" applyAlignment="1">
      <alignment horizontal="center" vertical="center"/>
    </xf>
    <xf numFmtId="0" fontId="28" fillId="0" borderId="9" xfId="0" applyFont="1" applyBorder="1" applyAlignment="1">
      <alignment horizontal="center" vertical="center"/>
    </xf>
    <xf numFmtId="0" fontId="28" fillId="0" borderId="4" xfId="0" applyFont="1" applyFill="1" applyBorder="1" applyAlignment="1">
      <alignment horizontal="center" vertical="center"/>
    </xf>
    <xf numFmtId="0" fontId="28" fillId="0" borderId="12" xfId="0" applyFont="1" applyFill="1" applyBorder="1" applyAlignment="1">
      <alignment horizontal="center" vertical="center"/>
    </xf>
    <xf numFmtId="0" fontId="28" fillId="3" borderId="17" xfId="0" applyFont="1" applyFill="1" applyBorder="1" applyAlignment="1">
      <alignment horizontal="center" vertical="center"/>
    </xf>
    <xf numFmtId="0" fontId="28" fillId="3" borderId="7" xfId="0" applyFont="1" applyFill="1" applyBorder="1" applyAlignment="1">
      <alignment horizontal="center" vertical="center"/>
    </xf>
    <xf numFmtId="0" fontId="28" fillId="0" borderId="26" xfId="0" applyFont="1" applyBorder="1" applyAlignment="1">
      <alignment horizontal="center" vertical="center"/>
    </xf>
    <xf numFmtId="0" fontId="28" fillId="0" borderId="58" xfId="0" applyFont="1" applyBorder="1" applyAlignment="1">
      <alignment horizontal="center" vertical="center"/>
    </xf>
    <xf numFmtId="0" fontId="28" fillId="0" borderId="24" xfId="0" applyFont="1" applyBorder="1" applyAlignment="1">
      <alignment horizontal="center" vertical="center"/>
    </xf>
    <xf numFmtId="0" fontId="28" fillId="0" borderId="7" xfId="0" applyFont="1" applyFill="1" applyBorder="1" applyAlignment="1">
      <alignment horizontal="center" vertical="center"/>
    </xf>
    <xf numFmtId="0" fontId="28" fillId="0" borderId="18" xfId="0" applyFont="1" applyFill="1" applyBorder="1" applyAlignment="1">
      <alignment horizontal="center" vertical="center"/>
    </xf>
    <xf numFmtId="176" fontId="28" fillId="2" borderId="4" xfId="0" applyNumberFormat="1" applyFont="1" applyFill="1" applyBorder="1" applyAlignment="1">
      <alignment horizontal="center" vertical="center"/>
    </xf>
    <xf numFmtId="176" fontId="28" fillId="2" borderId="30" xfId="0" applyNumberFormat="1" applyFont="1" applyFill="1" applyBorder="1" applyAlignment="1">
      <alignment horizontal="center" vertical="center"/>
    </xf>
    <xf numFmtId="176" fontId="28" fillId="2" borderId="15" xfId="0" applyNumberFormat="1" applyFont="1" applyFill="1" applyBorder="1" applyAlignment="1">
      <alignment horizontal="center" vertical="center"/>
    </xf>
    <xf numFmtId="176" fontId="28" fillId="2" borderId="6" xfId="0" applyNumberFormat="1" applyFont="1" applyFill="1" applyBorder="1" applyAlignment="1">
      <alignment horizontal="center" vertical="center"/>
    </xf>
    <xf numFmtId="176" fontId="28" fillId="2" borderId="46" xfId="0" applyNumberFormat="1" applyFont="1" applyFill="1" applyBorder="1" applyAlignment="1">
      <alignment horizontal="center" vertical="center"/>
    </xf>
    <xf numFmtId="176" fontId="28" fillId="2" borderId="31" xfId="0" applyNumberFormat="1" applyFont="1" applyFill="1" applyBorder="1" applyAlignment="1">
      <alignment horizontal="center" vertical="center"/>
    </xf>
    <xf numFmtId="176" fontId="28" fillId="2" borderId="20" xfId="0" applyNumberFormat="1" applyFont="1" applyFill="1" applyBorder="1" applyAlignment="1">
      <alignment horizontal="center" vertical="center"/>
    </xf>
    <xf numFmtId="176" fontId="36" fillId="4" borderId="38" xfId="0" applyNumberFormat="1" applyFont="1" applyFill="1" applyBorder="1" applyAlignment="1">
      <alignment horizontal="center" vertical="center"/>
    </xf>
    <xf numFmtId="176" fontId="36" fillId="4" borderId="22" xfId="0" applyNumberFormat="1" applyFont="1" applyFill="1" applyBorder="1" applyAlignment="1">
      <alignment horizontal="center" vertical="center"/>
    </xf>
    <xf numFmtId="176" fontId="28" fillId="2" borderId="9" xfId="0" applyNumberFormat="1" applyFont="1" applyFill="1" applyBorder="1" applyAlignment="1">
      <alignment horizontal="center" vertical="center"/>
    </xf>
    <xf numFmtId="176" fontId="28" fillId="2" borderId="14" xfId="0" applyNumberFormat="1" applyFont="1" applyFill="1" applyBorder="1" applyAlignment="1">
      <alignment horizontal="center" vertical="center"/>
    </xf>
    <xf numFmtId="176" fontId="27" fillId="3" borderId="57" xfId="0" applyNumberFormat="1" applyFont="1" applyFill="1" applyBorder="1" applyAlignment="1">
      <alignment horizontal="center" vertical="center" wrapText="1"/>
    </xf>
    <xf numFmtId="176" fontId="27" fillId="3" borderId="52" xfId="0" applyNumberFormat="1" applyFont="1" applyFill="1" applyBorder="1" applyAlignment="1">
      <alignment horizontal="center" vertical="center" wrapText="1"/>
    </xf>
    <xf numFmtId="176" fontId="28" fillId="3" borderId="30" xfId="0" applyNumberFormat="1" applyFont="1" applyFill="1" applyBorder="1" applyAlignment="1">
      <alignment horizontal="center" vertical="center"/>
    </xf>
    <xf numFmtId="176" fontId="28" fillId="3" borderId="28" xfId="0" applyNumberFormat="1" applyFont="1" applyFill="1" applyBorder="1" applyAlignment="1">
      <alignment horizontal="center" vertical="center"/>
    </xf>
    <xf numFmtId="9" fontId="28" fillId="3" borderId="32" xfId="0" applyNumberFormat="1" applyFont="1" applyFill="1" applyBorder="1" applyAlignment="1">
      <alignment horizontal="center" vertical="center"/>
    </xf>
    <xf numFmtId="9" fontId="28" fillId="3" borderId="67" xfId="0" applyNumberFormat="1" applyFont="1" applyFill="1" applyBorder="1" applyAlignment="1">
      <alignment horizontal="center" vertical="center"/>
    </xf>
    <xf numFmtId="9" fontId="28" fillId="3" borderId="25" xfId="0" applyNumberFormat="1" applyFont="1" applyFill="1" applyBorder="1" applyAlignment="1">
      <alignment horizontal="center" vertical="center"/>
    </xf>
    <xf numFmtId="9" fontId="28" fillId="3" borderId="29" xfId="0" applyNumberFormat="1" applyFont="1" applyFill="1" applyBorder="1" applyAlignment="1">
      <alignment horizontal="center" vertical="center"/>
    </xf>
    <xf numFmtId="9" fontId="28" fillId="3" borderId="52" xfId="0" applyNumberFormat="1" applyFont="1" applyFill="1" applyBorder="1" applyAlignment="1">
      <alignment horizontal="center" vertical="center"/>
    </xf>
    <xf numFmtId="176" fontId="28" fillId="3" borderId="67" xfId="0" applyNumberFormat="1" applyFont="1" applyFill="1" applyBorder="1" applyAlignment="1">
      <alignment horizontal="center" vertical="center"/>
    </xf>
    <xf numFmtId="176" fontId="28" fillId="3" borderId="56" xfId="0" applyNumberFormat="1" applyFont="1" applyFill="1" applyBorder="1" applyAlignment="1">
      <alignment horizontal="center" vertical="center"/>
    </xf>
    <xf numFmtId="176" fontId="28" fillId="3" borderId="57" xfId="0" applyNumberFormat="1" applyFont="1" applyFill="1" applyBorder="1" applyAlignment="1">
      <alignment horizontal="center" vertical="center"/>
    </xf>
    <xf numFmtId="9" fontId="28" fillId="3" borderId="57" xfId="0" applyNumberFormat="1" applyFont="1" applyFill="1" applyBorder="1" applyAlignment="1">
      <alignment horizontal="center" vertical="center"/>
    </xf>
    <xf numFmtId="9" fontId="28" fillId="3" borderId="56" xfId="0" applyNumberFormat="1" applyFont="1" applyFill="1" applyBorder="1" applyAlignment="1">
      <alignment horizontal="center" vertical="center"/>
    </xf>
    <xf numFmtId="176" fontId="27" fillId="4" borderId="38" xfId="0" applyNumberFormat="1" applyFont="1" applyFill="1" applyBorder="1" applyAlignment="1">
      <alignment horizontal="center" vertical="center"/>
    </xf>
    <xf numFmtId="176" fontId="27" fillId="4" borderId="22" xfId="0" applyNumberFormat="1" applyFont="1" applyFill="1" applyBorder="1" applyAlignment="1">
      <alignment horizontal="center" vertical="center"/>
    </xf>
    <xf numFmtId="176" fontId="27" fillId="4" borderId="57" xfId="0" applyNumberFormat="1" applyFont="1" applyFill="1" applyBorder="1" applyAlignment="1">
      <alignment horizontal="center" vertical="center"/>
    </xf>
    <xf numFmtId="176" fontId="27" fillId="4" borderId="52" xfId="0" applyNumberFormat="1" applyFont="1" applyFill="1" applyBorder="1" applyAlignment="1">
      <alignment horizontal="center" vertical="center"/>
    </xf>
    <xf numFmtId="176" fontId="28" fillId="2" borderId="8" xfId="0" applyNumberFormat="1" applyFont="1" applyFill="1" applyBorder="1" applyAlignment="1">
      <alignment horizontal="center" vertical="center"/>
    </xf>
    <xf numFmtId="176" fontId="28" fillId="2" borderId="26" xfId="0" applyNumberFormat="1" applyFont="1" applyFill="1" applyBorder="1" applyAlignment="1">
      <alignment horizontal="center" vertical="center"/>
    </xf>
    <xf numFmtId="176" fontId="28" fillId="2" borderId="24" xfId="0" applyNumberFormat="1" applyFont="1" applyFill="1" applyBorder="1" applyAlignment="1">
      <alignment horizontal="center" vertical="center"/>
    </xf>
    <xf numFmtId="176" fontId="28" fillId="2" borderId="7" xfId="0" applyNumberFormat="1" applyFont="1" applyFill="1" applyBorder="1" applyAlignment="1">
      <alignment horizontal="center" vertical="center"/>
    </xf>
    <xf numFmtId="176" fontId="28" fillId="2" borderId="28" xfId="0" applyNumberFormat="1"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8" fillId="0" borderId="51"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04" fillId="0" borderId="10" xfId="0" applyFont="1" applyFill="1" applyBorder="1" applyAlignment="1">
      <alignment horizontal="center" vertical="center" wrapText="1"/>
    </xf>
    <xf numFmtId="0" fontId="104" fillId="0" borderId="47" xfId="0" applyFont="1" applyFill="1" applyBorder="1" applyAlignment="1">
      <alignment horizontal="center" vertical="center" wrapText="1"/>
    </xf>
    <xf numFmtId="0" fontId="104" fillId="0" borderId="48" xfId="0" applyFont="1" applyFill="1" applyBorder="1" applyAlignment="1">
      <alignment horizontal="center" vertical="center" wrapText="1"/>
    </xf>
    <xf numFmtId="0" fontId="104" fillId="0" borderId="55" xfId="0" applyFont="1" applyFill="1" applyBorder="1" applyAlignment="1">
      <alignment horizontal="center" vertical="center" wrapText="1"/>
    </xf>
    <xf numFmtId="0" fontId="104" fillId="0" borderId="5" xfId="0" applyFont="1" applyFill="1" applyBorder="1" applyAlignment="1">
      <alignment horizontal="center" vertical="center" wrapText="1"/>
    </xf>
    <xf numFmtId="0" fontId="104" fillId="0" borderId="50" xfId="0" applyFont="1" applyFill="1" applyBorder="1" applyAlignment="1">
      <alignment horizontal="center" vertical="center" wrapText="1"/>
    </xf>
    <xf numFmtId="0" fontId="28" fillId="0" borderId="10" xfId="0" applyFont="1" applyBorder="1" applyAlignment="1">
      <alignment vertical="center" wrapText="1"/>
    </xf>
    <xf numFmtId="0" fontId="28" fillId="0" borderId="47" xfId="0" applyFont="1" applyBorder="1" applyAlignment="1">
      <alignment vertical="center"/>
    </xf>
    <xf numFmtId="0" fontId="28" fillId="0" borderId="48" xfId="0" applyFont="1" applyBorder="1" applyAlignment="1">
      <alignment vertical="center"/>
    </xf>
    <xf numFmtId="0" fontId="28" fillId="0" borderId="36" xfId="0" applyFont="1" applyBorder="1" applyAlignment="1">
      <alignment vertical="center" wrapText="1"/>
    </xf>
    <xf numFmtId="0" fontId="28" fillId="0" borderId="0" xfId="0" applyFont="1" applyBorder="1" applyAlignment="1">
      <alignment vertical="center"/>
    </xf>
    <xf numFmtId="0" fontId="28" fillId="0" borderId="35" xfId="0" applyFont="1" applyBorder="1" applyAlignment="1">
      <alignment vertical="center"/>
    </xf>
    <xf numFmtId="0" fontId="28" fillId="0" borderId="46" xfId="0" applyFont="1" applyBorder="1" applyAlignment="1">
      <alignment vertical="center"/>
    </xf>
    <xf numFmtId="0" fontId="28" fillId="0" borderId="51" xfId="0" applyFont="1" applyBorder="1" applyAlignment="1">
      <alignment vertical="center"/>
    </xf>
    <xf numFmtId="0" fontId="28" fillId="0" borderId="8" xfId="0" applyFont="1" applyBorder="1" applyAlignment="1">
      <alignment vertical="center"/>
    </xf>
    <xf numFmtId="0" fontId="28" fillId="0" borderId="10" xfId="0" applyFont="1" applyBorder="1" applyAlignment="1">
      <alignment horizontal="left" vertical="center" wrapText="1"/>
    </xf>
    <xf numFmtId="0" fontId="28" fillId="0" borderId="47" xfId="0" applyFont="1" applyBorder="1" applyAlignment="1">
      <alignment horizontal="left" vertical="center" wrapText="1"/>
    </xf>
    <xf numFmtId="0" fontId="28" fillId="0" borderId="49" xfId="0" applyFont="1" applyBorder="1" applyAlignment="1">
      <alignment horizontal="left" vertical="center" wrapText="1"/>
    </xf>
    <xf numFmtId="0" fontId="28" fillId="0" borderId="36" xfId="0" applyFont="1" applyBorder="1" applyAlignment="1">
      <alignment horizontal="left" vertical="center" wrapText="1"/>
    </xf>
    <xf numFmtId="0" fontId="28" fillId="0" borderId="0" xfId="0" applyFont="1" applyBorder="1" applyAlignment="1">
      <alignment horizontal="left" vertical="center" wrapText="1"/>
    </xf>
    <xf numFmtId="0" fontId="28" fillId="0" borderId="41" xfId="0" applyFont="1" applyBorder="1" applyAlignment="1">
      <alignment horizontal="left" vertical="center" wrapText="1"/>
    </xf>
    <xf numFmtId="0" fontId="28" fillId="0" borderId="46" xfId="0" applyFont="1" applyBorder="1" applyAlignment="1">
      <alignment horizontal="left" vertical="center" wrapText="1"/>
    </xf>
    <xf numFmtId="0" fontId="28" fillId="0" borderId="51" xfId="0" applyFont="1" applyBorder="1" applyAlignment="1">
      <alignment horizontal="left" vertical="center" wrapText="1"/>
    </xf>
    <xf numFmtId="0" fontId="28" fillId="0" borderId="60" xfId="0" applyFont="1" applyBorder="1" applyAlignment="1">
      <alignment horizontal="left" vertical="center" wrapText="1"/>
    </xf>
    <xf numFmtId="0" fontId="28" fillId="0" borderId="10"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41" xfId="0" applyFont="1" applyBorder="1" applyAlignment="1">
      <alignment horizontal="center" vertical="center" wrapText="1"/>
    </xf>
    <xf numFmtId="0" fontId="102" fillId="0" borderId="26" xfId="0" applyFont="1" applyBorder="1" applyAlignment="1">
      <alignment horizontal="center" vertical="center"/>
    </xf>
    <xf numFmtId="0" fontId="102" fillId="0" borderId="58" xfId="0" applyFont="1" applyBorder="1" applyAlignment="1">
      <alignment horizontal="center" vertical="center"/>
    </xf>
    <xf numFmtId="0" fontId="102" fillId="0" borderId="23" xfId="0" applyFont="1" applyBorder="1" applyAlignment="1">
      <alignment horizontal="center" vertical="center"/>
    </xf>
    <xf numFmtId="0" fontId="28" fillId="3" borderId="42" xfId="0" applyFont="1" applyFill="1" applyBorder="1" applyAlignment="1">
      <alignment vertical="center"/>
    </xf>
    <xf numFmtId="0" fontId="28" fillId="3" borderId="5" xfId="0" applyFont="1" applyFill="1" applyBorder="1" applyAlignment="1">
      <alignment vertical="center"/>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28" fillId="0" borderId="55" xfId="0" applyFont="1" applyBorder="1" applyAlignment="1">
      <alignment horizontal="center" vertical="center"/>
    </xf>
    <xf numFmtId="0" fontId="28" fillId="0" borderId="5" xfId="0" applyFont="1" applyBorder="1" applyAlignment="1">
      <alignment horizontal="center" vertical="center"/>
    </xf>
    <xf numFmtId="0" fontId="28" fillId="0" borderId="50" xfId="0" applyFont="1" applyBorder="1" applyAlignment="1">
      <alignment horizontal="center" vertical="center"/>
    </xf>
    <xf numFmtId="0" fontId="28" fillId="3" borderId="52" xfId="0" applyFont="1" applyFill="1" applyBorder="1" applyAlignment="1">
      <alignment horizontal="center" vertical="center"/>
    </xf>
    <xf numFmtId="0" fontId="28" fillId="0" borderId="46" xfId="0" applyFont="1" applyBorder="1" applyAlignment="1">
      <alignment horizontal="center" vertical="center" wrapText="1"/>
    </xf>
    <xf numFmtId="0" fontId="28" fillId="0" borderId="51"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14" xfId="0" applyFont="1" applyFill="1" applyBorder="1" applyAlignment="1">
      <alignment horizontal="center" vertical="center"/>
    </xf>
    <xf numFmtId="0" fontId="28" fillId="0" borderId="27" xfId="0" applyFont="1" applyFill="1" applyBorder="1" applyAlignment="1">
      <alignment horizontal="center" vertical="center"/>
    </xf>
    <xf numFmtId="176" fontId="36" fillId="7" borderId="19" xfId="2452" applyNumberFormat="1" applyFont="1" applyFill="1" applyBorder="1" applyAlignment="1">
      <alignment horizontal="center" vertical="center"/>
    </xf>
    <xf numFmtId="176" fontId="36" fillId="7" borderId="51" xfId="2452" applyNumberFormat="1" applyFont="1" applyFill="1" applyBorder="1" applyAlignment="1">
      <alignment horizontal="center" vertical="center"/>
    </xf>
    <xf numFmtId="176" fontId="36" fillId="7" borderId="20" xfId="2452" applyNumberFormat="1" applyFont="1" applyFill="1" applyBorder="1" applyAlignment="1">
      <alignment horizontal="center" vertical="center"/>
    </xf>
    <xf numFmtId="176" fontId="28" fillId="0" borderId="35" xfId="2452" applyNumberFormat="1" applyFont="1" applyFill="1" applyBorder="1" applyAlignment="1">
      <alignment horizontal="center" vertical="center"/>
    </xf>
    <xf numFmtId="176" fontId="28" fillId="0" borderId="50" xfId="2452" applyNumberFormat="1" applyFont="1" applyFill="1" applyBorder="1" applyAlignment="1">
      <alignment horizontal="center" vertical="center"/>
    </xf>
    <xf numFmtId="176" fontId="28" fillId="0" borderId="48" xfId="2452" applyNumberFormat="1" applyFont="1" applyFill="1" applyBorder="1" applyAlignment="1">
      <alignment horizontal="center" vertical="center"/>
    </xf>
    <xf numFmtId="177" fontId="26" fillId="3" borderId="38" xfId="2452" applyNumberFormat="1" applyFont="1" applyFill="1" applyBorder="1" applyAlignment="1">
      <alignment horizontal="center" vertical="center"/>
    </xf>
    <xf numFmtId="177" fontId="26" fillId="3" borderId="9" xfId="2452" applyNumberFormat="1" applyFont="1" applyFill="1" applyBorder="1" applyAlignment="1">
      <alignment horizontal="center" vertical="center"/>
    </xf>
    <xf numFmtId="177" fontId="28" fillId="5" borderId="38" xfId="2452" applyNumberFormat="1" applyFont="1" applyFill="1" applyBorder="1" applyAlignment="1">
      <alignment horizontal="center" vertical="center"/>
    </xf>
    <xf numFmtId="177" fontId="28" fillId="5" borderId="9" xfId="2452" applyNumberFormat="1" applyFont="1" applyFill="1" applyBorder="1" applyAlignment="1">
      <alignment horizontal="center" vertical="center"/>
    </xf>
    <xf numFmtId="176" fontId="27" fillId="4" borderId="21" xfId="2452" applyNumberFormat="1" applyFont="1" applyFill="1" applyBorder="1" applyAlignment="1">
      <alignment horizontal="center" vertical="center"/>
    </xf>
    <xf numFmtId="176" fontId="27" fillId="4" borderId="3" xfId="2452" applyNumberFormat="1" applyFont="1" applyFill="1" applyBorder="1" applyAlignment="1">
      <alignment horizontal="center" vertical="center"/>
    </xf>
    <xf numFmtId="176" fontId="27" fillId="7" borderId="21" xfId="2452" applyNumberFormat="1" applyFont="1" applyFill="1" applyBorder="1" applyAlignment="1">
      <alignment horizontal="center" vertical="center"/>
    </xf>
    <xf numFmtId="176" fontId="27" fillId="7" borderId="3" xfId="2452" applyNumberFormat="1" applyFont="1" applyFill="1" applyBorder="1" applyAlignment="1">
      <alignment horizontal="center" vertical="center"/>
    </xf>
    <xf numFmtId="176" fontId="27" fillId="7" borderId="12" xfId="2452" applyNumberFormat="1" applyFont="1" applyFill="1" applyBorder="1" applyAlignment="1">
      <alignment horizontal="center" vertical="center"/>
    </xf>
    <xf numFmtId="177" fontId="36" fillId="7" borderId="21" xfId="2452" applyNumberFormat="1" applyFont="1" applyFill="1" applyBorder="1" applyAlignment="1">
      <alignment horizontal="center" vertical="center"/>
    </xf>
    <xf numFmtId="177" fontId="36" fillId="7" borderId="3" xfId="2452" applyNumberFormat="1" applyFont="1" applyFill="1" applyBorder="1" applyAlignment="1">
      <alignment horizontal="center" vertical="center"/>
    </xf>
    <xf numFmtId="177" fontId="36" fillId="7" borderId="12" xfId="2452" applyNumberFormat="1" applyFont="1" applyFill="1" applyBorder="1" applyAlignment="1">
      <alignment horizontal="center" vertical="center"/>
    </xf>
    <xf numFmtId="176" fontId="36" fillId="4" borderId="51" xfId="2452" applyNumberFormat="1" applyFont="1" applyFill="1" applyBorder="1" applyAlignment="1">
      <alignment horizontal="center" vertical="center"/>
    </xf>
    <xf numFmtId="176" fontId="36" fillId="4" borderId="20" xfId="2452" applyNumberFormat="1" applyFont="1" applyFill="1" applyBorder="1" applyAlignment="1">
      <alignment horizontal="center" vertical="center"/>
    </xf>
    <xf numFmtId="176" fontId="27" fillId="3" borderId="67" xfId="0" applyNumberFormat="1" applyFont="1" applyFill="1" applyBorder="1" applyAlignment="1">
      <alignment horizontal="center" vertical="center" wrapText="1"/>
    </xf>
    <xf numFmtId="176" fontId="28" fillId="3" borderId="30" xfId="2452" applyNumberFormat="1" applyFont="1" applyFill="1" applyBorder="1" applyAlignment="1">
      <alignment horizontal="center" vertical="center"/>
    </xf>
    <xf numFmtId="176" fontId="28" fillId="3" borderId="28" xfId="2452" applyNumberFormat="1" applyFont="1" applyFill="1" applyBorder="1" applyAlignment="1">
      <alignment horizontal="center" vertical="center"/>
    </xf>
    <xf numFmtId="176" fontId="28" fillId="3" borderId="39" xfId="0" applyNumberFormat="1" applyFont="1" applyFill="1" applyBorder="1" applyAlignment="1">
      <alignment horizontal="center" vertical="center"/>
    </xf>
    <xf numFmtId="176" fontId="28" fillId="3" borderId="24" xfId="0" applyNumberFormat="1" applyFont="1" applyFill="1" applyBorder="1" applyAlignment="1">
      <alignment horizontal="center" vertical="center"/>
    </xf>
    <xf numFmtId="0" fontId="26" fillId="0" borderId="6" xfId="0" applyFont="1" applyFill="1" applyBorder="1" applyAlignment="1">
      <alignment horizontal="center" vertical="center"/>
    </xf>
    <xf numFmtId="0" fontId="26" fillId="0" borderId="22" xfId="0" applyFont="1" applyFill="1" applyBorder="1" applyAlignment="1">
      <alignment horizontal="center" vertical="center"/>
    </xf>
    <xf numFmtId="177" fontId="26" fillId="0" borderId="164" xfId="0" applyNumberFormat="1" applyFont="1" applyFill="1" applyBorder="1" applyAlignment="1">
      <alignment horizontal="center" vertical="center"/>
    </xf>
    <xf numFmtId="177" fontId="26" fillId="0" borderId="165" xfId="0" applyNumberFormat="1" applyFont="1" applyFill="1" applyBorder="1" applyAlignment="1">
      <alignment horizontal="center" vertical="center"/>
    </xf>
    <xf numFmtId="177" fontId="26" fillId="0" borderId="3" xfId="0" applyNumberFormat="1" applyFont="1" applyFill="1" applyBorder="1" applyAlignment="1">
      <alignment horizontal="center" vertical="center"/>
    </xf>
    <xf numFmtId="177" fontId="26" fillId="0" borderId="9" xfId="0" applyNumberFormat="1" applyFont="1" applyFill="1" applyBorder="1" applyAlignment="1">
      <alignment horizontal="center" vertical="center"/>
    </xf>
    <xf numFmtId="177" fontId="26" fillId="0" borderId="6" xfId="0" applyNumberFormat="1" applyFont="1" applyFill="1" applyBorder="1" applyAlignment="1">
      <alignment horizontal="center" vertical="center"/>
    </xf>
    <xf numFmtId="177" fontId="26" fillId="0" borderId="22" xfId="0" applyNumberFormat="1" applyFont="1" applyFill="1" applyBorder="1" applyAlignment="1">
      <alignment horizontal="center" vertical="center"/>
    </xf>
    <xf numFmtId="0" fontId="27" fillId="3" borderId="19" xfId="0" applyFont="1" applyFill="1" applyBorder="1" applyAlignment="1">
      <alignment horizontal="center" vertical="center" wrapText="1"/>
    </xf>
    <xf numFmtId="0" fontId="27" fillId="3" borderId="46" xfId="0" applyFont="1" applyFill="1" applyBorder="1" applyAlignment="1">
      <alignment horizontal="center" vertical="center"/>
    </xf>
    <xf numFmtId="0" fontId="27" fillId="3" borderId="66" xfId="0" applyFont="1" applyFill="1" applyBorder="1" applyAlignment="1">
      <alignment horizontal="center" vertical="center" wrapText="1"/>
    </xf>
    <xf numFmtId="0" fontId="27" fillId="3" borderId="36" xfId="0" applyFont="1" applyFill="1" applyBorder="1" applyAlignment="1">
      <alignment horizontal="center" vertical="center"/>
    </xf>
    <xf numFmtId="0" fontId="27" fillId="3" borderId="17" xfId="0" applyFont="1" applyFill="1" applyBorder="1" applyAlignment="1">
      <alignment horizontal="center" vertical="center"/>
    </xf>
    <xf numFmtId="0" fontId="27" fillId="3" borderId="26" xfId="0" applyFont="1" applyFill="1" applyBorder="1" applyAlignment="1">
      <alignment horizontal="center" vertical="center"/>
    </xf>
    <xf numFmtId="0" fontId="28" fillId="0" borderId="0" xfId="0" applyFont="1" applyBorder="1" applyAlignment="1">
      <alignment horizontal="center" vertical="center"/>
    </xf>
    <xf numFmtId="0" fontId="104" fillId="0" borderId="15" xfId="0" applyFont="1" applyBorder="1" applyAlignment="1">
      <alignment horizontal="center" vertical="center"/>
    </xf>
    <xf numFmtId="0" fontId="104" fillId="0" borderId="20" xfId="0" applyFont="1" applyBorder="1" applyAlignment="1">
      <alignment horizontal="center" vertical="center"/>
    </xf>
    <xf numFmtId="0" fontId="104" fillId="0" borderId="33" xfId="0" applyFont="1" applyBorder="1" applyAlignment="1">
      <alignment horizontal="center" vertical="center"/>
    </xf>
    <xf numFmtId="0" fontId="104" fillId="0" borderId="70" xfId="0" applyFont="1" applyBorder="1" applyAlignment="1">
      <alignment horizontal="center" vertical="center"/>
    </xf>
    <xf numFmtId="0" fontId="104" fillId="0" borderId="7" xfId="0" applyFont="1" applyBorder="1" applyAlignment="1">
      <alignment horizontal="center" vertical="center"/>
    </xf>
    <xf numFmtId="0" fontId="104" fillId="0" borderId="18" xfId="0" applyFont="1" applyBorder="1" applyAlignment="1">
      <alignment horizontal="center" vertical="center"/>
    </xf>
    <xf numFmtId="0" fontId="26" fillId="0" borderId="3" xfId="0" applyFont="1" applyFill="1" applyBorder="1" applyAlignment="1">
      <alignment horizontal="center" vertical="center"/>
    </xf>
    <xf numFmtId="0" fontId="26" fillId="0" borderId="9" xfId="0" applyFont="1" applyFill="1" applyBorder="1" applyAlignment="1">
      <alignment horizontal="center" vertical="center"/>
    </xf>
    <xf numFmtId="0" fontId="28" fillId="2" borderId="10" xfId="0" applyFont="1" applyFill="1" applyBorder="1" applyAlignment="1">
      <alignment horizontal="center" vertical="center" wrapText="1"/>
    </xf>
    <xf numFmtId="0" fontId="28" fillId="2" borderId="47"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28" fillId="2" borderId="51" xfId="0" applyFont="1" applyFill="1" applyBorder="1" applyAlignment="1">
      <alignment horizontal="center" vertical="center" wrapText="1"/>
    </xf>
    <xf numFmtId="0" fontId="28" fillId="2" borderId="48"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6" fillId="0" borderId="162" xfId="0" applyFont="1" applyFill="1" applyBorder="1" applyAlignment="1">
      <alignment horizontal="center" vertical="center"/>
    </xf>
    <xf numFmtId="0" fontId="26" fillId="0" borderId="163" xfId="0" applyFont="1" applyFill="1" applyBorder="1" applyAlignment="1">
      <alignment horizontal="center" vertical="center"/>
    </xf>
    <xf numFmtId="0" fontId="28" fillId="3" borderId="21" xfId="0" applyFont="1" applyFill="1" applyBorder="1" applyAlignment="1">
      <alignment horizontal="center" vertical="center" wrapText="1"/>
    </xf>
    <xf numFmtId="0" fontId="28" fillId="0" borderId="10" xfId="0" applyFont="1" applyBorder="1" applyAlignment="1">
      <alignment horizontal="center" vertical="center"/>
    </xf>
    <xf numFmtId="0" fontId="28" fillId="0" borderId="46" xfId="0" applyFont="1" applyBorder="1" applyAlignment="1">
      <alignment horizontal="center" vertical="center"/>
    </xf>
    <xf numFmtId="0" fontId="28" fillId="0" borderId="51" xfId="0" applyFont="1" applyBorder="1" applyAlignment="1">
      <alignment horizontal="center" vertical="center"/>
    </xf>
    <xf numFmtId="0" fontId="28" fillId="0" borderId="4" xfId="0" applyFont="1" applyBorder="1" applyAlignment="1">
      <alignment horizontal="center"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0" fontId="28" fillId="3" borderId="10" xfId="0" applyFont="1" applyFill="1" applyBorder="1" applyAlignment="1">
      <alignment horizontal="center" vertical="center" wrapText="1"/>
    </xf>
    <xf numFmtId="0" fontId="0" fillId="0" borderId="48" xfId="0" applyBorder="1" applyAlignment="1">
      <alignment vertical="center" wrapText="1"/>
    </xf>
    <xf numFmtId="0" fontId="0" fillId="0" borderId="46" xfId="0" applyBorder="1" applyAlignment="1">
      <alignment vertical="center" wrapText="1"/>
    </xf>
    <xf numFmtId="0" fontId="0" fillId="0" borderId="35" xfId="0" applyBorder="1" applyAlignment="1">
      <alignment vertical="center" wrapText="1"/>
    </xf>
    <xf numFmtId="0" fontId="28" fillId="0" borderId="23" xfId="0" applyFont="1" applyBorder="1" applyAlignment="1">
      <alignment horizontal="center" vertical="center"/>
    </xf>
    <xf numFmtId="0" fontId="28" fillId="6" borderId="10" xfId="0" applyFont="1" applyFill="1" applyBorder="1" applyAlignment="1">
      <alignment horizontal="center" vertical="center" wrapText="1"/>
    </xf>
    <xf numFmtId="0" fontId="28" fillId="6" borderId="47" xfId="0" applyFont="1" applyFill="1" applyBorder="1" applyAlignment="1">
      <alignment horizontal="center" vertical="center" wrapText="1"/>
    </xf>
    <xf numFmtId="0" fontId="28" fillId="6" borderId="49" xfId="0" applyFont="1" applyFill="1" applyBorder="1" applyAlignment="1">
      <alignment horizontal="center" vertical="center" wrapText="1"/>
    </xf>
    <xf numFmtId="0" fontId="28" fillId="6" borderId="46" xfId="0" applyFont="1" applyFill="1" applyBorder="1" applyAlignment="1">
      <alignment horizontal="center" vertical="center" wrapText="1"/>
    </xf>
    <xf numFmtId="0" fontId="28" fillId="6" borderId="51" xfId="0" applyFont="1" applyFill="1" applyBorder="1" applyAlignment="1">
      <alignment horizontal="center" vertical="center" wrapText="1"/>
    </xf>
    <xf numFmtId="0" fontId="28" fillId="6" borderId="60" xfId="0" applyFont="1" applyFill="1" applyBorder="1" applyAlignment="1">
      <alignment horizontal="center" vertical="center" wrapText="1"/>
    </xf>
    <xf numFmtId="0" fontId="102" fillId="3" borderId="37" xfId="0" applyFont="1" applyFill="1" applyBorder="1" applyAlignment="1">
      <alignment horizontal="center" vertical="center"/>
    </xf>
    <xf numFmtId="0" fontId="102" fillId="3" borderId="48" xfId="0" applyFont="1" applyFill="1" applyBorder="1" applyAlignment="1">
      <alignment horizontal="center" vertical="center"/>
    </xf>
    <xf numFmtId="0" fontId="102" fillId="3" borderId="40" xfId="0" applyFont="1" applyFill="1" applyBorder="1" applyAlignment="1">
      <alignment horizontal="center" vertical="center"/>
    </xf>
    <xf numFmtId="0" fontId="102" fillId="3" borderId="35" xfId="0" applyFont="1" applyFill="1" applyBorder="1" applyAlignment="1">
      <alignment horizontal="center" vertical="center"/>
    </xf>
    <xf numFmtId="0" fontId="102" fillId="3" borderId="42" xfId="0" applyFont="1" applyFill="1" applyBorder="1" applyAlignment="1">
      <alignment horizontal="center" vertical="center"/>
    </xf>
    <xf numFmtId="0" fontId="102" fillId="3" borderId="50" xfId="0" applyFont="1" applyFill="1" applyBorder="1" applyAlignment="1">
      <alignment horizontal="center" vertical="center"/>
    </xf>
    <xf numFmtId="0" fontId="105" fillId="0" borderId="10" xfId="0" applyFont="1" applyBorder="1" applyAlignment="1">
      <alignment horizontal="center" vertical="center" wrapText="1"/>
    </xf>
    <xf numFmtId="0" fontId="105" fillId="0" borderId="47" xfId="0" applyFont="1" applyBorder="1" applyAlignment="1">
      <alignment horizontal="center" vertical="center" wrapText="1"/>
    </xf>
    <xf numFmtId="0" fontId="105" fillId="0" borderId="49" xfId="0" applyFont="1" applyBorder="1" applyAlignment="1">
      <alignment horizontal="center" vertical="center" wrapText="1"/>
    </xf>
    <xf numFmtId="0" fontId="105" fillId="0" borderId="36" xfId="0" applyFont="1" applyBorder="1" applyAlignment="1">
      <alignment horizontal="center" vertical="center" wrapText="1"/>
    </xf>
    <xf numFmtId="0" fontId="105" fillId="0" borderId="0" xfId="0" applyFont="1" applyBorder="1" applyAlignment="1">
      <alignment horizontal="center" vertical="center" wrapText="1"/>
    </xf>
    <xf numFmtId="0" fontId="105" fillId="0" borderId="41" xfId="0" applyFont="1" applyBorder="1" applyAlignment="1">
      <alignment horizontal="center" vertical="center" wrapText="1"/>
    </xf>
    <xf numFmtId="0" fontId="105" fillId="0" borderId="55" xfId="0" applyFont="1" applyBorder="1" applyAlignment="1">
      <alignment horizontal="center" vertical="center" wrapText="1"/>
    </xf>
    <xf numFmtId="0" fontId="105" fillId="0" borderId="5" xfId="0" applyFont="1" applyBorder="1" applyAlignment="1">
      <alignment horizontal="center" vertical="center" wrapText="1"/>
    </xf>
    <xf numFmtId="0" fontId="105" fillId="0" borderId="34" xfId="0" applyFont="1" applyBorder="1" applyAlignment="1">
      <alignment horizontal="center" vertical="center" wrapText="1"/>
    </xf>
    <xf numFmtId="0" fontId="28" fillId="0" borderId="49" xfId="0" applyFont="1" applyFill="1" applyBorder="1" applyAlignment="1">
      <alignment horizontal="center" vertical="center"/>
    </xf>
    <xf numFmtId="0" fontId="26" fillId="0" borderId="6"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2" xfId="0" applyFont="1" applyBorder="1" applyAlignment="1">
      <alignment horizontal="center" vertical="center" wrapText="1"/>
    </xf>
    <xf numFmtId="176" fontId="28" fillId="2" borderId="27" xfId="0" applyNumberFormat="1" applyFont="1" applyFill="1" applyBorder="1" applyAlignment="1">
      <alignment horizontal="center" vertical="center"/>
    </xf>
    <xf numFmtId="176" fontId="28" fillId="2" borderId="81" xfId="0" applyNumberFormat="1" applyFont="1" applyFill="1" applyBorder="1" applyAlignment="1">
      <alignment horizontal="center" vertical="center"/>
    </xf>
    <xf numFmtId="176" fontId="27" fillId="4" borderId="21" xfId="0" applyNumberFormat="1" applyFont="1" applyFill="1" applyBorder="1" applyAlignment="1">
      <alignment horizontal="center" vertical="center"/>
    </xf>
    <xf numFmtId="176" fontId="27" fillId="4" borderId="3" xfId="0" applyNumberFormat="1" applyFont="1" applyFill="1" applyBorder="1" applyAlignment="1">
      <alignment horizontal="center" vertical="center"/>
    </xf>
    <xf numFmtId="176" fontId="27" fillId="4" borderId="12" xfId="0" applyNumberFormat="1" applyFont="1" applyFill="1" applyBorder="1" applyAlignment="1">
      <alignment horizontal="center" vertical="center"/>
    </xf>
    <xf numFmtId="176" fontId="28" fillId="2" borderId="37" xfId="0" applyNumberFormat="1" applyFont="1" applyFill="1" applyBorder="1" applyAlignment="1">
      <alignment horizontal="center" vertical="center"/>
    </xf>
    <xf numFmtId="176" fontId="28" fillId="2" borderId="42" xfId="0" applyNumberFormat="1" applyFont="1" applyFill="1" applyBorder="1" applyAlignment="1">
      <alignment horizontal="center" vertical="center"/>
    </xf>
    <xf numFmtId="176" fontId="28" fillId="2" borderId="10" xfId="0" applyNumberFormat="1" applyFont="1" applyFill="1" applyBorder="1" applyAlignment="1">
      <alignment horizontal="center" vertical="center"/>
    </xf>
    <xf numFmtId="176" fontId="28" fillId="2" borderId="55" xfId="0" applyNumberFormat="1" applyFont="1" applyFill="1" applyBorder="1" applyAlignment="1">
      <alignment horizontal="center" vertical="center"/>
    </xf>
    <xf numFmtId="176" fontId="28" fillId="2" borderId="62" xfId="0" applyNumberFormat="1" applyFont="1" applyFill="1" applyBorder="1" applyAlignment="1">
      <alignment horizontal="center" vertical="center"/>
    </xf>
    <xf numFmtId="176" fontId="28" fillId="2" borderId="19" xfId="0" applyNumberFormat="1" applyFont="1" applyFill="1" applyBorder="1" applyAlignment="1">
      <alignment horizontal="center" vertical="center"/>
    </xf>
    <xf numFmtId="176" fontId="28" fillId="0" borderId="14" xfId="0" applyNumberFormat="1" applyFont="1" applyFill="1" applyBorder="1" applyAlignment="1">
      <alignment horizontal="center" vertical="center"/>
    </xf>
    <xf numFmtId="176" fontId="28" fillId="0" borderId="15" xfId="0" applyNumberFormat="1" applyFont="1" applyFill="1" applyBorder="1" applyAlignment="1">
      <alignment horizontal="center" vertical="center"/>
    </xf>
    <xf numFmtId="176" fontId="27" fillId="4" borderId="19" xfId="0" applyNumberFormat="1" applyFont="1" applyFill="1" applyBorder="1" applyAlignment="1">
      <alignment horizontal="center" vertical="center"/>
    </xf>
    <xf numFmtId="176" fontId="27" fillId="4" borderId="51" xfId="0" applyNumberFormat="1" applyFont="1" applyFill="1" applyBorder="1" applyAlignment="1">
      <alignment horizontal="center" vertical="center"/>
    </xf>
    <xf numFmtId="176" fontId="27" fillId="4" borderId="20" xfId="0" applyNumberFormat="1" applyFont="1" applyFill="1" applyBorder="1" applyAlignment="1">
      <alignment horizontal="center" vertical="center"/>
    </xf>
    <xf numFmtId="176" fontId="28" fillId="2" borderId="80" xfId="0" applyNumberFormat="1" applyFont="1" applyFill="1" applyBorder="1" applyAlignment="1">
      <alignment horizontal="center" vertical="center"/>
    </xf>
    <xf numFmtId="9" fontId="27" fillId="3" borderId="32" xfId="0" applyNumberFormat="1" applyFont="1" applyFill="1" applyBorder="1" applyAlignment="1">
      <alignment horizontal="center" vertical="center"/>
    </xf>
    <xf numFmtId="9" fontId="27" fillId="3" borderId="67" xfId="0" applyNumberFormat="1" applyFont="1" applyFill="1" applyBorder="1" applyAlignment="1">
      <alignment horizontal="center" vertical="center"/>
    </xf>
    <xf numFmtId="9" fontId="27" fillId="3" borderId="16" xfId="0" applyNumberFormat="1" applyFont="1" applyFill="1" applyBorder="1" applyAlignment="1">
      <alignment horizontal="center" vertical="center"/>
    </xf>
    <xf numFmtId="9" fontId="28" fillId="3" borderId="43" xfId="0" applyNumberFormat="1" applyFont="1" applyFill="1" applyBorder="1" applyAlignment="1">
      <alignment horizontal="center" vertical="center"/>
    </xf>
    <xf numFmtId="9" fontId="28" fillId="3" borderId="42" xfId="0" applyNumberFormat="1" applyFont="1" applyFill="1" applyBorder="1" applyAlignment="1">
      <alignment horizontal="center" vertical="center"/>
    </xf>
    <xf numFmtId="9" fontId="28" fillId="3" borderId="16" xfId="0" applyNumberFormat="1" applyFont="1" applyFill="1" applyBorder="1" applyAlignment="1">
      <alignment horizontal="center" vertical="center"/>
    </xf>
    <xf numFmtId="0" fontId="28" fillId="2" borderId="14" xfId="2450" applyFont="1" applyFill="1" applyBorder="1" applyAlignment="1">
      <alignment horizontal="center" vertical="center"/>
    </xf>
    <xf numFmtId="0" fontId="28" fillId="2" borderId="33" xfId="2450" applyFont="1" applyFill="1" applyBorder="1" applyAlignment="1">
      <alignment horizontal="center" vertical="center"/>
    </xf>
    <xf numFmtId="0" fontId="28" fillId="2" borderId="70" xfId="2450" applyFont="1" applyFill="1" applyBorder="1" applyAlignment="1">
      <alignment horizontal="center" vertical="center"/>
    </xf>
    <xf numFmtId="0" fontId="105" fillId="2" borderId="33" xfId="2450" applyFont="1" applyFill="1" applyBorder="1" applyAlignment="1">
      <alignment horizontal="center" vertical="center"/>
    </xf>
    <xf numFmtId="0" fontId="105" fillId="2" borderId="70" xfId="2450" applyFont="1" applyFill="1" applyBorder="1" applyAlignment="1">
      <alignment horizontal="center" vertical="center"/>
    </xf>
    <xf numFmtId="0" fontId="28" fillId="2" borderId="28" xfId="2450" applyFont="1" applyFill="1" applyBorder="1" applyAlignment="1">
      <alignment horizontal="center" vertical="center"/>
    </xf>
    <xf numFmtId="0" fontId="106" fillId="2" borderId="28" xfId="2450" applyFont="1" applyFill="1" applyBorder="1" applyAlignment="1">
      <alignment horizontal="center" vertical="center"/>
    </xf>
    <xf numFmtId="0" fontId="106" fillId="2" borderId="81" xfId="2450" applyFont="1" applyFill="1" applyBorder="1" applyAlignment="1">
      <alignment horizontal="center" vertical="center"/>
    </xf>
    <xf numFmtId="0" fontId="28" fillId="2" borderId="15" xfId="2450" applyFont="1" applyFill="1" applyBorder="1" applyAlignment="1">
      <alignment horizontal="center" vertical="center"/>
    </xf>
    <xf numFmtId="0" fontId="29" fillId="0" borderId="46" xfId="2450" applyFont="1" applyFill="1" applyBorder="1" applyAlignment="1">
      <alignment horizontal="center" vertical="center"/>
    </xf>
    <xf numFmtId="0" fontId="29" fillId="0" borderId="51" xfId="2450" quotePrefix="1" applyFont="1" applyFill="1" applyBorder="1" applyAlignment="1">
      <alignment horizontal="center" vertical="center"/>
    </xf>
    <xf numFmtId="0" fontId="29" fillId="0" borderId="60" xfId="2450" quotePrefix="1" applyFont="1" applyFill="1" applyBorder="1" applyAlignment="1">
      <alignment horizontal="center" vertical="center"/>
    </xf>
    <xf numFmtId="0" fontId="102" fillId="3" borderId="37" xfId="2450" applyFont="1" applyFill="1" applyBorder="1" applyAlignment="1">
      <alignment horizontal="center" vertical="center"/>
    </xf>
    <xf numFmtId="0" fontId="102" fillId="3" borderId="48" xfId="2450" applyFont="1" applyFill="1" applyBorder="1" applyAlignment="1">
      <alignment horizontal="center" vertical="center"/>
    </xf>
    <xf numFmtId="0" fontId="28" fillId="0" borderId="3" xfId="2450" applyFont="1" applyBorder="1" applyAlignment="1">
      <alignment horizontal="center" vertical="center"/>
    </xf>
    <xf numFmtId="0" fontId="28" fillId="0" borderId="9" xfId="2450" applyFont="1" applyBorder="1" applyAlignment="1">
      <alignment horizontal="center" vertical="center"/>
    </xf>
    <xf numFmtId="0" fontId="29" fillId="0" borderId="6" xfId="2450" applyFont="1" applyBorder="1" applyAlignment="1">
      <alignment horizontal="center" vertical="center"/>
    </xf>
    <xf numFmtId="0" fontId="29" fillId="0" borderId="3" xfId="2450" applyFont="1" applyBorder="1" applyAlignment="1">
      <alignment horizontal="center" vertical="center"/>
    </xf>
    <xf numFmtId="0" fontId="29" fillId="0" borderId="22" xfId="2450" applyFont="1" applyBorder="1" applyAlignment="1">
      <alignment horizontal="center" vertical="center"/>
    </xf>
    <xf numFmtId="0" fontId="29" fillId="3" borderId="37" xfId="2450" applyFont="1" applyFill="1" applyBorder="1" applyAlignment="1">
      <alignment horizontal="center" vertical="center"/>
    </xf>
    <xf numFmtId="0" fontId="29" fillId="3" borderId="48" xfId="2450" applyFont="1" applyFill="1" applyBorder="1" applyAlignment="1">
      <alignment horizontal="center" vertical="center"/>
    </xf>
    <xf numFmtId="0" fontId="29" fillId="3" borderId="80" xfId="2450" applyFont="1" applyFill="1" applyBorder="1" applyAlignment="1">
      <alignment horizontal="center" vertical="center"/>
    </xf>
    <xf numFmtId="0" fontId="29" fillId="3" borderId="8" xfId="2450" applyFont="1" applyFill="1" applyBorder="1" applyAlignment="1">
      <alignment horizontal="center" vertical="center"/>
    </xf>
    <xf numFmtId="0" fontId="29" fillId="0" borderId="10" xfId="2450" applyFont="1" applyFill="1" applyBorder="1" applyAlignment="1">
      <alignment horizontal="center" vertical="center"/>
    </xf>
    <xf numFmtId="0" fontId="29" fillId="0" borderId="47" xfId="2450" applyFont="1" applyFill="1" applyBorder="1" applyAlignment="1">
      <alignment horizontal="center" vertical="center"/>
    </xf>
    <xf numFmtId="0" fontId="29" fillId="0" borderId="49" xfId="2450" applyFont="1" applyFill="1" applyBorder="1" applyAlignment="1">
      <alignment horizontal="center" vertical="center"/>
    </xf>
    <xf numFmtId="0" fontId="29" fillId="0" borderId="51" xfId="2450" applyFont="1" applyFill="1" applyBorder="1" applyAlignment="1">
      <alignment horizontal="center" vertical="center"/>
    </xf>
    <xf numFmtId="0" fontId="29" fillId="0" borderId="60" xfId="2450" applyFont="1" applyFill="1" applyBorder="1" applyAlignment="1">
      <alignment horizontal="center" vertical="center"/>
    </xf>
    <xf numFmtId="0" fontId="28" fillId="2" borderId="15" xfId="2450" quotePrefix="1" applyFont="1" applyFill="1" applyBorder="1" applyAlignment="1">
      <alignment horizontal="center" vertical="center"/>
    </xf>
    <xf numFmtId="0" fontId="29" fillId="3" borderId="40" xfId="2450" applyFont="1" applyFill="1" applyBorder="1" applyAlignment="1">
      <alignment horizontal="center" vertical="center"/>
    </xf>
    <xf numFmtId="0" fontId="29" fillId="3" borderId="35" xfId="2450" applyFont="1" applyFill="1" applyBorder="1" applyAlignment="1">
      <alignment horizontal="center" vertical="center"/>
    </xf>
    <xf numFmtId="0" fontId="102" fillId="6" borderId="10" xfId="2450" quotePrefix="1" applyFont="1" applyFill="1" applyBorder="1" applyAlignment="1">
      <alignment horizontal="center" vertical="center" wrapText="1"/>
    </xf>
    <xf numFmtId="0" fontId="102" fillId="6" borderId="47" xfId="2450" quotePrefix="1" applyFont="1" applyFill="1" applyBorder="1" applyAlignment="1">
      <alignment horizontal="center" vertical="center"/>
    </xf>
    <xf numFmtId="0" fontId="102" fillId="6" borderId="49" xfId="2450" quotePrefix="1" applyFont="1" applyFill="1" applyBorder="1" applyAlignment="1">
      <alignment horizontal="center" vertical="center"/>
    </xf>
    <xf numFmtId="0" fontId="102" fillId="6" borderId="55" xfId="2450" quotePrefix="1" applyFont="1" applyFill="1" applyBorder="1" applyAlignment="1">
      <alignment horizontal="center" vertical="center"/>
    </xf>
    <xf numFmtId="0" fontId="102" fillId="6" borderId="5" xfId="2450" quotePrefix="1" applyFont="1" applyFill="1" applyBorder="1" applyAlignment="1">
      <alignment horizontal="center" vertical="center"/>
    </xf>
    <xf numFmtId="0" fontId="102" fillId="6" borderId="34" xfId="2450" quotePrefix="1" applyFont="1" applyFill="1" applyBorder="1" applyAlignment="1">
      <alignment horizontal="center" vertical="center"/>
    </xf>
    <xf numFmtId="0" fontId="28" fillId="0" borderId="24" xfId="2450" applyFont="1" applyFill="1" applyBorder="1" applyAlignment="1">
      <alignment horizontal="center" vertical="center"/>
    </xf>
    <xf numFmtId="0" fontId="102" fillId="0" borderId="26" xfId="2450" applyFont="1" applyFill="1" applyBorder="1" applyAlignment="1">
      <alignment horizontal="center" vertical="center"/>
    </xf>
    <xf numFmtId="0" fontId="102" fillId="0" borderId="58" xfId="2450" applyFont="1" applyFill="1" applyBorder="1" applyAlignment="1">
      <alignment horizontal="center" vertical="center"/>
    </xf>
    <xf numFmtId="0" fontId="102" fillId="0" borderId="23" xfId="2450" applyFont="1" applyFill="1" applyBorder="1" applyAlignment="1">
      <alignment horizontal="center" vertical="center"/>
    </xf>
    <xf numFmtId="176" fontId="28" fillId="3" borderId="69" xfId="2450" applyNumberFormat="1" applyFont="1" applyFill="1" applyBorder="1" applyAlignment="1">
      <alignment horizontal="center" vertical="center" wrapText="1"/>
    </xf>
    <xf numFmtId="0" fontId="26" fillId="3" borderId="50" xfId="2450" applyFont="1" applyFill="1" applyBorder="1" applyAlignment="1">
      <alignment vertical="center"/>
    </xf>
    <xf numFmtId="9" fontId="28" fillId="3" borderId="30" xfId="2452" applyNumberFormat="1" applyFont="1" applyFill="1" applyBorder="1" applyAlignment="1">
      <alignment horizontal="center" vertical="center" wrapText="1"/>
    </xf>
    <xf numFmtId="9" fontId="28" fillId="3" borderId="28" xfId="2452" applyNumberFormat="1" applyFont="1" applyFill="1" applyBorder="1" applyAlignment="1">
      <alignment horizontal="center" vertical="center" wrapText="1"/>
    </xf>
    <xf numFmtId="176" fontId="27" fillId="4" borderId="38" xfId="2452" applyNumberFormat="1" applyFont="1" applyFill="1" applyBorder="1" applyAlignment="1">
      <alignment horizontal="center" vertical="center"/>
    </xf>
    <xf numFmtId="176" fontId="27" fillId="4" borderId="32" xfId="2452" applyNumberFormat="1" applyFont="1" applyFill="1" applyBorder="1" applyAlignment="1">
      <alignment horizontal="center" vertical="center"/>
    </xf>
    <xf numFmtId="176" fontId="28" fillId="0" borderId="70" xfId="2452" applyNumberFormat="1" applyFont="1" applyBorder="1" applyAlignment="1">
      <alignment horizontal="center" vertical="center"/>
    </xf>
    <xf numFmtId="176" fontId="28" fillId="0" borderId="20" xfId="2452" applyNumberFormat="1" applyFont="1" applyBorder="1" applyAlignment="1">
      <alignment horizontal="center" vertical="center"/>
    </xf>
    <xf numFmtId="176" fontId="28" fillId="0" borderId="27" xfId="2452" applyNumberFormat="1" applyFont="1" applyBorder="1" applyAlignment="1">
      <alignment horizontal="center" vertical="center"/>
    </xf>
    <xf numFmtId="176" fontId="27" fillId="4" borderId="38" xfId="2453" applyNumberFormat="1" applyFont="1" applyFill="1" applyBorder="1" applyAlignment="1">
      <alignment horizontal="center" vertical="center"/>
    </xf>
    <xf numFmtId="176" fontId="27" fillId="4" borderId="3" xfId="2453" applyNumberFormat="1" applyFont="1" applyFill="1" applyBorder="1" applyAlignment="1">
      <alignment horizontal="center" vertical="center"/>
    </xf>
    <xf numFmtId="176" fontId="27" fillId="4" borderId="22" xfId="2453" applyNumberFormat="1" applyFont="1" applyFill="1" applyBorder="1" applyAlignment="1">
      <alignment horizontal="center" vertical="center"/>
    </xf>
    <xf numFmtId="176" fontId="28" fillId="0" borderId="17" xfId="2452" applyNumberFormat="1" applyFont="1" applyBorder="1" applyAlignment="1">
      <alignment horizontal="center" vertical="center"/>
    </xf>
    <xf numFmtId="176" fontId="28" fillId="0" borderId="12" xfId="2452" applyNumberFormat="1" applyFont="1" applyBorder="1" applyAlignment="1">
      <alignment horizontal="center" vertical="center"/>
    </xf>
    <xf numFmtId="0" fontId="97" fillId="0" borderId="34" xfId="2450" applyBorder="1">
      <alignment vertical="center"/>
    </xf>
    <xf numFmtId="176" fontId="28" fillId="0" borderId="7" xfId="2452" applyNumberFormat="1" applyFont="1" applyBorder="1" applyAlignment="1">
      <alignment horizontal="center" vertical="center"/>
    </xf>
    <xf numFmtId="0" fontId="27" fillId="5" borderId="37" xfId="2450" applyFont="1" applyFill="1" applyBorder="1" applyAlignment="1">
      <alignment horizontal="center" vertical="center"/>
    </xf>
    <xf numFmtId="0" fontId="27" fillId="5" borderId="49" xfId="2450" applyFont="1" applyFill="1" applyBorder="1" applyAlignment="1">
      <alignment horizontal="center" vertical="center"/>
    </xf>
    <xf numFmtId="0" fontId="28" fillId="0" borderId="43" xfId="2450" applyFont="1" applyFill="1" applyBorder="1" applyAlignment="1">
      <alignment horizontal="center" vertical="center" wrapText="1"/>
    </xf>
    <xf numFmtId="0" fontId="28" fillId="0" borderId="44" xfId="2450" applyFont="1" applyFill="1" applyBorder="1" applyAlignment="1">
      <alignment horizontal="center" vertical="center" wrapText="1"/>
    </xf>
    <xf numFmtId="0" fontId="28" fillId="0" borderId="45" xfId="2450" applyFont="1" applyFill="1" applyBorder="1" applyAlignment="1">
      <alignment horizontal="center" vertical="center" wrapText="1"/>
    </xf>
    <xf numFmtId="0" fontId="28" fillId="0" borderId="41" xfId="2450" applyFont="1" applyFill="1" applyBorder="1" applyAlignment="1">
      <alignment horizontal="center" vertical="center" wrapText="1"/>
    </xf>
    <xf numFmtId="0" fontId="28" fillId="0" borderId="34" xfId="2450" applyFont="1" applyFill="1" applyBorder="1" applyAlignment="1">
      <alignment horizontal="center" vertical="center" wrapText="1"/>
    </xf>
    <xf numFmtId="0" fontId="28" fillId="0" borderId="123" xfId="2450" applyFont="1" applyBorder="1" applyAlignment="1">
      <alignment horizontal="center" vertical="center"/>
    </xf>
    <xf numFmtId="0" fontId="28" fillId="0" borderId="85" xfId="2450" applyFont="1" applyBorder="1" applyAlignment="1">
      <alignment horizontal="center" vertical="center"/>
    </xf>
    <xf numFmtId="0" fontId="28" fillId="0" borderId="86" xfId="2450" applyFont="1" applyBorder="1" applyAlignment="1">
      <alignment horizontal="center" vertical="center"/>
    </xf>
    <xf numFmtId="0" fontId="27" fillId="5" borderId="33" xfId="2450" applyFont="1" applyFill="1" applyBorder="1" applyAlignment="1">
      <alignment horizontal="center" vertical="center"/>
    </xf>
    <xf numFmtId="0" fontId="27" fillId="5" borderId="30" xfId="2450" applyFont="1" applyFill="1" applyBorder="1" applyAlignment="1">
      <alignment horizontal="center" vertical="center"/>
    </xf>
    <xf numFmtId="0" fontId="27" fillId="5" borderId="16" xfId="2450" applyFont="1" applyFill="1" applyBorder="1" applyAlignment="1">
      <alignment horizontal="center" vertical="center"/>
    </xf>
    <xf numFmtId="0" fontId="27" fillId="5" borderId="6" xfId="2450" applyFont="1" applyFill="1" applyBorder="1" applyAlignment="1">
      <alignment horizontal="center" vertical="center"/>
    </xf>
    <xf numFmtId="0" fontId="27" fillId="5" borderId="60" xfId="2450" applyFont="1" applyFill="1" applyBorder="1" applyAlignment="1">
      <alignment horizontal="center" vertical="center"/>
    </xf>
    <xf numFmtId="0" fontId="28" fillId="0" borderId="121" xfId="2450" applyFont="1" applyBorder="1" applyAlignment="1">
      <alignment horizontal="center" vertical="center"/>
    </xf>
    <xf numFmtId="0" fontId="28" fillId="0" borderId="2" xfId="2450" applyFont="1" applyBorder="1" applyAlignment="1">
      <alignment horizontal="center" vertical="center"/>
    </xf>
    <xf numFmtId="0" fontId="28" fillId="0" borderId="92" xfId="2450" applyFont="1" applyBorder="1" applyAlignment="1">
      <alignment horizontal="center" vertical="center"/>
    </xf>
    <xf numFmtId="0" fontId="28" fillId="0" borderId="47" xfId="2450" applyFont="1" applyBorder="1" applyAlignment="1">
      <alignment horizontal="left" vertical="center" wrapText="1"/>
    </xf>
    <xf numFmtId="0" fontId="28" fillId="0" borderId="47" xfId="2450" applyFont="1" applyBorder="1" applyAlignment="1">
      <alignment horizontal="left" vertical="center"/>
    </xf>
    <xf numFmtId="0" fontId="28" fillId="0" borderId="48" xfId="2450" applyFont="1" applyBorder="1" applyAlignment="1">
      <alignment horizontal="left" vertical="center"/>
    </xf>
    <xf numFmtId="0" fontId="28" fillId="0" borderId="0" xfId="2450" applyFont="1" applyBorder="1" applyAlignment="1">
      <alignment horizontal="left" vertical="center"/>
    </xf>
    <xf numFmtId="0" fontId="28" fillId="0" borderId="35" xfId="2450" applyFont="1" applyBorder="1" applyAlignment="1">
      <alignment horizontal="left" vertical="center"/>
    </xf>
    <xf numFmtId="0" fontId="28" fillId="0" borderId="27" xfId="2450" applyFont="1" applyFill="1" applyBorder="1" applyAlignment="1">
      <alignment horizontal="center" vertical="center" wrapText="1"/>
    </xf>
    <xf numFmtId="0" fontId="28" fillId="0" borderId="70" xfId="2450" applyFont="1" applyFill="1" applyBorder="1" applyAlignment="1">
      <alignment horizontal="center" vertical="center" wrapText="1"/>
    </xf>
    <xf numFmtId="0" fontId="28" fillId="0" borderId="20" xfId="2450" applyFont="1" applyFill="1" applyBorder="1" applyAlignment="1">
      <alignment horizontal="center" vertical="center" wrapText="1"/>
    </xf>
    <xf numFmtId="0" fontId="28" fillId="0" borderId="81" xfId="2450" applyFont="1" applyFill="1" applyBorder="1" applyAlignment="1">
      <alignment horizontal="center" vertical="center" wrapText="1"/>
    </xf>
    <xf numFmtId="0" fontId="27" fillId="5" borderId="38" xfId="2450" applyFont="1" applyFill="1" applyBorder="1" applyAlignment="1">
      <alignment horizontal="center" vertical="center"/>
    </xf>
    <xf numFmtId="0" fontId="27" fillId="5" borderId="22" xfId="2450" applyFont="1" applyFill="1" applyBorder="1" applyAlignment="1">
      <alignment horizontal="center" vertical="center"/>
    </xf>
    <xf numFmtId="0" fontId="28" fillId="0" borderId="38" xfId="2450" applyFont="1" applyFill="1" applyBorder="1" applyAlignment="1">
      <alignment horizontal="center" vertical="center"/>
    </xf>
    <xf numFmtId="0" fontId="28" fillId="0" borderId="39" xfId="2450" applyFont="1" applyFill="1" applyBorder="1" applyAlignment="1">
      <alignment horizontal="center" vertical="center"/>
    </xf>
    <xf numFmtId="0" fontId="28" fillId="0" borderId="48" xfId="2450" applyFont="1" applyBorder="1" applyAlignment="1">
      <alignment horizontal="left" vertical="center" wrapText="1"/>
    </xf>
    <xf numFmtId="0" fontId="28" fillId="0" borderId="51" xfId="2450" applyFont="1" applyBorder="1" applyAlignment="1">
      <alignment horizontal="left" vertical="center" wrapText="1"/>
    </xf>
    <xf numFmtId="0" fontId="28" fillId="0" borderId="8" xfId="2450" applyFont="1" applyBorder="1" applyAlignment="1">
      <alignment horizontal="left" vertical="center" wrapText="1"/>
    </xf>
    <xf numFmtId="0" fontId="102" fillId="3" borderId="21" xfId="2453" applyFont="1" applyFill="1" applyBorder="1" applyAlignment="1">
      <alignment horizontal="center" vertical="center"/>
    </xf>
    <xf numFmtId="0" fontId="102" fillId="3" borderId="12" xfId="2453" applyFont="1" applyFill="1" applyBorder="1" applyAlignment="1">
      <alignment horizontal="center" vertical="center"/>
    </xf>
    <xf numFmtId="0" fontId="102" fillId="3" borderId="17" xfId="2453" applyFont="1" applyFill="1" applyBorder="1" applyAlignment="1">
      <alignment horizontal="center" vertical="center"/>
    </xf>
    <xf numFmtId="0" fontId="102" fillId="3" borderId="18" xfId="2453" applyFont="1" applyFill="1" applyBorder="1" applyAlignment="1">
      <alignment horizontal="center" vertical="center"/>
    </xf>
    <xf numFmtId="0" fontId="28" fillId="0" borderId="37" xfId="2450" applyFont="1" applyBorder="1" applyAlignment="1">
      <alignment horizontal="left" vertical="center" wrapText="1"/>
    </xf>
    <xf numFmtId="0" fontId="102" fillId="0" borderId="10" xfId="2450" applyFont="1" applyBorder="1" applyAlignment="1">
      <alignment horizontal="center" vertical="center" wrapText="1"/>
    </xf>
    <xf numFmtId="0" fontId="102" fillId="0" borderId="47" xfId="2450" applyFont="1" applyBorder="1" applyAlignment="1">
      <alignment horizontal="center" vertical="center"/>
    </xf>
    <xf numFmtId="0" fontId="102" fillId="0" borderId="49" xfId="2450" applyFont="1" applyBorder="1" applyAlignment="1">
      <alignment horizontal="center" vertical="center"/>
    </xf>
    <xf numFmtId="0" fontId="102" fillId="0" borderId="55" xfId="2450" applyFont="1" applyBorder="1" applyAlignment="1">
      <alignment horizontal="center" vertical="center"/>
    </xf>
    <xf numFmtId="0" fontId="102" fillId="0" borderId="5" xfId="2450" applyFont="1" applyBorder="1" applyAlignment="1">
      <alignment horizontal="center" vertical="center"/>
    </xf>
    <xf numFmtId="0" fontId="102" fillId="0" borderId="34" xfId="2450" applyFont="1" applyBorder="1" applyAlignment="1">
      <alignment horizontal="center" vertical="center"/>
    </xf>
    <xf numFmtId="0" fontId="28" fillId="0" borderId="7" xfId="2450" applyFont="1" applyBorder="1" applyAlignment="1">
      <alignment horizontal="left" vertical="center"/>
    </xf>
    <xf numFmtId="0" fontId="27" fillId="3" borderId="12" xfId="2450" applyFont="1" applyFill="1" applyBorder="1" applyAlignment="1">
      <alignment horizontal="center" vertical="center"/>
    </xf>
    <xf numFmtId="0" fontId="28" fillId="0" borderId="9" xfId="2450" applyFont="1" applyBorder="1" applyAlignment="1">
      <alignment horizontal="left" vertical="center"/>
    </xf>
    <xf numFmtId="0" fontId="28" fillId="0" borderId="4" xfId="2450" applyFont="1" applyBorder="1" applyAlignment="1">
      <alignment horizontal="left" vertical="center"/>
    </xf>
    <xf numFmtId="176" fontId="28" fillId="0" borderId="25" xfId="2452" applyNumberFormat="1" applyFont="1" applyBorder="1" applyAlignment="1">
      <alignment horizontal="center" vertical="center"/>
    </xf>
    <xf numFmtId="177" fontId="26" fillId="5" borderId="26" xfId="2452" applyNumberFormat="1" applyFont="1" applyFill="1" applyBorder="1" applyAlignment="1">
      <alignment horizontal="center" vertical="center"/>
    </xf>
    <xf numFmtId="177" fontId="26" fillId="5" borderId="58" xfId="2452" applyNumberFormat="1" applyFont="1" applyFill="1" applyBorder="1" applyAlignment="1">
      <alignment horizontal="center" vertical="center"/>
    </xf>
    <xf numFmtId="177" fontId="26" fillId="5" borderId="24" xfId="2452" applyNumberFormat="1" applyFont="1" applyFill="1" applyBorder="1" applyAlignment="1">
      <alignment horizontal="center" vertical="center"/>
    </xf>
    <xf numFmtId="176" fontId="100" fillId="5" borderId="65" xfId="2452" applyNumberFormat="1" applyFont="1" applyFill="1" applyBorder="1" applyAlignment="1">
      <alignment horizontal="center" vertical="center"/>
    </xf>
    <xf numFmtId="176" fontId="100" fillId="5" borderId="82" xfId="2452" applyNumberFormat="1" applyFont="1" applyFill="1" applyBorder="1" applyAlignment="1">
      <alignment horizontal="center" vertical="center"/>
    </xf>
    <xf numFmtId="177" fontId="106" fillId="4" borderId="67" xfId="2452" applyNumberFormat="1" applyFont="1" applyFill="1" applyBorder="1" applyAlignment="1">
      <alignment horizontal="center" vertical="center"/>
    </xf>
    <xf numFmtId="177" fontId="106" fillId="4" borderId="56" xfId="2452" applyNumberFormat="1" applyFont="1" applyFill="1" applyBorder="1" applyAlignment="1">
      <alignment horizontal="center" vertical="center"/>
    </xf>
    <xf numFmtId="176" fontId="28" fillId="0" borderId="56" xfId="2452" applyNumberFormat="1" applyFont="1" applyBorder="1" applyAlignment="1">
      <alignment horizontal="center" vertical="center"/>
    </xf>
    <xf numFmtId="176" fontId="28" fillId="0" borderId="24" xfId="2452" applyNumberFormat="1" applyFont="1" applyBorder="1" applyAlignment="1">
      <alignment horizontal="center" vertical="center"/>
    </xf>
    <xf numFmtId="177" fontId="100" fillId="3" borderId="26" xfId="2452" applyNumberFormat="1" applyFont="1" applyFill="1" applyBorder="1" applyAlignment="1">
      <alignment horizontal="center" vertical="center"/>
    </xf>
    <xf numFmtId="177" fontId="100" fillId="3" borderId="58" xfId="2452" applyNumberFormat="1" applyFont="1" applyFill="1" applyBorder="1" applyAlignment="1">
      <alignment horizontal="center" vertical="center"/>
    </xf>
    <xf numFmtId="177" fontId="100" fillId="3" borderId="24" xfId="2452" applyNumberFormat="1" applyFont="1" applyFill="1" applyBorder="1" applyAlignment="1">
      <alignment horizontal="center" vertical="center"/>
    </xf>
    <xf numFmtId="177" fontId="26" fillId="3" borderId="6" xfId="2452" applyNumberFormat="1" applyFont="1" applyFill="1" applyBorder="1" applyAlignment="1">
      <alignment horizontal="center" vertical="center"/>
    </xf>
    <xf numFmtId="177" fontId="26" fillId="3" borderId="3" xfId="2452" applyNumberFormat="1" applyFont="1" applyFill="1" applyBorder="1" applyAlignment="1">
      <alignment horizontal="center" vertical="center"/>
    </xf>
    <xf numFmtId="176" fontId="28" fillId="5" borderId="66" xfId="2452" applyNumberFormat="1" applyFont="1" applyFill="1" applyBorder="1" applyAlignment="1">
      <alignment horizontal="center" vertical="center"/>
    </xf>
    <xf numFmtId="176" fontId="28" fillId="5" borderId="82" xfId="2452" applyNumberFormat="1" applyFont="1" applyFill="1" applyBorder="1" applyAlignment="1">
      <alignment horizontal="center" vertical="center"/>
    </xf>
    <xf numFmtId="177" fontId="36" fillId="4" borderId="67" xfId="2452" applyNumberFormat="1" applyFont="1" applyFill="1" applyBorder="1" applyAlignment="1">
      <alignment horizontal="center" vertical="center"/>
    </xf>
    <xf numFmtId="177" fontId="36" fillId="4" borderId="52" xfId="2452" applyNumberFormat="1" applyFont="1" applyFill="1" applyBorder="1" applyAlignment="1">
      <alignment horizontal="center" vertical="center"/>
    </xf>
    <xf numFmtId="176" fontId="28" fillId="0" borderId="9" xfId="2452" applyNumberFormat="1" applyFont="1" applyBorder="1" applyAlignment="1">
      <alignment horizontal="center" vertical="center"/>
    </xf>
    <xf numFmtId="176" fontId="28" fillId="2" borderId="30" xfId="2452" applyNumberFormat="1" applyFont="1" applyFill="1" applyBorder="1" applyAlignment="1">
      <alignment horizontal="center" vertical="center"/>
    </xf>
    <xf numFmtId="176" fontId="28" fillId="2" borderId="15" xfId="2452" applyNumberFormat="1" applyFont="1" applyFill="1" applyBorder="1" applyAlignment="1">
      <alignment horizontal="center" vertical="center"/>
    </xf>
    <xf numFmtId="177" fontId="36" fillId="4" borderId="46" xfId="2452" applyNumberFormat="1" applyFont="1" applyFill="1" applyBorder="1" applyAlignment="1">
      <alignment horizontal="center" vertical="center"/>
    </xf>
    <xf numFmtId="177" fontId="36" fillId="4" borderId="51" xfId="2452" applyNumberFormat="1" applyFont="1" applyFill="1" applyBorder="1" applyAlignment="1">
      <alignment horizontal="center" vertical="center"/>
    </xf>
    <xf numFmtId="177" fontId="36" fillId="4" borderId="60" xfId="2452" applyNumberFormat="1" applyFont="1" applyFill="1" applyBorder="1" applyAlignment="1">
      <alignment horizontal="center" vertical="center"/>
    </xf>
    <xf numFmtId="176" fontId="28" fillId="0" borderId="8" xfId="2452" applyNumberFormat="1" applyFont="1" applyBorder="1" applyAlignment="1">
      <alignment horizontal="center" vertical="center"/>
    </xf>
    <xf numFmtId="176" fontId="28" fillId="2" borderId="33" xfId="2452" applyNumberFormat="1" applyFont="1" applyFill="1" applyBorder="1" applyAlignment="1">
      <alignment horizontal="center" vertical="center"/>
    </xf>
    <xf numFmtId="176" fontId="28" fillId="2" borderId="28" xfId="2452" applyNumberFormat="1" applyFont="1" applyFill="1" applyBorder="1" applyAlignment="1">
      <alignment horizontal="center" vertical="center"/>
    </xf>
    <xf numFmtId="177" fontId="26" fillId="3" borderId="26" xfId="2452" applyNumberFormat="1" applyFont="1" applyFill="1" applyBorder="1" applyAlignment="1">
      <alignment horizontal="center" vertical="center"/>
    </xf>
    <xf numFmtId="177" fontId="26" fillId="3" borderId="58" xfId="2452" applyNumberFormat="1" applyFont="1" applyFill="1" applyBorder="1" applyAlignment="1">
      <alignment horizontal="center" vertical="center"/>
    </xf>
    <xf numFmtId="177" fontId="26" fillId="3" borderId="24" xfId="2452" applyNumberFormat="1" applyFont="1" applyFill="1" applyBorder="1" applyAlignment="1">
      <alignment horizontal="center" vertical="center"/>
    </xf>
    <xf numFmtId="176" fontId="28" fillId="5" borderId="65" xfId="2452" applyNumberFormat="1" applyFont="1" applyFill="1" applyBorder="1" applyAlignment="1">
      <alignment horizontal="center" vertical="center"/>
    </xf>
    <xf numFmtId="176" fontId="28" fillId="5" borderId="65" xfId="2452" applyNumberFormat="1" applyFont="1" applyFill="1" applyBorder="1" applyAlignment="1">
      <alignment horizontal="center" vertical="center" wrapText="1"/>
    </xf>
    <xf numFmtId="176" fontId="28" fillId="5" borderId="66" xfId="2452" applyNumberFormat="1" applyFont="1" applyFill="1" applyBorder="1" applyAlignment="1">
      <alignment horizontal="center" vertical="center" wrapText="1"/>
    </xf>
    <xf numFmtId="176" fontId="28" fillId="5" borderId="82" xfId="2452" applyNumberFormat="1" applyFont="1" applyFill="1" applyBorder="1" applyAlignment="1">
      <alignment horizontal="center" vertical="center" wrapText="1"/>
    </xf>
    <xf numFmtId="176" fontId="28" fillId="0" borderId="48" xfId="2452" applyNumberFormat="1" applyFont="1" applyBorder="1" applyAlignment="1">
      <alignment horizontal="center" vertical="center"/>
    </xf>
    <xf numFmtId="176" fontId="28" fillId="2" borderId="14" xfId="2452" applyNumberFormat="1" applyFont="1" applyFill="1" applyBorder="1" applyAlignment="1">
      <alignment horizontal="center" vertical="center"/>
    </xf>
    <xf numFmtId="0" fontId="101" fillId="5" borderId="65" xfId="2450" applyFont="1" applyFill="1" applyBorder="1" applyAlignment="1">
      <alignment horizontal="center" vertical="center"/>
    </xf>
    <xf numFmtId="0" fontId="101" fillId="5" borderId="66" xfId="2450" applyFont="1" applyFill="1" applyBorder="1" applyAlignment="1">
      <alignment horizontal="center" vertical="center"/>
    </xf>
    <xf numFmtId="176" fontId="27" fillId="3" borderId="43" xfId="2452" applyNumberFormat="1" applyFont="1" applyFill="1" applyBorder="1" applyAlignment="1">
      <alignment horizontal="center" vertical="center" wrapText="1"/>
    </xf>
    <xf numFmtId="176" fontId="27" fillId="3" borderId="44" xfId="2452" applyNumberFormat="1" applyFont="1" applyFill="1" applyBorder="1" applyAlignment="1">
      <alignment horizontal="center" vertical="center" wrapText="1"/>
    </xf>
    <xf numFmtId="176" fontId="27" fillId="3" borderId="45" xfId="2452" applyNumberFormat="1" applyFont="1" applyFill="1" applyBorder="1" applyAlignment="1">
      <alignment horizontal="center" vertical="center" wrapText="1"/>
    </xf>
    <xf numFmtId="176" fontId="27" fillId="3" borderId="80" xfId="2452" applyNumberFormat="1" applyFont="1" applyFill="1" applyBorder="1" applyAlignment="1">
      <alignment horizontal="center" vertical="center" wrapText="1"/>
    </xf>
    <xf numFmtId="176" fontId="27" fillId="3" borderId="51" xfId="2452" applyNumberFormat="1" applyFont="1" applyFill="1" applyBorder="1" applyAlignment="1">
      <alignment horizontal="center" vertical="center" wrapText="1"/>
    </xf>
    <xf numFmtId="176" fontId="27" fillId="3" borderId="60" xfId="2452" applyNumberFormat="1" applyFont="1" applyFill="1" applyBorder="1" applyAlignment="1">
      <alignment horizontal="center" vertical="center" wrapText="1"/>
    </xf>
    <xf numFmtId="176" fontId="28" fillId="3" borderId="35" xfId="2450" applyNumberFormat="1" applyFont="1" applyFill="1" applyBorder="1" applyAlignment="1">
      <alignment horizontal="center" vertical="center" wrapText="1"/>
    </xf>
    <xf numFmtId="0" fontId="26" fillId="3" borderId="24" xfId="2450" applyFont="1" applyFill="1" applyBorder="1" applyAlignment="1">
      <alignment vertical="center"/>
    </xf>
    <xf numFmtId="176" fontId="28" fillId="3" borderId="7" xfId="2452" applyNumberFormat="1" applyFont="1" applyFill="1" applyBorder="1" applyAlignment="1">
      <alignment horizontal="center" vertical="center" wrapText="1"/>
    </xf>
    <xf numFmtId="9" fontId="28" fillId="8" borderId="30" xfId="2452" applyNumberFormat="1" applyFont="1" applyFill="1" applyBorder="1" applyAlignment="1">
      <alignment horizontal="center" vertical="center" wrapText="1"/>
    </xf>
    <xf numFmtId="9" fontId="28" fillId="8" borderId="33" xfId="2452" applyNumberFormat="1" applyFont="1" applyFill="1" applyBorder="1" applyAlignment="1">
      <alignment horizontal="center" vertical="center" wrapText="1"/>
    </xf>
    <xf numFmtId="176" fontId="28" fillId="8" borderId="68" xfId="2452" applyNumberFormat="1" applyFont="1" applyFill="1" applyBorder="1" applyAlignment="1">
      <alignment horizontal="center" vertical="center"/>
    </xf>
    <xf numFmtId="176" fontId="28" fillId="8" borderId="44" xfId="2452" applyNumberFormat="1" applyFont="1" applyFill="1" applyBorder="1" applyAlignment="1">
      <alignment horizontal="center" vertical="center"/>
    </xf>
    <xf numFmtId="176" fontId="28" fillId="8" borderId="69" xfId="2452" applyNumberFormat="1" applyFont="1" applyFill="1" applyBorder="1" applyAlignment="1">
      <alignment horizontal="center" vertical="center"/>
    </xf>
    <xf numFmtId="176" fontId="28" fillId="8" borderId="46" xfId="2452" applyNumberFormat="1" applyFont="1" applyFill="1" applyBorder="1" applyAlignment="1">
      <alignment horizontal="center" vertical="center"/>
    </xf>
    <xf numFmtId="176" fontId="28" fillId="8" borderId="51" xfId="2452" applyNumberFormat="1" applyFont="1" applyFill="1" applyBorder="1" applyAlignment="1">
      <alignment horizontal="center" vertical="center"/>
    </xf>
    <xf numFmtId="176" fontId="28" fillId="8" borderId="8" xfId="2452" applyNumberFormat="1" applyFont="1" applyFill="1" applyBorder="1" applyAlignment="1">
      <alignment horizontal="center" vertical="center"/>
    </xf>
    <xf numFmtId="9" fontId="28" fillId="8" borderId="31" xfId="2452" applyNumberFormat="1" applyFont="1" applyFill="1" applyBorder="1" applyAlignment="1">
      <alignment horizontal="center" vertical="center" wrapText="1"/>
    </xf>
    <xf numFmtId="9" fontId="28" fillId="8" borderId="20" xfId="2452" applyNumberFormat="1" applyFont="1" applyFill="1" applyBorder="1" applyAlignment="1">
      <alignment horizontal="center" vertical="center" wrapText="1"/>
    </xf>
    <xf numFmtId="176" fontId="28" fillId="3" borderId="65" xfId="2475" applyNumberFormat="1" applyFont="1" applyFill="1" applyBorder="1" applyAlignment="1">
      <alignment horizontal="center" vertical="center"/>
    </xf>
    <xf numFmtId="176" fontId="28" fillId="3" borderId="66" xfId="2475" applyNumberFormat="1" applyFont="1" applyFill="1" applyBorder="1" applyAlignment="1">
      <alignment horizontal="center" vertical="center"/>
    </xf>
    <xf numFmtId="176" fontId="28" fillId="3" borderId="82" xfId="2475" applyNumberFormat="1" applyFont="1" applyFill="1" applyBorder="1" applyAlignment="1">
      <alignment horizontal="center" vertical="center"/>
    </xf>
    <xf numFmtId="176" fontId="28" fillId="3" borderId="30" xfId="2475" applyNumberFormat="1" applyFont="1" applyFill="1" applyBorder="1" applyAlignment="1">
      <alignment horizontal="center" vertical="center" wrapText="1"/>
    </xf>
    <xf numFmtId="176" fontId="28" fillId="3" borderId="33" xfId="2475" applyNumberFormat="1" applyFont="1" applyFill="1" applyBorder="1" applyAlignment="1">
      <alignment horizontal="center" vertical="center" wrapText="1"/>
    </xf>
    <xf numFmtId="176" fontId="28" fillId="3" borderId="28" xfId="2475" applyNumberFormat="1" applyFont="1" applyFill="1" applyBorder="1" applyAlignment="1">
      <alignment horizontal="center" vertical="center" wrapText="1"/>
    </xf>
    <xf numFmtId="9" fontId="28" fillId="3" borderId="31" xfId="2452" applyNumberFormat="1" applyFont="1" applyFill="1" applyBorder="1" applyAlignment="1">
      <alignment horizontal="center" vertical="center"/>
    </xf>
    <xf numFmtId="9" fontId="28" fillId="3" borderId="20" xfId="2452" applyNumberFormat="1" applyFont="1" applyFill="1" applyBorder="1" applyAlignment="1">
      <alignment horizontal="center" vertical="center"/>
    </xf>
    <xf numFmtId="176" fontId="28" fillId="3" borderId="43" xfId="2452" applyNumberFormat="1" applyFont="1" applyFill="1" applyBorder="1" applyAlignment="1">
      <alignment horizontal="center" vertical="center"/>
    </xf>
    <xf numFmtId="176" fontId="28" fillId="3" borderId="69" xfId="2452" applyNumberFormat="1" applyFont="1" applyFill="1" applyBorder="1" applyAlignment="1">
      <alignment horizontal="center" vertical="center"/>
    </xf>
    <xf numFmtId="176" fontId="28" fillId="3" borderId="80" xfId="2452" applyNumberFormat="1" applyFont="1" applyFill="1" applyBorder="1" applyAlignment="1">
      <alignment horizontal="center" vertical="center"/>
    </xf>
    <xf numFmtId="176" fontId="28" fillId="3" borderId="8" xfId="2452" applyNumberFormat="1" applyFont="1" applyFill="1" applyBorder="1" applyAlignment="1">
      <alignment horizontal="center" vertical="center"/>
    </xf>
    <xf numFmtId="176" fontId="28" fillId="3" borderId="26" xfId="2452" applyNumberFormat="1" applyFont="1" applyFill="1" applyBorder="1" applyAlignment="1">
      <alignment horizontal="center" vertical="center"/>
    </xf>
    <xf numFmtId="176" fontId="28" fillId="3" borderId="58" xfId="2452" applyNumberFormat="1" applyFont="1" applyFill="1" applyBorder="1" applyAlignment="1">
      <alignment horizontal="center" vertical="center"/>
    </xf>
    <xf numFmtId="176" fontId="28" fillId="3" borderId="24" xfId="2452" applyNumberFormat="1" applyFont="1" applyFill="1" applyBorder="1" applyAlignment="1">
      <alignment horizontal="center" vertical="center"/>
    </xf>
    <xf numFmtId="176" fontId="28" fillId="3" borderId="31" xfId="2475" applyNumberFormat="1" applyFont="1" applyFill="1" applyBorder="1" applyAlignment="1">
      <alignment horizontal="center" vertical="center"/>
    </xf>
    <xf numFmtId="176" fontId="28" fillId="3" borderId="70" xfId="2475" applyNumberFormat="1" applyFont="1" applyFill="1" applyBorder="1" applyAlignment="1">
      <alignment horizontal="center" vertical="center"/>
    </xf>
    <xf numFmtId="176" fontId="28" fillId="3" borderId="81" xfId="2475" applyNumberFormat="1" applyFont="1" applyFill="1" applyBorder="1" applyAlignment="1">
      <alignment horizontal="center" vertical="center"/>
    </xf>
    <xf numFmtId="0" fontId="28" fillId="3" borderId="30" xfId="2450" applyFont="1" applyFill="1" applyBorder="1" applyAlignment="1">
      <alignment horizontal="center" vertical="center"/>
    </xf>
    <xf numFmtId="0" fontId="28" fillId="3" borderId="31" xfId="2450" applyFont="1" applyFill="1" applyBorder="1" applyAlignment="1">
      <alignment horizontal="center" vertical="center"/>
    </xf>
    <xf numFmtId="0" fontId="28" fillId="0" borderId="10" xfId="2450" applyFont="1" applyBorder="1" applyAlignment="1">
      <alignment horizontal="center" vertical="center"/>
    </xf>
    <xf numFmtId="0" fontId="28" fillId="0" borderId="47" xfId="2450" applyFont="1" applyBorder="1" applyAlignment="1">
      <alignment horizontal="center" vertical="center"/>
    </xf>
    <xf numFmtId="0" fontId="28" fillId="0" borderId="48" xfId="2450" applyFont="1" applyBorder="1" applyAlignment="1">
      <alignment horizontal="center" vertical="center"/>
    </xf>
    <xf numFmtId="0" fontId="28" fillId="0" borderId="47" xfId="2450" applyFont="1" applyFill="1" applyBorder="1" applyAlignment="1">
      <alignment horizontal="center" vertical="center"/>
    </xf>
    <xf numFmtId="0" fontId="28" fillId="0" borderId="49" xfId="2450" applyFont="1" applyFill="1" applyBorder="1" applyAlignment="1">
      <alignment horizontal="center" vertical="center"/>
    </xf>
    <xf numFmtId="0" fontId="28" fillId="2" borderId="30" xfId="2450" applyFont="1" applyFill="1" applyBorder="1" applyAlignment="1">
      <alignment horizontal="center" vertical="center"/>
    </xf>
    <xf numFmtId="0" fontId="28" fillId="2" borderId="31" xfId="2450" applyFont="1" applyFill="1" applyBorder="1" applyAlignment="1">
      <alignment horizontal="center" vertical="center"/>
    </xf>
    <xf numFmtId="0" fontId="28" fillId="0" borderId="68" xfId="2450" applyFont="1" applyBorder="1" applyAlignment="1">
      <alignment horizontal="center" vertical="center"/>
    </xf>
    <xf numFmtId="0" fontId="28" fillId="0" borderId="69" xfId="2450" applyFont="1" applyBorder="1" applyAlignment="1">
      <alignment horizontal="center" vertical="center"/>
    </xf>
    <xf numFmtId="0" fontId="28" fillId="0" borderId="36" xfId="2450" applyFont="1" applyBorder="1" applyAlignment="1">
      <alignment horizontal="center" vertical="center"/>
    </xf>
    <xf numFmtId="0" fontId="28" fillId="0" borderId="0" xfId="2450" applyFont="1" applyBorder="1" applyAlignment="1">
      <alignment horizontal="center" vertical="center"/>
    </xf>
    <xf numFmtId="0" fontId="28" fillId="0" borderId="35" xfId="2450" applyFont="1" applyBorder="1" applyAlignment="1">
      <alignment horizontal="center" vertical="center"/>
    </xf>
    <xf numFmtId="0" fontId="102" fillId="3" borderId="38" xfId="2450" applyFont="1" applyFill="1" applyBorder="1" applyAlignment="1">
      <alignment horizontal="center" vertical="center"/>
    </xf>
    <xf numFmtId="0" fontId="102" fillId="3" borderId="9" xfId="2450" applyFont="1" applyFill="1" applyBorder="1" applyAlignment="1">
      <alignment horizontal="center" vertical="center"/>
    </xf>
    <xf numFmtId="0" fontId="102" fillId="0" borderId="6" xfId="2450" applyFont="1" applyFill="1" applyBorder="1" applyAlignment="1">
      <alignment horizontal="center" vertical="center"/>
    </xf>
    <xf numFmtId="0" fontId="102" fillId="0" borderId="3" xfId="2450" applyFont="1" applyFill="1" applyBorder="1" applyAlignment="1">
      <alignment horizontal="center" vertical="center"/>
    </xf>
    <xf numFmtId="0" fontId="102" fillId="0" borderId="9" xfId="2450" applyFont="1" applyFill="1" applyBorder="1" applyAlignment="1">
      <alignment horizontal="center" vertical="center"/>
    </xf>
    <xf numFmtId="0" fontId="102" fillId="0" borderId="47" xfId="2450" applyFont="1" applyFill="1" applyBorder="1" applyAlignment="1">
      <alignment horizontal="center" vertical="center" wrapText="1"/>
    </xf>
    <xf numFmtId="0" fontId="28" fillId="0" borderId="47" xfId="2450" applyFont="1" applyFill="1" applyBorder="1" applyAlignment="1">
      <alignment horizontal="center" vertical="center" wrapText="1"/>
    </xf>
    <xf numFmtId="0" fontId="28" fillId="0" borderId="49" xfId="2450" applyFont="1" applyFill="1" applyBorder="1" applyAlignment="1">
      <alignment horizontal="center" vertical="center" wrapText="1"/>
    </xf>
    <xf numFmtId="0" fontId="102" fillId="0" borderId="24" xfId="2450" applyFont="1" applyFill="1" applyBorder="1" applyAlignment="1">
      <alignment horizontal="center" vertical="center"/>
    </xf>
    <xf numFmtId="0" fontId="28" fillId="2" borderId="55" xfId="2450" applyFont="1" applyFill="1" applyBorder="1" applyAlignment="1">
      <alignment horizontal="center" vertical="center"/>
    </xf>
    <xf numFmtId="0" fontId="28" fillId="2" borderId="5" xfId="2450" applyFont="1" applyFill="1" applyBorder="1" applyAlignment="1">
      <alignment horizontal="center" vertical="center"/>
    </xf>
    <xf numFmtId="0" fontId="28" fillId="0" borderId="55" xfId="2450" applyFont="1" applyBorder="1" applyAlignment="1">
      <alignment horizontal="center" vertical="center"/>
    </xf>
    <xf numFmtId="0" fontId="28" fillId="0" borderId="5" xfId="2450" applyFont="1" applyBorder="1" applyAlignment="1">
      <alignment horizontal="center" vertical="center"/>
    </xf>
    <xf numFmtId="0" fontId="28" fillId="0" borderId="50" xfId="2450" applyFont="1" applyBorder="1" applyAlignment="1">
      <alignment horizontal="center" vertical="center"/>
    </xf>
    <xf numFmtId="0" fontId="29" fillId="3" borderId="42" xfId="2450" applyFont="1" applyFill="1" applyBorder="1" applyAlignment="1">
      <alignment horizontal="center" vertical="center"/>
    </xf>
    <xf numFmtId="0" fontId="29" fillId="3" borderId="50" xfId="2450" applyFont="1" applyFill="1" applyBorder="1" applyAlignment="1">
      <alignment horizontal="center" vertical="center"/>
    </xf>
    <xf numFmtId="0" fontId="28" fillId="0" borderId="55" xfId="2450" applyFont="1" applyFill="1" applyBorder="1" applyAlignment="1">
      <alignment horizontal="center" vertical="center"/>
    </xf>
    <xf numFmtId="0" fontId="28" fillId="0" borderId="5" xfId="2450" applyFont="1" applyFill="1" applyBorder="1" applyAlignment="1">
      <alignment horizontal="center" vertical="center"/>
    </xf>
    <xf numFmtId="0" fontId="28" fillId="0" borderId="34" xfId="2450" applyFont="1" applyFill="1" applyBorder="1" applyAlignment="1">
      <alignment horizontal="center" vertical="center"/>
    </xf>
    <xf numFmtId="0" fontId="28" fillId="6" borderId="28" xfId="2450" applyFont="1" applyFill="1" applyBorder="1" applyAlignment="1">
      <alignment horizontal="center" vertical="center"/>
    </xf>
    <xf numFmtId="0" fontId="28" fillId="0" borderId="14" xfId="2450" applyFont="1" applyBorder="1" applyAlignment="1">
      <alignment horizontal="center" vertical="center"/>
    </xf>
    <xf numFmtId="0" fontId="28" fillId="3" borderId="6" xfId="2450" applyFont="1" applyFill="1" applyBorder="1" applyAlignment="1">
      <alignment horizontal="center" vertical="center"/>
    </xf>
    <xf numFmtId="0" fontId="28" fillId="3" borderId="58" xfId="2450" applyFont="1" applyFill="1" applyBorder="1" applyAlignment="1">
      <alignment horizontal="center" vertical="center"/>
    </xf>
    <xf numFmtId="183" fontId="28" fillId="0" borderId="14" xfId="2452" applyNumberFormat="1" applyFont="1" applyBorder="1" applyAlignment="1">
      <alignment horizontal="center" vertical="center"/>
    </xf>
    <xf numFmtId="183" fontId="28" fillId="0" borderId="15" xfId="2452" applyNumberFormat="1" applyFont="1" applyBorder="1" applyAlignment="1">
      <alignment horizontal="center" vertical="center"/>
    </xf>
    <xf numFmtId="183" fontId="28" fillId="0" borderId="28" xfId="2452" applyNumberFormat="1" applyFont="1" applyBorder="1" applyAlignment="1">
      <alignment horizontal="center" vertical="center"/>
    </xf>
    <xf numFmtId="177" fontId="36" fillId="4" borderId="38" xfId="2452" applyNumberFormat="1" applyFont="1" applyFill="1" applyBorder="1" applyAlignment="1">
      <alignment horizontal="center" vertical="center"/>
    </xf>
    <xf numFmtId="177" fontId="36" fillId="4" borderId="22" xfId="2452" applyNumberFormat="1" applyFont="1" applyFill="1" applyBorder="1" applyAlignment="1">
      <alignment horizontal="center" vertical="center"/>
    </xf>
    <xf numFmtId="183" fontId="28" fillId="0" borderId="62" xfId="2463" applyNumberFormat="1" applyFont="1" applyBorder="1" applyAlignment="1">
      <alignment horizontal="center" vertical="center"/>
    </xf>
    <xf numFmtId="183" fontId="28" fillId="0" borderId="82" xfId="2463" applyNumberFormat="1" applyFont="1" applyBorder="1" applyAlignment="1">
      <alignment horizontal="center" vertical="center"/>
    </xf>
    <xf numFmtId="183" fontId="28" fillId="0" borderId="14" xfId="2452" applyNumberFormat="1" applyFont="1" applyFill="1" applyBorder="1" applyAlignment="1">
      <alignment horizontal="center" vertical="center"/>
    </xf>
    <xf numFmtId="183" fontId="28" fillId="0" borderId="28" xfId="2452" applyNumberFormat="1" applyFont="1" applyFill="1" applyBorder="1" applyAlignment="1">
      <alignment horizontal="center" vertical="center"/>
    </xf>
    <xf numFmtId="183" fontId="28" fillId="0" borderId="19" xfId="2463" applyNumberFormat="1" applyFont="1" applyBorder="1" applyAlignment="1">
      <alignment horizontal="center" vertical="center"/>
    </xf>
    <xf numFmtId="183" fontId="28" fillId="0" borderId="15" xfId="2452" applyNumberFormat="1" applyFont="1" applyFill="1" applyBorder="1" applyAlignment="1">
      <alignment horizontal="center" vertical="center"/>
    </xf>
    <xf numFmtId="183" fontId="28" fillId="0" borderId="30" xfId="2452" applyNumberFormat="1" applyFont="1" applyFill="1" applyBorder="1" applyAlignment="1">
      <alignment horizontal="center" vertical="center"/>
    </xf>
    <xf numFmtId="183" fontId="28" fillId="0" borderId="30" xfId="2452" applyNumberFormat="1" applyFont="1" applyBorder="1" applyAlignment="1">
      <alignment horizontal="center" vertical="center"/>
    </xf>
    <xf numFmtId="183" fontId="28" fillId="0" borderId="30" xfId="2463" applyNumberFormat="1" applyFont="1" applyBorder="1" applyAlignment="1">
      <alignment horizontal="center" vertical="center"/>
    </xf>
    <xf numFmtId="183" fontId="28" fillId="0" borderId="15" xfId="2463" applyNumberFormat="1" applyFont="1" applyBorder="1" applyAlignment="1">
      <alignment horizontal="center" vertical="center"/>
    </xf>
    <xf numFmtId="176" fontId="28" fillId="3" borderId="65" xfId="0" applyNumberFormat="1" applyFont="1" applyFill="1" applyBorder="1" applyAlignment="1">
      <alignment horizontal="center" vertical="center" wrapText="1"/>
    </xf>
    <xf numFmtId="176" fontId="28" fillId="3" borderId="82" xfId="0" applyNumberFormat="1" applyFont="1" applyFill="1" applyBorder="1" applyAlignment="1">
      <alignment horizontal="center" vertical="center" wrapText="1"/>
    </xf>
    <xf numFmtId="176" fontId="28" fillId="3" borderId="52" xfId="2452" applyNumberFormat="1" applyFont="1" applyFill="1" applyBorder="1" applyAlignment="1">
      <alignment horizontal="center" vertical="center"/>
    </xf>
    <xf numFmtId="176" fontId="36" fillId="4" borderId="57" xfId="2452" applyNumberFormat="1" applyFont="1" applyFill="1" applyBorder="1" applyAlignment="1">
      <alignment horizontal="center" vertical="center"/>
    </xf>
    <xf numFmtId="176" fontId="36" fillId="4" borderId="52" xfId="2452" applyNumberFormat="1" applyFont="1" applyFill="1" applyBorder="1" applyAlignment="1">
      <alignment horizontal="center" vertical="center"/>
    </xf>
    <xf numFmtId="183" fontId="28" fillId="0" borderId="65" xfId="2463" applyNumberFormat="1" applyFont="1" applyBorder="1" applyAlignment="1">
      <alignment horizontal="center" vertical="center"/>
    </xf>
    <xf numFmtId="176" fontId="146" fillId="4" borderId="38" xfId="2452" applyNumberFormat="1" applyFont="1" applyFill="1" applyBorder="1" applyAlignment="1">
      <alignment horizontal="center" vertical="center"/>
    </xf>
    <xf numFmtId="176" fontId="146" fillId="4" borderId="22" xfId="2452" applyNumberFormat="1" applyFont="1" applyFill="1" applyBorder="1" applyAlignment="1">
      <alignment horizontal="center" vertical="center"/>
    </xf>
    <xf numFmtId="183" fontId="28" fillId="0" borderId="66" xfId="2463" applyNumberFormat="1" applyFont="1" applyBorder="1" applyAlignment="1">
      <alignment horizontal="center" vertical="center"/>
    </xf>
    <xf numFmtId="183" fontId="28" fillId="0" borderId="30" xfId="2463" applyNumberFormat="1" applyFont="1" applyFill="1" applyBorder="1" applyAlignment="1">
      <alignment horizontal="center" vertical="center"/>
    </xf>
    <xf numFmtId="183" fontId="28" fillId="0" borderId="15" xfId="2463" applyNumberFormat="1" applyFont="1" applyFill="1" applyBorder="1" applyAlignment="1">
      <alignment horizontal="center" vertical="center"/>
    </xf>
    <xf numFmtId="0" fontId="116" fillId="4" borderId="100" xfId="2450" applyFont="1" applyFill="1" applyBorder="1" applyAlignment="1">
      <alignment horizontal="center" vertical="center"/>
    </xf>
    <xf numFmtId="0" fontId="119" fillId="3" borderId="32" xfId="2453" applyFont="1" applyFill="1" applyBorder="1" applyAlignment="1">
      <alignment horizontal="center" vertical="center"/>
    </xf>
    <xf numFmtId="0" fontId="119" fillId="3" borderId="16" xfId="2453" applyFont="1" applyFill="1" applyBorder="1" applyAlignment="1">
      <alignment horizontal="center" vertical="center"/>
    </xf>
    <xf numFmtId="0" fontId="119" fillId="3" borderId="56" xfId="2453" applyFont="1" applyFill="1" applyBorder="1" applyAlignment="1">
      <alignment horizontal="center" vertical="center"/>
    </xf>
    <xf numFmtId="0" fontId="119" fillId="3" borderId="25" xfId="2453" applyFont="1" applyFill="1" applyBorder="1" applyAlignment="1">
      <alignment horizontal="center" vertical="center"/>
    </xf>
    <xf numFmtId="0" fontId="119" fillId="5" borderId="21" xfId="2450" applyFont="1" applyFill="1" applyBorder="1" applyAlignment="1">
      <alignment horizontal="center" vertical="center"/>
    </xf>
    <xf numFmtId="0" fontId="119" fillId="5" borderId="12" xfId="2450" applyFont="1" applyFill="1" applyBorder="1" applyAlignment="1">
      <alignment horizontal="center" vertical="center"/>
    </xf>
    <xf numFmtId="0" fontId="117" fillId="6" borderId="3" xfId="2453" applyFont="1" applyFill="1" applyBorder="1" applyAlignment="1">
      <alignment vertical="center" wrapText="1"/>
    </xf>
    <xf numFmtId="0" fontId="117" fillId="6" borderId="3" xfId="2453" applyFont="1" applyFill="1" applyBorder="1" applyAlignment="1">
      <alignment vertical="center"/>
    </xf>
    <xf numFmtId="0" fontId="117" fillId="6" borderId="9" xfId="2453" applyFont="1" applyFill="1" applyBorder="1" applyAlignment="1">
      <alignment vertical="center"/>
    </xf>
    <xf numFmtId="0" fontId="117" fillId="0" borderId="4" xfId="2453" applyFont="1" applyFill="1" applyBorder="1" applyAlignment="1">
      <alignment horizontal="center" vertical="center"/>
    </xf>
    <xf numFmtId="0" fontId="117" fillId="0" borderId="12" xfId="2453" applyFont="1" applyFill="1" applyBorder="1" applyAlignment="1">
      <alignment horizontal="center" vertical="center"/>
    </xf>
    <xf numFmtId="0" fontId="119" fillId="5" borderId="17" xfId="2453" applyFont="1" applyFill="1" applyBorder="1" applyAlignment="1">
      <alignment horizontal="center" vertical="center"/>
    </xf>
    <xf numFmtId="0" fontId="119" fillId="5" borderId="18" xfId="2453" applyFont="1" applyFill="1" applyBorder="1" applyAlignment="1">
      <alignment horizontal="center" vertical="center"/>
    </xf>
    <xf numFmtId="0" fontId="117" fillId="6" borderId="24" xfId="2453" applyFont="1" applyFill="1" applyBorder="1" applyAlignment="1">
      <alignment vertical="center"/>
    </xf>
    <xf numFmtId="0" fontId="117" fillId="6" borderId="7" xfId="2453" applyFont="1" applyFill="1" applyBorder="1" applyAlignment="1">
      <alignment vertical="center"/>
    </xf>
    <xf numFmtId="0" fontId="117" fillId="0" borderId="7" xfId="2453" applyFont="1" applyFill="1" applyBorder="1" applyAlignment="1">
      <alignment horizontal="center" vertical="center"/>
    </xf>
    <xf numFmtId="0" fontId="117" fillId="0" borderId="18" xfId="2453" applyFont="1" applyFill="1" applyBorder="1" applyAlignment="1">
      <alignment horizontal="center" vertical="center"/>
    </xf>
    <xf numFmtId="0" fontId="119" fillId="3" borderId="29" xfId="2453" applyFont="1" applyFill="1" applyBorder="1" applyAlignment="1">
      <alignment horizontal="center" vertical="center"/>
    </xf>
    <xf numFmtId="0" fontId="119" fillId="3" borderId="67" xfId="2453" applyFont="1" applyFill="1" applyBorder="1" applyAlignment="1">
      <alignment horizontal="center" vertical="center"/>
    </xf>
    <xf numFmtId="0" fontId="119" fillId="3" borderId="52" xfId="2453" applyFont="1" applyFill="1" applyBorder="1" applyAlignment="1">
      <alignment horizontal="center" vertical="center"/>
    </xf>
    <xf numFmtId="0" fontId="117" fillId="0" borderId="24" xfId="2453" applyFont="1" applyFill="1" applyBorder="1" applyAlignment="1">
      <alignment horizontal="left" vertical="center"/>
    </xf>
    <xf numFmtId="0" fontId="117" fillId="0" borderId="7" xfId="2453" applyFont="1" applyFill="1" applyBorder="1" applyAlignment="1">
      <alignment horizontal="left" vertical="center"/>
    </xf>
    <xf numFmtId="0" fontId="117" fillId="0" borderId="26" xfId="2453" applyFont="1" applyFill="1" applyBorder="1" applyAlignment="1">
      <alignment horizontal="center" vertical="center"/>
    </xf>
    <xf numFmtId="0" fontId="117" fillId="0" borderId="58" xfId="2453" applyFont="1" applyFill="1" applyBorder="1" applyAlignment="1">
      <alignment horizontal="center" vertical="center"/>
    </xf>
    <xf numFmtId="0" fontId="117" fillId="0" borderId="23" xfId="2453" applyFont="1" applyFill="1" applyBorder="1" applyAlignment="1">
      <alignment horizontal="center" vertical="center"/>
    </xf>
    <xf numFmtId="0" fontId="119" fillId="5" borderId="21" xfId="2453" applyFont="1" applyFill="1" applyBorder="1" applyAlignment="1">
      <alignment horizontal="center" vertical="center"/>
    </xf>
    <xf numFmtId="0" fontId="119" fillId="5" borderId="12" xfId="2453" applyFont="1" applyFill="1" applyBorder="1" applyAlignment="1">
      <alignment horizontal="center" vertical="center"/>
    </xf>
    <xf numFmtId="0" fontId="117" fillId="2" borderId="9" xfId="2453" applyFont="1" applyFill="1" applyBorder="1" applyAlignment="1">
      <alignment horizontal="left" vertical="center"/>
    </xf>
    <xf numFmtId="0" fontId="117" fillId="2" borderId="4" xfId="2453" applyFont="1" applyFill="1" applyBorder="1" applyAlignment="1">
      <alignment horizontal="left" vertical="center"/>
    </xf>
    <xf numFmtId="0" fontId="117" fillId="2" borderId="6" xfId="2453" applyFont="1" applyFill="1" applyBorder="1" applyAlignment="1">
      <alignment horizontal="center" vertical="center"/>
    </xf>
    <xf numFmtId="0" fontId="117" fillId="2" borderId="3" xfId="2453" applyFont="1" applyFill="1" applyBorder="1" applyAlignment="1">
      <alignment horizontal="center" vertical="center"/>
    </xf>
    <xf numFmtId="0" fontId="117" fillId="2" borderId="22" xfId="2453" applyFont="1" applyFill="1" applyBorder="1" applyAlignment="1">
      <alignment horizontal="center" vertical="center"/>
    </xf>
    <xf numFmtId="0" fontId="139" fillId="3" borderId="17" xfId="2453" applyFont="1" applyFill="1" applyBorder="1" applyAlignment="1">
      <alignment horizontal="center" vertical="center"/>
    </xf>
    <xf numFmtId="0" fontId="139" fillId="3" borderId="18" xfId="2453" applyFont="1" applyFill="1" applyBorder="1" applyAlignment="1">
      <alignment horizontal="center" vertical="center"/>
    </xf>
    <xf numFmtId="0" fontId="139" fillId="0" borderId="24" xfId="2453" applyFont="1" applyFill="1" applyBorder="1" applyAlignment="1">
      <alignment horizontal="left" vertical="center" wrapText="1"/>
    </xf>
    <xf numFmtId="0" fontId="139" fillId="0" borderId="7" xfId="2453" applyFont="1" applyFill="1" applyBorder="1" applyAlignment="1">
      <alignment horizontal="left" vertical="center" wrapText="1"/>
    </xf>
    <xf numFmtId="0" fontId="139" fillId="0" borderId="7" xfId="2453" applyFont="1" applyFill="1" applyBorder="1" applyAlignment="1">
      <alignment horizontal="center" vertical="center" wrapText="1"/>
    </xf>
    <xf numFmtId="0" fontId="139" fillId="0" borderId="18" xfId="2453" applyFont="1" applyFill="1" applyBorder="1" applyAlignment="1">
      <alignment horizontal="center" vertical="center" wrapText="1"/>
    </xf>
    <xf numFmtId="0" fontId="27" fillId="3" borderId="30" xfId="2450" applyFont="1" applyFill="1" applyBorder="1" applyAlignment="1">
      <alignment horizontal="center" vertical="center"/>
    </xf>
    <xf numFmtId="0" fontId="117" fillId="6" borderId="9" xfId="2453" applyFont="1" applyFill="1" applyBorder="1" applyAlignment="1">
      <alignment horizontal="left" vertical="center"/>
    </xf>
    <xf numFmtId="0" fontId="117" fillId="6" borderId="4" xfId="2453" applyFont="1" applyFill="1" applyBorder="1" applyAlignment="1">
      <alignment horizontal="left" vertical="center"/>
    </xf>
    <xf numFmtId="0" fontId="117" fillId="6" borderId="6" xfId="2453" applyFont="1" applyFill="1" applyBorder="1" applyAlignment="1">
      <alignment horizontal="left" vertical="center"/>
    </xf>
    <xf numFmtId="0" fontId="117" fillId="0" borderId="9" xfId="2453" applyFont="1" applyFill="1" applyBorder="1" applyAlignment="1">
      <alignment horizontal="center" vertical="center"/>
    </xf>
    <xf numFmtId="0" fontId="27" fillId="3" borderId="26" xfId="2453" applyFont="1" applyFill="1" applyBorder="1" applyAlignment="1">
      <alignment horizontal="center" vertical="center"/>
    </xf>
    <xf numFmtId="0" fontId="117" fillId="6" borderId="9" xfId="2453" applyFont="1" applyFill="1" applyBorder="1" applyAlignment="1">
      <alignment horizontal="left" vertical="center" wrapText="1"/>
    </xf>
    <xf numFmtId="0" fontId="117" fillId="6" borderId="4" xfId="2453" applyFont="1" applyFill="1" applyBorder="1" applyAlignment="1">
      <alignment horizontal="left" vertical="center" wrapText="1"/>
    </xf>
    <xf numFmtId="0" fontId="117" fillId="6" borderId="6" xfId="2453" applyFont="1" applyFill="1" applyBorder="1" applyAlignment="1">
      <alignment horizontal="left" vertical="center" wrapText="1"/>
    </xf>
    <xf numFmtId="0" fontId="27" fillId="3" borderId="19" xfId="2450" applyFont="1" applyFill="1" applyBorder="1" applyAlignment="1">
      <alignment horizontal="center" vertical="center"/>
    </xf>
    <xf numFmtId="0" fontId="27" fillId="3" borderId="15" xfId="2450" applyFont="1" applyFill="1" applyBorder="1" applyAlignment="1">
      <alignment horizontal="center" vertical="center"/>
    </xf>
    <xf numFmtId="0" fontId="117" fillId="0" borderId="9" xfId="2453" applyFont="1" applyFill="1" applyBorder="1" applyAlignment="1">
      <alignment horizontal="center" vertical="center" wrapText="1"/>
    </xf>
    <xf numFmtId="0" fontId="117" fillId="0" borderId="4" xfId="2453" applyFont="1" applyFill="1" applyBorder="1" applyAlignment="1">
      <alignment horizontal="center" vertical="center" wrapText="1"/>
    </xf>
    <xf numFmtId="0" fontId="117" fillId="0" borderId="12" xfId="2453" applyFont="1" applyFill="1" applyBorder="1" applyAlignment="1">
      <alignment horizontal="center" vertical="center" wrapText="1"/>
    </xf>
    <xf numFmtId="9" fontId="28" fillId="0" borderId="12" xfId="2450" applyNumberFormat="1" applyFont="1" applyFill="1" applyBorder="1" applyAlignment="1">
      <alignment horizontal="center" vertical="center"/>
    </xf>
    <xf numFmtId="9" fontId="28" fillId="0" borderId="27" xfId="2450" applyNumberFormat="1" applyFont="1" applyFill="1" applyBorder="1" applyAlignment="1">
      <alignment horizontal="center" vertical="center"/>
    </xf>
    <xf numFmtId="9" fontId="117" fillId="0" borderId="14" xfId="2453" applyNumberFormat="1" applyFont="1" applyFill="1" applyBorder="1" applyAlignment="1">
      <alignment horizontal="center" vertical="center"/>
    </xf>
    <xf numFmtId="0" fontId="27" fillId="3" borderId="20" xfId="2450" applyFont="1" applyFill="1" applyBorder="1" applyAlignment="1">
      <alignment horizontal="center" vertical="center"/>
    </xf>
    <xf numFmtId="0" fontId="119" fillId="5" borderId="21" xfId="2453" applyFont="1" applyFill="1" applyBorder="1" applyAlignment="1">
      <alignment horizontal="center" vertical="center" wrapText="1"/>
    </xf>
    <xf numFmtId="0" fontId="119" fillId="5" borderId="12" xfId="2453" applyFont="1" applyFill="1" applyBorder="1" applyAlignment="1">
      <alignment horizontal="center" vertical="center" wrapText="1"/>
    </xf>
    <xf numFmtId="0" fontId="119" fillId="5" borderId="32" xfId="2453" applyFont="1" applyFill="1" applyBorder="1" applyAlignment="1">
      <alignment horizontal="center" vertical="center" wrapText="1"/>
    </xf>
    <xf numFmtId="0" fontId="119" fillId="5" borderId="15" xfId="2453" applyFont="1" applyFill="1" applyBorder="1" applyAlignment="1">
      <alignment horizontal="center" vertical="center" wrapText="1"/>
    </xf>
    <xf numFmtId="0" fontId="119" fillId="5" borderId="7" xfId="2453" applyFont="1" applyFill="1" applyBorder="1" applyAlignment="1">
      <alignment horizontal="center" vertical="center"/>
    </xf>
    <xf numFmtId="0" fontId="117" fillId="6" borderId="15" xfId="2453" applyFont="1" applyFill="1" applyBorder="1" applyAlignment="1">
      <alignment horizontal="left" vertical="center" wrapText="1"/>
    </xf>
    <xf numFmtId="0" fontId="117" fillId="6" borderId="14" xfId="2453" applyFont="1" applyFill="1" applyBorder="1" applyAlignment="1">
      <alignment horizontal="left" vertical="center" wrapText="1"/>
    </xf>
    <xf numFmtId="0" fontId="117" fillId="6" borderId="37" xfId="2453" applyFont="1" applyFill="1" applyBorder="1" applyAlignment="1">
      <alignment horizontal="center" vertical="center" wrapText="1"/>
    </xf>
    <xf numFmtId="0" fontId="117" fillId="6" borderId="47" xfId="2453" applyFont="1" applyFill="1" applyBorder="1" applyAlignment="1">
      <alignment horizontal="center" vertical="center" wrapText="1"/>
    </xf>
    <xf numFmtId="0" fontId="117" fillId="6" borderId="80" xfId="2453" applyFont="1" applyFill="1" applyBorder="1" applyAlignment="1">
      <alignment horizontal="center" vertical="center" wrapText="1"/>
    </xf>
    <xf numFmtId="0" fontId="117" fillId="6" borderId="51" xfId="2453" applyFont="1" applyFill="1" applyBorder="1" applyAlignment="1">
      <alignment horizontal="center" vertical="center" wrapText="1"/>
    </xf>
    <xf numFmtId="0" fontId="120" fillId="5" borderId="57" xfId="2450" applyFont="1" applyFill="1" applyBorder="1" applyAlignment="1">
      <alignment horizontal="center" vertical="center"/>
    </xf>
    <xf numFmtId="0" fontId="120" fillId="5" borderId="56" xfId="2450" applyFont="1" applyFill="1" applyBorder="1" applyAlignment="1">
      <alignment horizontal="center" vertical="center"/>
    </xf>
    <xf numFmtId="0" fontId="120" fillId="5" borderId="42" xfId="2450" applyFont="1" applyFill="1" applyBorder="1" applyAlignment="1">
      <alignment horizontal="center" vertical="center"/>
    </xf>
    <xf numFmtId="0" fontId="120" fillId="5" borderId="50" xfId="2450" applyFont="1" applyFill="1" applyBorder="1" applyAlignment="1">
      <alignment horizontal="center" vertical="center"/>
    </xf>
    <xf numFmtId="0" fontId="117" fillId="0" borderId="38" xfId="2453" applyFont="1" applyFill="1" applyBorder="1" applyAlignment="1">
      <alignment horizontal="center" vertical="center"/>
    </xf>
    <xf numFmtId="0" fontId="117" fillId="0" borderId="3" xfId="2453" applyFont="1" applyFill="1" applyBorder="1" applyAlignment="1">
      <alignment horizontal="center" vertical="center"/>
    </xf>
    <xf numFmtId="0" fontId="117" fillId="0" borderId="22" xfId="2453" applyFont="1" applyFill="1" applyBorder="1" applyAlignment="1">
      <alignment horizontal="center" vertical="center"/>
    </xf>
    <xf numFmtId="0" fontId="117" fillId="6" borderId="39" xfId="2453" applyFont="1" applyFill="1" applyBorder="1" applyAlignment="1">
      <alignment horizontal="center" vertical="center" shrinkToFit="1"/>
    </xf>
    <xf numFmtId="0" fontId="117" fillId="6" borderId="58" xfId="2453" applyFont="1" applyFill="1" applyBorder="1" applyAlignment="1">
      <alignment horizontal="center" vertical="center" shrinkToFit="1"/>
    </xf>
    <xf numFmtId="0" fontId="117" fillId="6" borderId="23" xfId="2453" applyFont="1" applyFill="1" applyBorder="1" applyAlignment="1">
      <alignment horizontal="center" vertical="center" shrinkToFit="1"/>
    </xf>
    <xf numFmtId="0" fontId="117" fillId="6" borderId="50" xfId="2453" applyFont="1" applyFill="1" applyBorder="1" applyAlignment="1">
      <alignment horizontal="left" vertical="center"/>
    </xf>
    <xf numFmtId="0" fontId="117" fillId="6" borderId="28" xfId="2453" applyFont="1" applyFill="1" applyBorder="1" applyAlignment="1">
      <alignment horizontal="left" vertical="center"/>
    </xf>
    <xf numFmtId="0" fontId="119" fillId="5" borderId="37" xfId="2453" applyFont="1" applyFill="1" applyBorder="1" applyAlignment="1">
      <alignment horizontal="center" vertical="center"/>
    </xf>
    <xf numFmtId="0" fontId="119" fillId="5" borderId="49" xfId="2453" applyFont="1" applyFill="1" applyBorder="1" applyAlignment="1">
      <alignment horizontal="center" vertical="center"/>
    </xf>
    <xf numFmtId="0" fontId="119" fillId="5" borderId="40" xfId="2453" applyFont="1" applyFill="1" applyBorder="1" applyAlignment="1">
      <alignment horizontal="center" vertical="center"/>
    </xf>
    <xf numFmtId="0" fontId="119" fillId="5" borderId="41" xfId="2453" applyFont="1" applyFill="1" applyBorder="1" applyAlignment="1">
      <alignment horizontal="center" vertical="center"/>
    </xf>
    <xf numFmtId="0" fontId="119" fillId="5" borderId="80" xfId="2453" applyFont="1" applyFill="1" applyBorder="1" applyAlignment="1">
      <alignment horizontal="center" vertical="center"/>
    </xf>
    <xf numFmtId="0" fontId="119" fillId="5" borderId="60" xfId="2453" applyFont="1" applyFill="1" applyBorder="1" applyAlignment="1">
      <alignment horizontal="center" vertical="center"/>
    </xf>
    <xf numFmtId="0" fontId="117" fillId="6" borderId="49" xfId="2453" applyFont="1" applyFill="1" applyBorder="1" applyAlignment="1">
      <alignment horizontal="center" vertical="center" wrapText="1"/>
    </xf>
    <xf numFmtId="0" fontId="117" fillId="6" borderId="40" xfId="2453" applyFont="1" applyFill="1" applyBorder="1" applyAlignment="1">
      <alignment horizontal="center" vertical="center" wrapText="1"/>
    </xf>
    <xf numFmtId="0" fontId="117" fillId="6" borderId="0" xfId="2453" applyFont="1" applyFill="1" applyBorder="1" applyAlignment="1">
      <alignment horizontal="center" vertical="center" wrapText="1"/>
    </xf>
    <xf numFmtId="0" fontId="117" fillId="6" borderId="41" xfId="2453" applyFont="1" applyFill="1" applyBorder="1" applyAlignment="1">
      <alignment horizontal="center" vertical="center" wrapText="1"/>
    </xf>
    <xf numFmtId="0" fontId="117" fillId="6" borderId="42" xfId="2453" applyFont="1" applyFill="1" applyBorder="1" applyAlignment="1">
      <alignment horizontal="center" vertical="center" wrapText="1"/>
    </xf>
    <xf numFmtId="0" fontId="117" fillId="6" borderId="5" xfId="2453" applyFont="1" applyFill="1" applyBorder="1" applyAlignment="1">
      <alignment horizontal="center" vertical="center" wrapText="1"/>
    </xf>
    <xf numFmtId="0" fontId="117" fillId="6" borderId="34" xfId="2453" applyFont="1" applyFill="1" applyBorder="1" applyAlignment="1">
      <alignment horizontal="center" vertical="center" wrapText="1"/>
    </xf>
    <xf numFmtId="0" fontId="120" fillId="5" borderId="121" xfId="2450" applyFont="1" applyFill="1" applyBorder="1" applyAlignment="1">
      <alignment horizontal="center" vertical="center"/>
    </xf>
    <xf numFmtId="0" fontId="120" fillId="5" borderId="2" xfId="2450" applyFont="1" applyFill="1" applyBorder="1" applyAlignment="1">
      <alignment horizontal="center" vertical="center"/>
    </xf>
    <xf numFmtId="0" fontId="120" fillId="5" borderId="94" xfId="2450" applyFont="1" applyFill="1" applyBorder="1" applyAlignment="1">
      <alignment horizontal="center" vertical="center"/>
    </xf>
    <xf numFmtId="0" fontId="117" fillId="0" borderId="47" xfId="2453" applyFont="1" applyFill="1" applyBorder="1" applyAlignment="1">
      <alignment horizontal="center" vertical="center" wrapText="1"/>
    </xf>
    <xf numFmtId="0" fontId="117" fillId="0" borderId="49" xfId="2453" applyFont="1" applyFill="1" applyBorder="1" applyAlignment="1">
      <alignment horizontal="center" vertical="center" wrapText="1"/>
    </xf>
    <xf numFmtId="0" fontId="117" fillId="0" borderId="0" xfId="2453" applyFont="1" applyFill="1" applyBorder="1" applyAlignment="1">
      <alignment horizontal="center" vertical="center" wrapText="1"/>
    </xf>
    <xf numFmtId="0" fontId="117" fillId="0" borderId="41" xfId="2453" applyFont="1" applyFill="1" applyBorder="1" applyAlignment="1">
      <alignment horizontal="center" vertical="center" wrapText="1"/>
    </xf>
    <xf numFmtId="0" fontId="117" fillId="0" borderId="51" xfId="2453" applyFont="1" applyFill="1" applyBorder="1" applyAlignment="1">
      <alignment horizontal="center" vertical="center" wrapText="1"/>
    </xf>
    <xf numFmtId="0" fontId="117" fillId="0" borderId="60" xfId="2453" applyFont="1" applyFill="1" applyBorder="1" applyAlignment="1">
      <alignment horizontal="center" vertical="center" wrapText="1"/>
    </xf>
    <xf numFmtId="0" fontId="117" fillId="0" borderId="57" xfId="2453" applyFont="1" applyFill="1" applyBorder="1" applyAlignment="1">
      <alignment horizontal="center" vertical="center"/>
    </xf>
    <xf numFmtId="0" fontId="117" fillId="0" borderId="67" xfId="2453" applyFont="1" applyFill="1" applyBorder="1" applyAlignment="1">
      <alignment horizontal="center" vertical="center"/>
    </xf>
    <xf numFmtId="0" fontId="117" fillId="0" borderId="52" xfId="2453" applyFont="1" applyFill="1" applyBorder="1" applyAlignment="1">
      <alignment horizontal="center" vertical="center"/>
    </xf>
    <xf numFmtId="9" fontId="28" fillId="3" borderId="32" xfId="2453" applyNumberFormat="1" applyFont="1" applyFill="1" applyBorder="1" applyAlignment="1">
      <alignment horizontal="center" vertical="center"/>
    </xf>
    <xf numFmtId="9" fontId="28" fillId="3" borderId="25" xfId="2453" applyNumberFormat="1" applyFont="1" applyFill="1" applyBorder="1" applyAlignment="1">
      <alignment horizontal="center" vertical="center"/>
    </xf>
    <xf numFmtId="9" fontId="28" fillId="3" borderId="56" xfId="2453" applyNumberFormat="1" applyFont="1" applyFill="1" applyBorder="1" applyAlignment="1">
      <alignment horizontal="center" vertical="center"/>
    </xf>
    <xf numFmtId="176" fontId="28" fillId="3" borderId="7" xfId="2453" applyNumberFormat="1" applyFont="1" applyFill="1" applyBorder="1" applyAlignment="1">
      <alignment horizontal="center" vertical="center" wrapText="1"/>
    </xf>
    <xf numFmtId="176" fontId="28" fillId="8" borderId="26" xfId="2453" applyNumberFormat="1" applyFont="1" applyFill="1" applyBorder="1" applyAlignment="1">
      <alignment horizontal="center" vertical="center" wrapText="1"/>
    </xf>
    <xf numFmtId="176" fontId="28" fillId="8" borderId="24" xfId="2453" applyNumberFormat="1" applyFont="1" applyFill="1" applyBorder="1" applyAlignment="1">
      <alignment horizontal="center" vertical="center" wrapText="1"/>
    </xf>
    <xf numFmtId="176" fontId="27" fillId="3" borderId="57" xfId="2453" applyNumberFormat="1" applyFont="1" applyFill="1" applyBorder="1" applyAlignment="1">
      <alignment horizontal="center" vertical="center" wrapText="1"/>
    </xf>
    <xf numFmtId="176" fontId="27" fillId="3" borderId="67" xfId="2453" applyNumberFormat="1" applyFont="1" applyFill="1" applyBorder="1" applyAlignment="1">
      <alignment horizontal="center" vertical="center" wrapText="1"/>
    </xf>
    <xf numFmtId="176" fontId="27" fillId="3" borderId="52" xfId="2453" applyNumberFormat="1" applyFont="1" applyFill="1" applyBorder="1" applyAlignment="1">
      <alignment horizontal="center" vertical="center" wrapText="1"/>
    </xf>
    <xf numFmtId="176" fontId="28" fillId="8" borderId="29" xfId="2453" applyNumberFormat="1" applyFont="1" applyFill="1" applyBorder="1" applyAlignment="1">
      <alignment horizontal="center" vertical="center"/>
    </xf>
    <xf numFmtId="176" fontId="28" fillId="8" borderId="67" xfId="2453" applyNumberFormat="1" applyFont="1" applyFill="1" applyBorder="1" applyAlignment="1">
      <alignment horizontal="center" vertical="center"/>
    </xf>
    <xf numFmtId="176" fontId="28" fillId="8" borderId="56" xfId="2453" applyNumberFormat="1" applyFont="1" applyFill="1" applyBorder="1" applyAlignment="1">
      <alignment horizontal="center" vertical="center"/>
    </xf>
    <xf numFmtId="176" fontId="28" fillId="8" borderId="31" xfId="2453" applyNumberFormat="1" applyFont="1" applyFill="1" applyBorder="1" applyAlignment="1">
      <alignment horizontal="center" vertical="center" wrapText="1"/>
    </xf>
    <xf numFmtId="176" fontId="28" fillId="8" borderId="81" xfId="2453" applyNumberFormat="1" applyFont="1" applyFill="1" applyBorder="1" applyAlignment="1">
      <alignment horizontal="center" vertical="center" wrapText="1"/>
    </xf>
    <xf numFmtId="9" fontId="28" fillId="3" borderId="16" xfId="2453" applyNumberFormat="1" applyFont="1" applyFill="1" applyBorder="1" applyAlignment="1">
      <alignment horizontal="center" vertical="center"/>
    </xf>
    <xf numFmtId="176" fontId="28" fillId="3" borderId="56" xfId="2453" applyNumberFormat="1" applyFont="1" applyFill="1" applyBorder="1" applyAlignment="1">
      <alignment horizontal="center" vertical="center"/>
    </xf>
    <xf numFmtId="176" fontId="28" fillId="3" borderId="25" xfId="2453" applyNumberFormat="1" applyFont="1" applyFill="1" applyBorder="1" applyAlignment="1">
      <alignment horizontal="center" vertical="center"/>
    </xf>
    <xf numFmtId="176" fontId="28" fillId="0" borderId="15" xfId="2453" applyNumberFormat="1" applyFont="1" applyFill="1" applyBorder="1" applyAlignment="1">
      <alignment horizontal="center" vertical="center"/>
    </xf>
    <xf numFmtId="176" fontId="28" fillId="0" borderId="4" xfId="2453" applyNumberFormat="1" applyFont="1" applyFill="1" applyBorder="1" applyAlignment="1">
      <alignment horizontal="center" vertical="center"/>
    </xf>
    <xf numFmtId="176" fontId="119" fillId="7" borderId="15" xfId="2453" applyNumberFormat="1" applyFont="1" applyFill="1" applyBorder="1" applyAlignment="1">
      <alignment horizontal="center" vertical="center"/>
    </xf>
    <xf numFmtId="176" fontId="119" fillId="7" borderId="20" xfId="2453" applyNumberFormat="1" applyFont="1" applyFill="1" applyBorder="1" applyAlignment="1">
      <alignment horizontal="center" vertical="center"/>
    </xf>
    <xf numFmtId="176" fontId="28" fillId="2" borderId="35" xfId="2453" applyNumberFormat="1" applyFont="1" applyFill="1" applyBorder="1" applyAlignment="1">
      <alignment horizontal="center" vertical="center"/>
    </xf>
    <xf numFmtId="176" fontId="28" fillId="2" borderId="8" xfId="2453" applyNumberFormat="1" applyFont="1" applyFill="1" applyBorder="1" applyAlignment="1">
      <alignment horizontal="center" vertical="center"/>
    </xf>
    <xf numFmtId="176" fontId="28" fillId="2" borderId="33" xfId="2453" applyNumberFormat="1" applyFont="1" applyFill="1" applyBorder="1" applyAlignment="1">
      <alignment horizontal="center" vertical="center"/>
    </xf>
    <xf numFmtId="176" fontId="28" fillId="2" borderId="15" xfId="2453" applyNumberFormat="1" applyFont="1" applyFill="1" applyBorder="1" applyAlignment="1">
      <alignment horizontal="center" vertical="center"/>
    </xf>
    <xf numFmtId="176" fontId="28" fillId="0" borderId="33" xfId="2453" applyNumberFormat="1" applyFont="1" applyFill="1" applyBorder="1" applyAlignment="1">
      <alignment horizontal="center" vertical="center"/>
    </xf>
    <xf numFmtId="176" fontId="28" fillId="0" borderId="30" xfId="2453" applyNumberFormat="1" applyFont="1" applyFill="1" applyBorder="1" applyAlignment="1">
      <alignment horizontal="center" vertical="center"/>
    </xf>
    <xf numFmtId="176" fontId="28" fillId="0" borderId="6" xfId="2453" applyNumberFormat="1" applyFont="1" applyFill="1" applyBorder="1" applyAlignment="1">
      <alignment horizontal="center" vertical="center"/>
    </xf>
    <xf numFmtId="176" fontId="28" fillId="0" borderId="10" xfId="2453" applyNumberFormat="1" applyFont="1" applyFill="1" applyBorder="1" applyAlignment="1">
      <alignment horizontal="center" vertical="center"/>
    </xf>
    <xf numFmtId="0" fontId="101" fillId="5" borderId="19" xfId="2450" applyFont="1" applyFill="1" applyBorder="1" applyAlignment="1">
      <alignment horizontal="center" vertical="center"/>
    </xf>
    <xf numFmtId="0" fontId="101" fillId="5" borderId="21" xfId="2450" applyFont="1" applyFill="1" applyBorder="1" applyAlignment="1">
      <alignment horizontal="center" vertical="center"/>
    </xf>
    <xf numFmtId="0" fontId="101" fillId="5" borderId="62" xfId="2450" applyFont="1" applyFill="1" applyBorder="1" applyAlignment="1">
      <alignment horizontal="center" vertical="center"/>
    </xf>
    <xf numFmtId="176" fontId="28" fillId="0" borderId="25" xfId="2453" applyNumberFormat="1" applyFont="1" applyFill="1" applyBorder="1" applyAlignment="1">
      <alignment horizontal="center" vertical="center"/>
    </xf>
    <xf numFmtId="176" fontId="28" fillId="0" borderId="14" xfId="2453" applyNumberFormat="1" applyFont="1" applyFill="1" applyBorder="1" applyAlignment="1">
      <alignment horizontal="center" vertical="center"/>
    </xf>
    <xf numFmtId="176" fontId="28" fillId="0" borderId="29" xfId="2453" applyNumberFormat="1" applyFont="1" applyFill="1" applyBorder="1" applyAlignment="1">
      <alignment horizontal="center" vertical="center"/>
    </xf>
    <xf numFmtId="9" fontId="28" fillId="3" borderId="4" xfId="2453" applyNumberFormat="1" applyFont="1" applyFill="1" applyBorder="1" applyAlignment="1">
      <alignment horizontal="center" vertical="center"/>
    </xf>
    <xf numFmtId="176" fontId="28" fillId="0" borderId="46" xfId="2453" applyNumberFormat="1" applyFont="1" applyFill="1" applyBorder="1" applyAlignment="1">
      <alignment horizontal="center" vertical="center"/>
    </xf>
    <xf numFmtId="9" fontId="28" fillId="5" borderId="4" xfId="2453" applyNumberFormat="1" applyFont="1" applyFill="1" applyBorder="1" applyAlignment="1">
      <alignment horizontal="center" vertical="center"/>
    </xf>
    <xf numFmtId="176" fontId="27" fillId="7" borderId="4" xfId="2453" applyNumberFormat="1" applyFont="1" applyFill="1" applyBorder="1" applyAlignment="1">
      <alignment horizontal="center" vertical="center"/>
    </xf>
    <xf numFmtId="176" fontId="27" fillId="7" borderId="12" xfId="2453" applyNumberFormat="1" applyFont="1" applyFill="1" applyBorder="1" applyAlignment="1">
      <alignment horizontal="center" vertical="center"/>
    </xf>
    <xf numFmtId="176" fontId="28" fillId="2" borderId="48" xfId="2453" applyNumberFormat="1" applyFont="1" applyFill="1" applyBorder="1" applyAlignment="1">
      <alignment horizontal="center" vertical="center"/>
    </xf>
    <xf numFmtId="176" fontId="28" fillId="2" borderId="14" xfId="2453" applyNumberFormat="1" applyFont="1" applyFill="1" applyBorder="1" applyAlignment="1">
      <alignment horizontal="center" vertical="center"/>
    </xf>
    <xf numFmtId="9" fontId="28" fillId="5" borderId="14" xfId="2453" applyNumberFormat="1" applyFont="1" applyFill="1" applyBorder="1" applyAlignment="1">
      <alignment horizontal="center" vertical="center"/>
    </xf>
    <xf numFmtId="176" fontId="27" fillId="7" borderId="29" xfId="2453" applyNumberFormat="1" applyFont="1" applyFill="1" applyBorder="1" applyAlignment="1">
      <alignment horizontal="center" vertical="center"/>
    </xf>
    <xf numFmtId="176" fontId="27" fillId="7" borderId="67" xfId="2453" applyNumberFormat="1" applyFont="1" applyFill="1" applyBorder="1" applyAlignment="1">
      <alignment horizontal="center" vertical="center"/>
    </xf>
    <xf numFmtId="176" fontId="27" fillId="7" borderId="52" xfId="2453" applyNumberFormat="1" applyFont="1" applyFill="1" applyBorder="1" applyAlignment="1">
      <alignment horizontal="center" vertical="center"/>
    </xf>
    <xf numFmtId="176" fontId="28" fillId="2" borderId="69" xfId="2453" applyNumberFormat="1" applyFont="1" applyFill="1" applyBorder="1" applyAlignment="1">
      <alignment horizontal="center" vertical="center"/>
    </xf>
    <xf numFmtId="176" fontId="27" fillId="7" borderId="15" xfId="2453" applyNumberFormat="1" applyFont="1" applyFill="1" applyBorder="1" applyAlignment="1">
      <alignment horizontal="center" vertical="center"/>
    </xf>
    <xf numFmtId="176" fontId="27" fillId="7" borderId="20" xfId="2453" applyNumberFormat="1" applyFont="1" applyFill="1" applyBorder="1" applyAlignment="1">
      <alignment horizontal="center" vertical="center"/>
    </xf>
    <xf numFmtId="176" fontId="28" fillId="2" borderId="62" xfId="2453" applyNumberFormat="1" applyFont="1" applyFill="1" applyBorder="1" applyAlignment="1">
      <alignment horizontal="center" vertical="center"/>
    </xf>
    <xf numFmtId="176" fontId="28" fillId="2" borderId="19" xfId="2453" applyNumberFormat="1" applyFont="1" applyFill="1" applyBorder="1" applyAlignment="1">
      <alignment horizontal="center" vertical="center"/>
    </xf>
    <xf numFmtId="176" fontId="28" fillId="0" borderId="12" xfId="2453" applyNumberFormat="1" applyFont="1" applyFill="1" applyBorder="1" applyAlignment="1">
      <alignment horizontal="center" vertical="center"/>
    </xf>
    <xf numFmtId="9" fontId="28" fillId="3" borderId="14" xfId="2453" applyNumberFormat="1" applyFont="1" applyFill="1" applyBorder="1" applyAlignment="1">
      <alignment horizontal="center" vertical="center"/>
    </xf>
    <xf numFmtId="176" fontId="27" fillId="7" borderId="25" xfId="2453" applyNumberFormat="1" applyFont="1" applyFill="1" applyBorder="1" applyAlignment="1">
      <alignment horizontal="center" vertical="center"/>
    </xf>
    <xf numFmtId="176" fontId="27" fillId="7" borderId="16" xfId="2453" applyNumberFormat="1" applyFont="1" applyFill="1" applyBorder="1" applyAlignment="1">
      <alignment horizontal="center" vertical="center"/>
    </xf>
    <xf numFmtId="176" fontId="28" fillId="2" borderId="30" xfId="2453" applyNumberFormat="1" applyFont="1" applyFill="1" applyBorder="1" applyAlignment="1">
      <alignment horizontal="center" vertical="center"/>
    </xf>
    <xf numFmtId="176" fontId="28" fillId="0" borderId="26" xfId="2453" applyNumberFormat="1" applyFont="1" applyFill="1" applyBorder="1" applyAlignment="1">
      <alignment horizontal="center" vertical="center"/>
    </xf>
    <xf numFmtId="176" fontId="28" fillId="0" borderId="28" xfId="2453" applyNumberFormat="1" applyFont="1" applyFill="1" applyBorder="1" applyAlignment="1">
      <alignment horizontal="center" vertical="center"/>
    </xf>
    <xf numFmtId="176" fontId="28" fillId="0" borderId="7" xfId="2453" applyNumberFormat="1" applyFont="1" applyFill="1" applyBorder="1" applyAlignment="1">
      <alignment horizontal="center" vertical="center"/>
    </xf>
    <xf numFmtId="0" fontId="101" fillId="5" borderId="82" xfId="2450" applyFont="1" applyFill="1" applyBorder="1" applyAlignment="1">
      <alignment horizontal="center" vertical="center"/>
    </xf>
    <xf numFmtId="0" fontId="101" fillId="5" borderId="32" xfId="2450" applyFont="1" applyFill="1" applyBorder="1" applyAlignment="1">
      <alignment horizontal="center" vertical="center"/>
    </xf>
    <xf numFmtId="0" fontId="101" fillId="5" borderId="17" xfId="2450" applyFont="1" applyFill="1" applyBorder="1" applyAlignment="1">
      <alignment horizontal="center" vertical="center"/>
    </xf>
    <xf numFmtId="9" fontId="28" fillId="5" borderId="7" xfId="2453" applyNumberFormat="1" applyFont="1" applyFill="1" applyBorder="1" applyAlignment="1">
      <alignment horizontal="center" vertical="center"/>
    </xf>
    <xf numFmtId="176" fontId="27" fillId="7" borderId="46" xfId="2453" applyNumberFormat="1" applyFont="1" applyFill="1" applyBorder="1" applyAlignment="1">
      <alignment horizontal="center" vertical="center"/>
    </xf>
    <xf numFmtId="176" fontId="27" fillId="7" borderId="51" xfId="2453" applyNumberFormat="1" applyFont="1" applyFill="1" applyBorder="1" applyAlignment="1">
      <alignment horizontal="center" vertical="center"/>
    </xf>
    <xf numFmtId="176" fontId="27" fillId="7" borderId="60" xfId="2453" applyNumberFormat="1" applyFont="1" applyFill="1" applyBorder="1" applyAlignment="1">
      <alignment horizontal="center" vertical="center"/>
    </xf>
    <xf numFmtId="176" fontId="28" fillId="2" borderId="66" xfId="2453" applyNumberFormat="1" applyFont="1" applyFill="1" applyBorder="1" applyAlignment="1">
      <alignment horizontal="center" vertical="center"/>
    </xf>
    <xf numFmtId="176" fontId="28" fillId="2" borderId="50" xfId="2453" applyNumberFormat="1" applyFont="1" applyFill="1" applyBorder="1" applyAlignment="1">
      <alignment horizontal="center" vertical="center"/>
    </xf>
    <xf numFmtId="176" fontId="28" fillId="2" borderId="28" xfId="2453" applyNumberFormat="1" applyFont="1" applyFill="1" applyBorder="1" applyAlignment="1">
      <alignment horizontal="center" vertical="center"/>
    </xf>
    <xf numFmtId="176" fontId="28" fillId="2" borderId="82" xfId="2453" applyNumberFormat="1" applyFont="1" applyFill="1" applyBorder="1" applyAlignment="1">
      <alignment horizontal="center" vertical="center"/>
    </xf>
    <xf numFmtId="183" fontId="28" fillId="0" borderId="36" xfId="2463" applyNumberFormat="1" applyFont="1" applyFill="1" applyBorder="1" applyAlignment="1">
      <alignment horizontal="center" vertical="center"/>
    </xf>
    <xf numFmtId="183" fontId="28" fillId="0" borderId="55" xfId="2463" applyNumberFormat="1" applyFont="1" applyFill="1" applyBorder="1" applyAlignment="1">
      <alignment horizontal="center" vertical="center"/>
    </xf>
    <xf numFmtId="0" fontId="126" fillId="5" borderId="66" xfId="2450" applyFont="1" applyFill="1" applyBorder="1" applyAlignment="1">
      <alignment horizontal="center" vertical="center"/>
    </xf>
    <xf numFmtId="0" fontId="126" fillId="5" borderId="82" xfId="2450" applyFont="1" applyFill="1" applyBorder="1" applyAlignment="1">
      <alignment horizontal="center" vertical="center"/>
    </xf>
    <xf numFmtId="176" fontId="28" fillId="0" borderId="33" xfId="2453" applyNumberFormat="1" applyFont="1" applyBorder="1" applyAlignment="1">
      <alignment horizontal="center" vertical="center"/>
    </xf>
    <xf numFmtId="176" fontId="28" fillId="0" borderId="28" xfId="2453" applyNumberFormat="1" applyFont="1" applyBorder="1" applyAlignment="1">
      <alignment horizontal="center" vertical="center"/>
    </xf>
    <xf numFmtId="0" fontId="98" fillId="0" borderId="4" xfId="0" applyFont="1" applyBorder="1" applyAlignment="1">
      <alignment horizontal="center" vertical="center" wrapText="1"/>
    </xf>
    <xf numFmtId="0" fontId="98" fillId="0" borderId="4" xfId="0" applyFont="1" applyBorder="1" applyAlignment="1">
      <alignment horizontal="center" vertical="center"/>
    </xf>
    <xf numFmtId="0" fontId="98" fillId="0" borderId="7" xfId="0" applyFont="1" applyBorder="1" applyAlignment="1">
      <alignment horizontal="center" vertical="center"/>
    </xf>
    <xf numFmtId="0" fontId="98" fillId="5" borderId="4" xfId="0" applyFont="1" applyFill="1" applyBorder="1" applyAlignment="1">
      <alignment horizontal="center" vertical="center"/>
    </xf>
    <xf numFmtId="0" fontId="98" fillId="5" borderId="15" xfId="0" applyFont="1" applyFill="1" applyBorder="1" applyAlignment="1">
      <alignment horizontal="center" vertical="center"/>
    </xf>
    <xf numFmtId="0" fontId="98" fillId="5" borderId="12" xfId="0" applyFont="1" applyFill="1" applyBorder="1" applyAlignment="1">
      <alignment horizontal="center" vertical="center"/>
    </xf>
    <xf numFmtId="0" fontId="98" fillId="0" borderId="12" xfId="0" applyFont="1" applyBorder="1" applyAlignment="1">
      <alignment horizontal="center" vertical="center"/>
    </xf>
    <xf numFmtId="0" fontId="98" fillId="5" borderId="7" xfId="0" applyFont="1" applyFill="1" applyBorder="1" applyAlignment="1">
      <alignment horizontal="center" vertical="center"/>
    </xf>
    <xf numFmtId="0" fontId="98" fillId="0" borderId="18" xfId="0" applyFont="1" applyBorder="1" applyAlignment="1">
      <alignment horizontal="center" vertical="center"/>
    </xf>
    <xf numFmtId="9" fontId="28" fillId="0" borderId="14" xfId="0" applyNumberFormat="1" applyFont="1" applyFill="1" applyBorder="1" applyAlignment="1">
      <alignment horizontal="center" vertical="center"/>
    </xf>
    <xf numFmtId="9" fontId="28" fillId="0" borderId="33" xfId="0" applyNumberFormat="1" applyFont="1" applyFill="1" applyBorder="1" applyAlignment="1">
      <alignment horizontal="center" vertical="center"/>
    </xf>
    <xf numFmtId="9" fontId="28" fillId="0" borderId="15" xfId="0" applyNumberFormat="1" applyFont="1" applyFill="1" applyBorder="1" applyAlignment="1">
      <alignment horizontal="center" vertical="center"/>
    </xf>
    <xf numFmtId="177" fontId="28" fillId="0" borderId="14" xfId="0" applyNumberFormat="1" applyFont="1" applyFill="1" applyBorder="1" applyAlignment="1">
      <alignment horizontal="center" vertical="center"/>
    </xf>
    <xf numFmtId="177" fontId="28" fillId="0" borderId="33" xfId="0" applyNumberFormat="1" applyFont="1" applyFill="1" applyBorder="1" applyAlignment="1">
      <alignment horizontal="center" vertical="center"/>
    </xf>
    <xf numFmtId="0" fontId="26" fillId="3" borderId="48" xfId="0" applyFont="1" applyFill="1" applyBorder="1" applyAlignment="1"/>
    <xf numFmtId="0" fontId="26" fillId="3" borderId="35" xfId="0" applyFont="1" applyFill="1" applyBorder="1" applyAlignment="1"/>
    <xf numFmtId="0" fontId="26" fillId="3" borderId="40" xfId="0" applyFont="1" applyFill="1" applyBorder="1" applyAlignment="1"/>
    <xf numFmtId="0" fontId="28" fillId="2" borderId="6"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9" xfId="0" applyFont="1" applyFill="1" applyBorder="1" applyAlignment="1">
      <alignment horizontal="center" vertical="center"/>
    </xf>
    <xf numFmtId="0" fontId="29" fillId="0" borderId="10" xfId="0" applyFont="1" applyBorder="1" applyAlignment="1">
      <alignment horizontal="center" vertical="center"/>
    </xf>
    <xf numFmtId="0" fontId="26" fillId="0" borderId="0" xfId="0" applyFont="1" applyBorder="1" applyAlignment="1"/>
    <xf numFmtId="0" fontId="26" fillId="0" borderId="41" xfId="0" applyFont="1" applyBorder="1" applyAlignment="1"/>
    <xf numFmtId="0" fontId="27" fillId="0" borderId="4" xfId="0" applyFont="1" applyFill="1" applyBorder="1" applyAlignment="1">
      <alignment horizontal="center" vertical="center"/>
    </xf>
    <xf numFmtId="0" fontId="27" fillId="0" borderId="14" xfId="0" applyFont="1" applyFill="1" applyBorder="1" applyAlignment="1">
      <alignment horizontal="center" vertical="center"/>
    </xf>
    <xf numFmtId="0" fontId="28" fillId="2" borderId="4" xfId="0" applyFont="1" applyFill="1" applyBorder="1" applyAlignment="1">
      <alignment horizontal="center" vertical="center" wrapText="1"/>
    </xf>
    <xf numFmtId="0" fontId="28" fillId="2" borderId="26" xfId="0" applyFont="1" applyFill="1" applyBorder="1" applyAlignment="1">
      <alignment horizontal="center" vertical="center"/>
    </xf>
    <xf numFmtId="0" fontId="28" fillId="2" borderId="58" xfId="0" applyFont="1" applyFill="1" applyBorder="1" applyAlignment="1">
      <alignment horizontal="center" vertical="center"/>
    </xf>
    <xf numFmtId="0" fontId="28" fillId="2" borderId="24" xfId="0" applyFont="1" applyFill="1" applyBorder="1" applyAlignment="1">
      <alignment horizontal="center" vertical="center"/>
    </xf>
    <xf numFmtId="0" fontId="28" fillId="2" borderId="23" xfId="0" applyFont="1" applyFill="1" applyBorder="1" applyAlignment="1">
      <alignment horizontal="center" vertical="center"/>
    </xf>
    <xf numFmtId="0" fontId="28" fillId="3" borderId="57" xfId="0" applyFont="1" applyFill="1" applyBorder="1" applyAlignment="1">
      <alignment horizontal="center" vertical="center"/>
    </xf>
    <xf numFmtId="0" fontId="28" fillId="6" borderId="10" xfId="0" applyFont="1" applyFill="1" applyBorder="1" applyAlignment="1">
      <alignment horizontal="center" vertical="center"/>
    </xf>
    <xf numFmtId="0" fontId="28" fillId="6" borderId="47" xfId="0" applyFont="1" applyFill="1" applyBorder="1" applyAlignment="1">
      <alignment horizontal="center" vertical="center"/>
    </xf>
    <xf numFmtId="0" fontId="28" fillId="6" borderId="48" xfId="0" applyFont="1" applyFill="1" applyBorder="1" applyAlignment="1">
      <alignment horizontal="center" vertical="center"/>
    </xf>
    <xf numFmtId="0" fontId="29" fillId="0" borderId="47" xfId="0" applyFont="1" applyBorder="1" applyAlignment="1">
      <alignment horizontal="center" vertical="center"/>
    </xf>
    <xf numFmtId="0" fontId="29" fillId="0" borderId="49" xfId="0" applyFont="1" applyBorder="1" applyAlignment="1">
      <alignment horizontal="center" vertical="center"/>
    </xf>
    <xf numFmtId="0" fontId="29" fillId="0" borderId="55" xfId="0" applyFont="1" applyBorder="1" applyAlignment="1">
      <alignment horizontal="center" vertical="center"/>
    </xf>
    <xf numFmtId="0" fontId="28" fillId="6" borderId="55" xfId="0" quotePrefix="1" applyFont="1" applyFill="1" applyBorder="1" applyAlignment="1">
      <alignment horizontal="center" vertical="center"/>
    </xf>
    <xf numFmtId="0" fontId="28" fillId="6" borderId="5" xfId="0" quotePrefix="1" applyFont="1" applyFill="1" applyBorder="1" applyAlignment="1">
      <alignment horizontal="center" vertical="center"/>
    </xf>
    <xf numFmtId="0" fontId="28" fillId="6" borderId="50" xfId="0" quotePrefix="1" applyFont="1" applyFill="1" applyBorder="1" applyAlignment="1">
      <alignment horizontal="center" vertical="center"/>
    </xf>
    <xf numFmtId="0" fontId="26" fillId="0" borderId="47" xfId="0" applyFont="1" applyBorder="1" applyAlignment="1"/>
    <xf numFmtId="0" fontId="26" fillId="0" borderId="49" xfId="0" applyFont="1" applyBorder="1" applyAlignment="1"/>
    <xf numFmtId="0" fontId="29" fillId="3" borderId="21" xfId="0" applyFont="1" applyFill="1" applyBorder="1" applyAlignment="1">
      <alignment horizontal="center" vertical="center"/>
    </xf>
    <xf numFmtId="0" fontId="29" fillId="3" borderId="4" xfId="0" applyFont="1" applyFill="1" applyBorder="1" applyAlignment="1">
      <alignment horizontal="center" vertical="center"/>
    </xf>
    <xf numFmtId="0" fontId="98" fillId="5" borderId="37" xfId="0" applyFont="1" applyFill="1" applyBorder="1" applyAlignment="1">
      <alignment horizontal="center" vertical="center"/>
    </xf>
    <xf numFmtId="0" fontId="98" fillId="5" borderId="48" xfId="0" applyFont="1" applyFill="1" applyBorder="1" applyAlignment="1">
      <alignment horizontal="center" vertical="center"/>
    </xf>
    <xf numFmtId="0" fontId="98" fillId="5" borderId="40" xfId="0" applyFont="1" applyFill="1" applyBorder="1" applyAlignment="1">
      <alignment horizontal="center" vertical="center"/>
    </xf>
    <xf numFmtId="0" fontId="98" fillId="5" borderId="35" xfId="0" applyFont="1" applyFill="1" applyBorder="1" applyAlignment="1">
      <alignment horizontal="center" vertical="center"/>
    </xf>
    <xf numFmtId="0" fontId="98" fillId="0" borderId="10" xfId="0" applyFont="1" applyBorder="1" applyAlignment="1">
      <alignment horizontal="center" vertical="center" wrapText="1"/>
    </xf>
    <xf numFmtId="0" fontId="98" fillId="0" borderId="47" xfId="0" applyFont="1" applyBorder="1" applyAlignment="1">
      <alignment horizontal="center" vertical="center"/>
    </xf>
    <xf numFmtId="0" fontId="98" fillId="0" borderId="48" xfId="0" applyFont="1" applyBorder="1" applyAlignment="1">
      <alignment horizontal="center" vertical="center"/>
    </xf>
    <xf numFmtId="0" fontId="98" fillId="0" borderId="36" xfId="0" applyFont="1" applyBorder="1" applyAlignment="1">
      <alignment horizontal="center" vertical="center"/>
    </xf>
    <xf numFmtId="0" fontId="98" fillId="0" borderId="0" xfId="0" applyFont="1" applyBorder="1" applyAlignment="1">
      <alignment horizontal="center" vertical="center"/>
    </xf>
    <xf numFmtId="0" fontId="98" fillId="0" borderId="35" xfId="0" applyFont="1" applyBorder="1" applyAlignment="1">
      <alignment horizontal="center" vertical="center"/>
    </xf>
    <xf numFmtId="0" fontId="98" fillId="5" borderId="42" xfId="0" applyFont="1" applyFill="1" applyBorder="1" applyAlignment="1">
      <alignment horizontal="center" vertical="center"/>
    </xf>
    <xf numFmtId="0" fontId="98" fillId="5" borderId="50" xfId="0" applyFont="1" applyFill="1" applyBorder="1" applyAlignment="1">
      <alignment horizontal="center" vertical="center"/>
    </xf>
    <xf numFmtId="0" fontId="137" fillId="3" borderId="37" xfId="2450" applyFont="1" applyFill="1" applyBorder="1" applyAlignment="1">
      <alignment horizontal="center" vertical="center"/>
    </xf>
    <xf numFmtId="0" fontId="137" fillId="3" borderId="48" xfId="2450" applyFont="1" applyFill="1" applyBorder="1" applyAlignment="1">
      <alignment horizontal="center" vertical="center"/>
    </xf>
    <xf numFmtId="0" fontId="137" fillId="3" borderId="42" xfId="2450" applyFont="1" applyFill="1" applyBorder="1" applyAlignment="1">
      <alignment horizontal="center" vertical="center"/>
    </xf>
    <xf numFmtId="0" fontId="137" fillId="3" borderId="50" xfId="2450" applyFont="1" applyFill="1" applyBorder="1" applyAlignment="1">
      <alignment horizontal="center" vertical="center"/>
    </xf>
    <xf numFmtId="0" fontId="102" fillId="6" borderId="10" xfId="2450" applyFont="1" applyFill="1" applyBorder="1" applyAlignment="1">
      <alignment horizontal="center" vertical="center" wrapText="1"/>
    </xf>
    <xf numFmtId="0" fontId="102" fillId="6" borderId="47" xfId="2450" applyFont="1" applyFill="1" applyBorder="1" applyAlignment="1">
      <alignment horizontal="center" vertical="center"/>
    </xf>
    <xf numFmtId="0" fontId="102" fillId="6" borderId="49" xfId="2450" applyFont="1" applyFill="1" applyBorder="1" applyAlignment="1">
      <alignment horizontal="center" vertical="center"/>
    </xf>
    <xf numFmtId="0" fontId="102" fillId="6" borderId="55" xfId="2450" applyFont="1" applyFill="1" applyBorder="1" applyAlignment="1">
      <alignment horizontal="center" vertical="center"/>
    </xf>
    <xf numFmtId="0" fontId="102" fillId="6" borderId="5" xfId="2450" applyFont="1" applyFill="1" applyBorder="1" applyAlignment="1">
      <alignment horizontal="center" vertical="center"/>
    </xf>
    <xf numFmtId="0" fontId="102" fillId="6" borderId="34" xfId="2450" applyFont="1" applyFill="1" applyBorder="1" applyAlignment="1">
      <alignment horizontal="center" vertical="center"/>
    </xf>
    <xf numFmtId="0" fontId="28" fillId="2" borderId="4" xfId="0" applyFont="1" applyFill="1" applyBorder="1" applyAlignment="1">
      <alignment horizontal="center" vertical="center"/>
    </xf>
    <xf numFmtId="0" fontId="28" fillId="2" borderId="12" xfId="0" applyFont="1" applyFill="1" applyBorder="1" applyAlignment="1">
      <alignment horizontal="center" vertical="center"/>
    </xf>
    <xf numFmtId="9" fontId="28" fillId="0" borderId="10" xfId="0" applyNumberFormat="1" applyFont="1" applyFill="1" applyBorder="1" applyAlignment="1">
      <alignment horizontal="center" vertical="center"/>
    </xf>
    <xf numFmtId="9" fontId="28" fillId="0" borderId="47" xfId="0" applyNumberFormat="1" applyFont="1" applyFill="1" applyBorder="1" applyAlignment="1">
      <alignment horizontal="center" vertical="center"/>
    </xf>
    <xf numFmtId="9" fontId="28" fillId="0" borderId="49" xfId="0" applyNumberFormat="1" applyFont="1" applyFill="1" applyBorder="1" applyAlignment="1">
      <alignment horizontal="center" vertical="center"/>
    </xf>
    <xf numFmtId="9" fontId="28" fillId="0" borderId="46" xfId="0" applyNumberFormat="1" applyFont="1" applyFill="1" applyBorder="1" applyAlignment="1">
      <alignment horizontal="center" vertical="center"/>
    </xf>
    <xf numFmtId="9" fontId="28" fillId="0" borderId="51" xfId="0" applyNumberFormat="1" applyFont="1" applyFill="1" applyBorder="1" applyAlignment="1">
      <alignment horizontal="center" vertical="center"/>
    </xf>
    <xf numFmtId="9" fontId="28" fillId="0" borderId="60" xfId="0" applyNumberFormat="1" applyFont="1" applyFill="1" applyBorder="1" applyAlignment="1">
      <alignment horizontal="center" vertical="center"/>
    </xf>
    <xf numFmtId="176" fontId="28" fillId="0" borderId="47" xfId="2452" applyNumberFormat="1" applyFont="1" applyFill="1" applyBorder="1" applyAlignment="1">
      <alignment horizontal="center" vertical="center"/>
    </xf>
    <xf numFmtId="176" fontId="28" fillId="0" borderId="5" xfId="2452" applyNumberFormat="1" applyFont="1" applyFill="1" applyBorder="1" applyAlignment="1">
      <alignment horizontal="center" vertical="center"/>
    </xf>
    <xf numFmtId="176" fontId="28" fillId="0" borderId="44" xfId="2452" applyNumberFormat="1" applyFont="1" applyFill="1" applyBorder="1" applyAlignment="1">
      <alignment horizontal="center" vertical="center"/>
    </xf>
    <xf numFmtId="176" fontId="28" fillId="0" borderId="51" xfId="2452" applyNumberFormat="1" applyFont="1" applyFill="1" applyBorder="1" applyAlignment="1">
      <alignment horizontal="center" vertical="center"/>
    </xf>
    <xf numFmtId="176" fontId="28" fillId="4" borderId="38" xfId="0" applyNumberFormat="1" applyFont="1" applyFill="1" applyBorder="1" applyAlignment="1">
      <alignment horizontal="center" vertical="center"/>
    </xf>
    <xf numFmtId="176" fontId="28" fillId="4" borderId="22" xfId="0" applyNumberFormat="1" applyFont="1" applyFill="1" applyBorder="1" applyAlignment="1">
      <alignment horizontal="center" vertical="center"/>
    </xf>
    <xf numFmtId="176" fontId="28" fillId="0" borderId="62" xfId="2452" applyNumberFormat="1" applyFont="1" applyBorder="1" applyAlignment="1">
      <alignment horizontal="center" vertical="center"/>
    </xf>
    <xf numFmtId="176" fontId="28" fillId="0" borderId="68" xfId="2452" applyNumberFormat="1" applyFont="1" applyFill="1" applyBorder="1" applyAlignment="1">
      <alignment horizontal="center" vertical="center"/>
    </xf>
    <xf numFmtId="176" fontId="28" fillId="4" borderId="57" xfId="0" applyNumberFormat="1" applyFont="1" applyFill="1" applyBorder="1" applyAlignment="1">
      <alignment horizontal="center" vertical="center"/>
    </xf>
    <xf numFmtId="176" fontId="28" fillId="4" borderId="52" xfId="0" applyNumberFormat="1" applyFont="1" applyFill="1" applyBorder="1" applyAlignment="1">
      <alignment horizontal="center" vertical="center"/>
    </xf>
    <xf numFmtId="176" fontId="28" fillId="0" borderId="65" xfId="2452" applyNumberFormat="1" applyFont="1" applyBorder="1" applyAlignment="1">
      <alignment horizontal="center" vertical="center"/>
    </xf>
    <xf numFmtId="176" fontId="28" fillId="3" borderId="65" xfId="2452" applyNumberFormat="1" applyFont="1" applyFill="1" applyBorder="1" applyAlignment="1">
      <alignment horizontal="center" vertical="center" wrapText="1"/>
    </xf>
    <xf numFmtId="176" fontId="28" fillId="3" borderId="82" xfId="2452" applyNumberFormat="1" applyFont="1" applyFill="1" applyBorder="1" applyAlignment="1">
      <alignment horizontal="center" vertical="center" wrapText="1"/>
    </xf>
    <xf numFmtId="176" fontId="28" fillId="0" borderId="82" xfId="2452" applyNumberFormat="1" applyFont="1" applyBorder="1" applyAlignment="1">
      <alignment horizontal="center" vertical="center"/>
    </xf>
    <xf numFmtId="176" fontId="28" fillId="0" borderId="10" xfId="2452" applyNumberFormat="1" applyFont="1" applyFill="1" applyBorder="1" applyAlignment="1">
      <alignment horizontal="center" vertical="center"/>
    </xf>
    <xf numFmtId="176" fontId="28" fillId="0" borderId="55" xfId="2452" applyNumberFormat="1" applyFont="1" applyFill="1" applyBorder="1" applyAlignment="1">
      <alignment horizontal="center" vertical="center"/>
    </xf>
    <xf numFmtId="0" fontId="20" fillId="4" borderId="100" xfId="0" applyFont="1" applyFill="1" applyBorder="1" applyAlignment="1">
      <alignment horizontal="center" vertical="center"/>
    </xf>
    <xf numFmtId="0" fontId="28" fillId="0" borderId="6" xfId="0" applyFont="1" applyFill="1" applyBorder="1" applyAlignment="1">
      <alignment horizontal="center" vertical="center" wrapText="1"/>
    </xf>
    <xf numFmtId="0" fontId="28" fillId="3" borderId="38" xfId="0" applyFont="1" applyFill="1" applyBorder="1" applyAlignment="1">
      <alignment horizontal="center" vertical="center"/>
    </xf>
    <xf numFmtId="0" fontId="28" fillId="0" borderId="9" xfId="0" applyFont="1" applyFill="1" applyBorder="1" applyAlignment="1">
      <alignment horizontal="center" vertical="center"/>
    </xf>
    <xf numFmtId="0" fontId="102" fillId="0" borderId="26" xfId="0" applyFont="1" applyFill="1" applyBorder="1" applyAlignment="1">
      <alignment horizontal="center" vertical="center"/>
    </xf>
    <xf numFmtId="0" fontId="102" fillId="0" borderId="58" xfId="0" applyFont="1" applyFill="1" applyBorder="1" applyAlignment="1">
      <alignment horizontal="center" vertical="center"/>
    </xf>
    <xf numFmtId="0" fontId="102" fillId="0" borderId="23" xfId="0" applyFont="1" applyFill="1" applyBorder="1" applyAlignment="1">
      <alignment horizontal="center" vertical="center"/>
    </xf>
    <xf numFmtId="0" fontId="26" fillId="3" borderId="4" xfId="0" applyFont="1" applyFill="1" applyBorder="1" applyAlignment="1"/>
    <xf numFmtId="0" fontId="28" fillId="3" borderId="14" xfId="0" applyFont="1" applyFill="1" applyBorder="1" applyAlignment="1">
      <alignment horizontal="center" vertical="center"/>
    </xf>
    <xf numFmtId="0" fontId="28" fillId="3" borderId="27" xfId="0" applyFont="1" applyFill="1" applyBorder="1" applyAlignment="1">
      <alignment horizontal="center" vertical="center"/>
    </xf>
    <xf numFmtId="9" fontId="28" fillId="0" borderId="14" xfId="0" applyNumberFormat="1" applyFont="1" applyBorder="1" applyAlignment="1">
      <alignment horizontal="center" vertical="center"/>
    </xf>
    <xf numFmtId="9" fontId="28" fillId="0" borderId="15" xfId="0" applyNumberFormat="1" applyFont="1" applyBorder="1" applyAlignment="1">
      <alignment horizontal="center" vertical="center"/>
    </xf>
    <xf numFmtId="9" fontId="28" fillId="0" borderId="10" xfId="0" applyNumberFormat="1" applyFont="1" applyBorder="1" applyAlignment="1">
      <alignment horizontal="center" vertical="center"/>
    </xf>
    <xf numFmtId="9" fontId="28" fillId="0" borderId="46" xfId="0" applyNumberFormat="1" applyFont="1" applyBorder="1" applyAlignment="1">
      <alignment horizontal="center" vertical="center"/>
    </xf>
    <xf numFmtId="9" fontId="28" fillId="0" borderId="104" xfId="0" applyNumberFormat="1" applyFont="1" applyBorder="1" applyAlignment="1">
      <alignment horizontal="center" vertical="center"/>
    </xf>
    <xf numFmtId="9" fontId="28" fillId="0" borderId="105" xfId="0" applyNumberFormat="1" applyFont="1" applyBorder="1" applyAlignment="1">
      <alignment horizontal="center" vertical="center"/>
    </xf>
    <xf numFmtId="9" fontId="28" fillId="0" borderId="49" xfId="0" applyNumberFormat="1" applyFont="1" applyBorder="1" applyAlignment="1">
      <alignment horizontal="center" vertical="center"/>
    </xf>
    <xf numFmtId="9" fontId="28" fillId="0" borderId="60" xfId="0" applyNumberFormat="1" applyFont="1" applyBorder="1" applyAlignment="1">
      <alignment horizontal="center" vertical="center"/>
    </xf>
    <xf numFmtId="0" fontId="28" fillId="3" borderId="33" xfId="0" applyFont="1" applyFill="1" applyBorder="1" applyAlignment="1">
      <alignment horizontal="center" vertical="center"/>
    </xf>
    <xf numFmtId="0" fontId="28" fillId="3" borderId="70" xfId="0" applyFont="1" applyFill="1" applyBorder="1" applyAlignment="1">
      <alignment horizontal="center" vertical="center"/>
    </xf>
    <xf numFmtId="0" fontId="28" fillId="3" borderId="6" xfId="2450" applyFont="1" applyFill="1" applyBorder="1" applyAlignment="1">
      <alignment horizontal="center" vertical="center" wrapText="1"/>
    </xf>
    <xf numFmtId="0" fontId="28" fillId="3" borderId="3" xfId="2450" applyFont="1" applyFill="1" applyBorder="1" applyAlignment="1">
      <alignment horizontal="center" vertical="center" wrapText="1"/>
    </xf>
    <xf numFmtId="0" fontId="28" fillId="3" borderId="9" xfId="2450" applyFont="1" applyFill="1" applyBorder="1" applyAlignment="1">
      <alignment horizontal="center" vertical="center" wrapText="1"/>
    </xf>
    <xf numFmtId="9" fontId="28" fillId="0" borderId="147" xfId="0" applyNumberFormat="1" applyFont="1" applyBorder="1" applyAlignment="1">
      <alignment horizontal="center" vertical="center"/>
    </xf>
    <xf numFmtId="9" fontId="28" fillId="0" borderId="152" xfId="0" applyNumberFormat="1" applyFont="1" applyBorder="1" applyAlignment="1">
      <alignment horizontal="center" vertical="center"/>
    </xf>
    <xf numFmtId="9" fontId="28" fillId="0" borderId="151" xfId="0" applyNumberFormat="1" applyFont="1" applyBorder="1" applyAlignment="1">
      <alignment horizontal="center" vertical="center"/>
    </xf>
    <xf numFmtId="9" fontId="28" fillId="0" borderId="153" xfId="0" applyNumberFormat="1" applyFont="1" applyBorder="1" applyAlignment="1">
      <alignment horizontal="center" vertical="center"/>
    </xf>
    <xf numFmtId="0" fontId="28" fillId="3" borderId="47" xfId="0" applyFont="1" applyFill="1" applyBorder="1" applyAlignment="1">
      <alignment horizontal="center" vertical="center" wrapText="1"/>
    </xf>
    <xf numFmtId="0" fontId="28" fillId="3" borderId="40"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42"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6" borderId="47" xfId="2450" applyFont="1" applyFill="1" applyBorder="1" applyAlignment="1">
      <alignment horizontal="center" vertical="center" wrapText="1"/>
    </xf>
    <xf numFmtId="0" fontId="28" fillId="6" borderId="36" xfId="2450" applyFont="1" applyFill="1" applyBorder="1" applyAlignment="1">
      <alignment horizontal="center" vertical="center" wrapText="1"/>
    </xf>
    <xf numFmtId="0" fontId="28" fillId="6" borderId="0" xfId="2450" applyFont="1" applyFill="1" applyBorder="1" applyAlignment="1">
      <alignment horizontal="center" vertical="center" wrapText="1"/>
    </xf>
    <xf numFmtId="0" fontId="28" fillId="6" borderId="55" xfId="2450" applyFont="1" applyFill="1" applyBorder="1" applyAlignment="1">
      <alignment horizontal="center" vertical="center" wrapText="1"/>
    </xf>
    <xf numFmtId="0" fontId="28" fillId="6" borderId="5" xfId="2450" applyFont="1" applyFill="1" applyBorder="1" applyAlignment="1">
      <alignment horizontal="center" vertical="center" wrapText="1"/>
    </xf>
    <xf numFmtId="0" fontId="26" fillId="6" borderId="36" xfId="2450" applyFont="1" applyFill="1" applyBorder="1" applyAlignment="1">
      <alignment horizontal="center" vertical="center" wrapText="1"/>
    </xf>
    <xf numFmtId="0" fontId="26" fillId="6" borderId="0" xfId="2450" applyFont="1" applyFill="1" applyBorder="1" applyAlignment="1">
      <alignment horizontal="center" vertical="center" wrapText="1"/>
    </xf>
    <xf numFmtId="0" fontId="26" fillId="6" borderId="35" xfId="2450" applyFont="1" applyFill="1" applyBorder="1" applyAlignment="1">
      <alignment horizontal="center" vertical="center" wrapText="1"/>
    </xf>
    <xf numFmtId="0" fontId="29" fillId="6" borderId="46" xfId="2450" quotePrefix="1" applyFont="1" applyFill="1" applyBorder="1" applyAlignment="1">
      <alignment horizontal="center" vertical="center"/>
    </xf>
    <xf numFmtId="0" fontId="29" fillId="6" borderId="51" xfId="2450" quotePrefix="1" applyFont="1" applyFill="1" applyBorder="1" applyAlignment="1">
      <alignment horizontal="center" vertical="center"/>
    </xf>
    <xf numFmtId="0" fontId="29" fillId="6" borderId="8" xfId="2450" quotePrefix="1" applyFont="1" applyFill="1" applyBorder="1" applyAlignment="1">
      <alignment horizontal="center" vertical="center"/>
    </xf>
    <xf numFmtId="0" fontId="28" fillId="6" borderId="14" xfId="0" applyFont="1" applyFill="1" applyBorder="1" applyAlignment="1">
      <alignment horizontal="center" vertical="center"/>
    </xf>
    <xf numFmtId="176" fontId="28" fillId="2" borderId="101" xfId="0" applyNumberFormat="1" applyFont="1" applyFill="1" applyBorder="1" applyAlignment="1">
      <alignment horizontal="center" vertical="center"/>
    </xf>
    <xf numFmtId="176" fontId="28" fillId="2" borderId="61" xfId="0" applyNumberFormat="1" applyFont="1" applyFill="1" applyBorder="1" applyAlignment="1">
      <alignment horizontal="center" vertical="center"/>
    </xf>
    <xf numFmtId="176" fontId="28" fillId="2" borderId="111" xfId="0" applyNumberFormat="1" applyFont="1" applyFill="1" applyBorder="1" applyAlignment="1">
      <alignment horizontal="center" vertical="center"/>
    </xf>
    <xf numFmtId="176" fontId="28" fillId="2" borderId="113" xfId="0" applyNumberFormat="1" applyFont="1" applyFill="1" applyBorder="1" applyAlignment="1">
      <alignment horizontal="center" vertical="center"/>
    </xf>
    <xf numFmtId="176" fontId="28" fillId="2" borderId="102" xfId="0" applyNumberFormat="1" applyFont="1" applyFill="1" applyBorder="1" applyAlignment="1">
      <alignment horizontal="center" vertical="center"/>
    </xf>
    <xf numFmtId="176" fontId="28" fillId="2" borderId="59" xfId="0" applyNumberFormat="1" applyFont="1" applyFill="1" applyBorder="1" applyAlignment="1">
      <alignment horizontal="center" vertical="center"/>
    </xf>
    <xf numFmtId="176" fontId="106" fillId="3" borderId="85" xfId="0" applyNumberFormat="1" applyFont="1" applyFill="1" applyBorder="1" applyAlignment="1">
      <alignment horizontal="center" vertical="center"/>
    </xf>
    <xf numFmtId="176" fontId="106" fillId="3" borderId="86" xfId="0" applyNumberFormat="1" applyFont="1" applyFill="1" applyBorder="1" applyAlignment="1">
      <alignment horizontal="center" vertical="center"/>
    </xf>
    <xf numFmtId="176" fontId="106" fillId="2" borderId="57" xfId="0" applyNumberFormat="1" applyFont="1" applyFill="1" applyBorder="1" applyAlignment="1">
      <alignment horizontal="center" vertical="center"/>
    </xf>
    <xf numFmtId="0" fontId="140" fillId="2" borderId="67" xfId="0" applyFont="1" applyFill="1" applyBorder="1" applyAlignment="1"/>
    <xf numFmtId="0" fontId="140" fillId="2" borderId="52" xfId="0" applyFont="1" applyFill="1" applyBorder="1" applyAlignment="1"/>
    <xf numFmtId="176" fontId="28" fillId="2" borderId="110" xfId="0" applyNumberFormat="1" applyFont="1" applyFill="1" applyBorder="1" applyAlignment="1">
      <alignment horizontal="center" vertical="center"/>
    </xf>
    <xf numFmtId="176" fontId="28" fillId="2" borderId="112" xfId="0" applyNumberFormat="1" applyFont="1" applyFill="1" applyBorder="1" applyAlignment="1">
      <alignment horizontal="center" vertical="center"/>
    </xf>
    <xf numFmtId="176" fontId="28" fillId="0" borderId="111" xfId="0" applyNumberFormat="1" applyFont="1" applyFill="1" applyBorder="1" applyAlignment="1">
      <alignment horizontal="center" vertical="center"/>
    </xf>
    <xf numFmtId="176" fontId="28" fillId="0" borderId="113" xfId="0" applyNumberFormat="1" applyFont="1" applyFill="1" applyBorder="1" applyAlignment="1">
      <alignment horizontal="center" vertical="center"/>
    </xf>
    <xf numFmtId="176" fontId="28" fillId="2" borderId="117" xfId="0" applyNumberFormat="1" applyFont="1" applyFill="1" applyBorder="1" applyAlignment="1">
      <alignment horizontal="center" vertical="center"/>
    </xf>
    <xf numFmtId="176" fontId="28" fillId="2" borderId="116" xfId="0" applyNumberFormat="1" applyFont="1" applyFill="1" applyBorder="1" applyAlignment="1">
      <alignment horizontal="center" vertical="center"/>
    </xf>
    <xf numFmtId="176" fontId="28" fillId="2" borderId="73" xfId="0" applyNumberFormat="1" applyFont="1" applyFill="1" applyBorder="1" applyAlignment="1">
      <alignment horizontal="center" vertical="center"/>
    </xf>
    <xf numFmtId="176" fontId="28" fillId="0" borderId="109" xfId="0" applyNumberFormat="1" applyFont="1" applyFill="1" applyBorder="1" applyAlignment="1">
      <alignment horizontal="center" vertical="center"/>
    </xf>
    <xf numFmtId="176" fontId="28" fillId="0" borderId="124" xfId="0" applyNumberFormat="1" applyFont="1" applyFill="1" applyBorder="1" applyAlignment="1">
      <alignment horizontal="center" vertical="center"/>
    </xf>
    <xf numFmtId="176" fontId="28" fillId="2" borderId="115" xfId="0" applyNumberFormat="1" applyFont="1" applyFill="1" applyBorder="1" applyAlignment="1">
      <alignment horizontal="center" vertical="center"/>
    </xf>
    <xf numFmtId="176" fontId="28" fillId="3" borderId="84" xfId="0" applyNumberFormat="1" applyFont="1" applyFill="1" applyBorder="1" applyAlignment="1">
      <alignment horizontal="center" vertical="center"/>
    </xf>
    <xf numFmtId="176" fontId="28" fillId="3" borderId="85" xfId="0" applyNumberFormat="1" applyFont="1" applyFill="1" applyBorder="1" applyAlignment="1">
      <alignment horizontal="center" vertical="center"/>
    </xf>
    <xf numFmtId="176" fontId="28" fillId="3" borderId="86" xfId="0" applyNumberFormat="1" applyFont="1" applyFill="1" applyBorder="1" applyAlignment="1">
      <alignment horizontal="center" vertical="center"/>
    </xf>
    <xf numFmtId="176" fontId="28" fillId="2" borderId="56" xfId="0" applyNumberFormat="1" applyFont="1" applyFill="1" applyBorder="1" applyAlignment="1">
      <alignment horizontal="center" vertical="center"/>
    </xf>
    <xf numFmtId="176" fontId="28" fillId="2" borderId="25" xfId="0" applyNumberFormat="1" applyFont="1" applyFill="1" applyBorder="1" applyAlignment="1">
      <alignment horizontal="center" vertical="center"/>
    </xf>
    <xf numFmtId="176" fontId="28" fillId="2" borderId="16" xfId="0" applyNumberFormat="1" applyFont="1" applyFill="1" applyBorder="1" applyAlignment="1">
      <alignment horizontal="center" vertical="center"/>
    </xf>
    <xf numFmtId="176" fontId="28" fillId="2" borderId="72" xfId="0" applyNumberFormat="1" applyFont="1" applyFill="1" applyBorder="1" applyAlignment="1">
      <alignment horizontal="center" vertical="center"/>
    </xf>
    <xf numFmtId="176" fontId="28" fillId="2" borderId="76" xfId="0" applyNumberFormat="1" applyFont="1" applyFill="1" applyBorder="1" applyAlignment="1">
      <alignment horizontal="center" vertical="center"/>
    </xf>
    <xf numFmtId="176" fontId="28" fillId="0" borderId="126" xfId="0" applyNumberFormat="1" applyFont="1" applyFill="1" applyBorder="1" applyAlignment="1">
      <alignment horizontal="center" vertical="center"/>
    </xf>
    <xf numFmtId="176" fontId="28" fillId="2" borderId="114" xfId="0" applyNumberFormat="1" applyFont="1" applyFill="1" applyBorder="1" applyAlignment="1">
      <alignment horizontal="center" vertical="center"/>
    </xf>
    <xf numFmtId="176" fontId="28" fillId="2" borderId="103" xfId="0" applyNumberFormat="1" applyFont="1" applyFill="1" applyBorder="1" applyAlignment="1">
      <alignment horizontal="center" vertical="center"/>
    </xf>
    <xf numFmtId="176" fontId="28" fillId="2" borderId="12" xfId="0" applyNumberFormat="1" applyFont="1" applyFill="1" applyBorder="1" applyAlignment="1">
      <alignment horizontal="center" vertical="center"/>
    </xf>
    <xf numFmtId="176" fontId="28" fillId="2" borderId="145" xfId="0" applyNumberFormat="1" applyFont="1" applyFill="1" applyBorder="1" applyAlignment="1">
      <alignment horizontal="center" vertical="center"/>
    </xf>
    <xf numFmtId="176" fontId="28" fillId="0" borderId="102" xfId="0" applyNumberFormat="1" applyFont="1" applyFill="1" applyBorder="1" applyAlignment="1">
      <alignment horizontal="center" vertical="center"/>
    </xf>
    <xf numFmtId="176" fontId="28" fillId="0" borderId="115" xfId="0" applyNumberFormat="1" applyFont="1" applyFill="1" applyBorder="1" applyAlignment="1">
      <alignment horizontal="center" vertical="center"/>
    </xf>
    <xf numFmtId="176" fontId="28" fillId="2" borderId="9" xfId="0" applyNumberFormat="1" applyFont="1" applyFill="1" applyBorder="1" applyAlignment="1">
      <alignment horizontal="center" vertical="center" wrapText="1"/>
    </xf>
    <xf numFmtId="176" fontId="28" fillId="3" borderId="87" xfId="0" applyNumberFormat="1" applyFont="1" applyFill="1" applyBorder="1" applyAlignment="1">
      <alignment horizontal="center" vertical="center"/>
    </xf>
    <xf numFmtId="176" fontId="28" fillId="3" borderId="88" xfId="0" applyNumberFormat="1" applyFont="1" applyFill="1" applyBorder="1" applyAlignment="1">
      <alignment horizontal="center" vertical="center"/>
    </xf>
    <xf numFmtId="176" fontId="28" fillId="2" borderId="134" xfId="0" applyNumberFormat="1" applyFont="1" applyFill="1" applyBorder="1" applyAlignment="1">
      <alignment horizontal="center" vertical="center"/>
    </xf>
    <xf numFmtId="176" fontId="28" fillId="2" borderId="78" xfId="0" applyNumberFormat="1" applyFont="1" applyFill="1" applyBorder="1" applyAlignment="1">
      <alignment horizontal="center" vertical="center"/>
    </xf>
    <xf numFmtId="176" fontId="28" fillId="2" borderId="128" xfId="0" applyNumberFormat="1" applyFont="1" applyFill="1" applyBorder="1" applyAlignment="1">
      <alignment horizontal="center" vertical="center"/>
    </xf>
    <xf numFmtId="176" fontId="28" fillId="2" borderId="21" xfId="0" applyNumberFormat="1" applyFont="1" applyFill="1" applyBorder="1" applyAlignment="1">
      <alignment horizontal="center" vertical="center" wrapText="1"/>
    </xf>
    <xf numFmtId="176" fontId="28" fillId="2" borderId="75" xfId="0" applyNumberFormat="1" applyFont="1" applyFill="1" applyBorder="1" applyAlignment="1">
      <alignment horizontal="center" vertical="center"/>
    </xf>
    <xf numFmtId="176" fontId="28" fillId="2" borderId="71" xfId="0" applyNumberFormat="1" applyFont="1" applyFill="1" applyBorder="1" applyAlignment="1">
      <alignment horizontal="center" vertical="center"/>
    </xf>
    <xf numFmtId="176" fontId="28" fillId="2" borderId="66" xfId="0" applyNumberFormat="1" applyFont="1" applyFill="1" applyBorder="1" applyAlignment="1">
      <alignment horizontal="center" vertical="center" wrapText="1"/>
    </xf>
    <xf numFmtId="176" fontId="28" fillId="2" borderId="33" xfId="0" applyNumberFormat="1" applyFont="1" applyFill="1" applyBorder="1" applyAlignment="1">
      <alignment horizontal="center" vertical="center"/>
    </xf>
    <xf numFmtId="176" fontId="28" fillId="2" borderId="70" xfId="0" applyNumberFormat="1" applyFont="1" applyFill="1" applyBorder="1" applyAlignment="1">
      <alignment horizontal="center" vertical="center"/>
    </xf>
    <xf numFmtId="176" fontId="28" fillId="3" borderId="85" xfId="0" applyNumberFormat="1" applyFont="1" applyFill="1" applyBorder="1" applyAlignment="1">
      <alignment horizontal="center" vertical="center" wrapText="1"/>
    </xf>
    <xf numFmtId="176" fontId="28" fillId="3" borderId="40" xfId="0" applyNumberFormat="1" applyFont="1" applyFill="1" applyBorder="1" applyAlignment="1">
      <alignment horizontal="center" vertical="center" wrapText="1"/>
    </xf>
    <xf numFmtId="176" fontId="28" fillId="2" borderId="8" xfId="0" applyNumberFormat="1" applyFont="1" applyFill="1" applyBorder="1" applyAlignment="1">
      <alignment horizontal="center" vertical="center" wrapText="1"/>
    </xf>
    <xf numFmtId="176" fontId="28" fillId="2" borderId="130" xfId="0" applyNumberFormat="1" applyFont="1" applyFill="1" applyBorder="1" applyAlignment="1">
      <alignment horizontal="center" vertical="center"/>
    </xf>
    <xf numFmtId="176" fontId="28" fillId="0" borderId="129" xfId="0" applyNumberFormat="1" applyFont="1" applyFill="1" applyBorder="1" applyAlignment="1">
      <alignment horizontal="center" vertical="center"/>
    </xf>
    <xf numFmtId="176" fontId="28" fillId="2" borderId="133" xfId="0" applyNumberFormat="1" applyFont="1" applyFill="1" applyBorder="1" applyAlignment="1">
      <alignment horizontal="center" vertical="center"/>
    </xf>
    <xf numFmtId="176" fontId="28" fillId="2" borderId="127" xfId="0" applyNumberFormat="1" applyFont="1" applyFill="1" applyBorder="1" applyAlignment="1">
      <alignment horizontal="center" vertical="center"/>
    </xf>
    <xf numFmtId="176" fontId="28" fillId="0" borderId="9" xfId="0" applyNumberFormat="1" applyFont="1" applyFill="1" applyBorder="1" applyAlignment="1">
      <alignment horizontal="center" vertical="center" wrapText="1"/>
    </xf>
    <xf numFmtId="176" fontId="28" fillId="0" borderId="4" xfId="0" applyNumberFormat="1" applyFont="1" applyFill="1" applyBorder="1" applyAlignment="1">
      <alignment horizontal="center" vertical="center"/>
    </xf>
    <xf numFmtId="176" fontId="28" fillId="0" borderId="12" xfId="0" applyNumberFormat="1" applyFont="1" applyFill="1" applyBorder="1" applyAlignment="1">
      <alignment horizontal="center" vertical="center"/>
    </xf>
    <xf numFmtId="176" fontId="28" fillId="2" borderId="131" xfId="0" applyNumberFormat="1" applyFont="1" applyFill="1" applyBorder="1" applyAlignment="1">
      <alignment horizontal="center" vertical="center"/>
    </xf>
    <xf numFmtId="176" fontId="28" fillId="0" borderId="125" xfId="0" applyNumberFormat="1" applyFont="1" applyFill="1" applyBorder="1" applyAlignment="1">
      <alignment horizontal="center" vertical="center"/>
    </xf>
    <xf numFmtId="176" fontId="28" fillId="2" borderId="57" xfId="0" applyNumberFormat="1" applyFont="1" applyFill="1" applyBorder="1" applyAlignment="1">
      <alignment horizontal="center" vertical="center"/>
    </xf>
    <xf numFmtId="0" fontId="33" fillId="2" borderId="67" xfId="0" applyFont="1" applyFill="1" applyBorder="1" applyAlignment="1"/>
    <xf numFmtId="0" fontId="33" fillId="2" borderId="52" xfId="0" applyFont="1" applyFill="1" applyBorder="1" applyAlignment="1"/>
    <xf numFmtId="176" fontId="28" fillId="3" borderId="7" xfId="0" applyNumberFormat="1" applyFont="1" applyFill="1" applyBorder="1" applyAlignment="1">
      <alignment horizontal="center" vertical="center" wrapText="1"/>
    </xf>
    <xf numFmtId="176" fontId="28" fillId="3" borderId="26" xfId="0" applyNumberFormat="1" applyFont="1" applyFill="1" applyBorder="1" applyAlignment="1">
      <alignment horizontal="center" vertical="center" wrapText="1"/>
    </xf>
    <xf numFmtId="176" fontId="28" fillId="3" borderId="57" xfId="0" applyNumberFormat="1" applyFont="1" applyFill="1" applyBorder="1" applyAlignment="1">
      <alignment horizontal="center" vertical="center" wrapText="1"/>
    </xf>
    <xf numFmtId="176" fontId="28" fillId="3" borderId="67" xfId="0" applyNumberFormat="1" applyFont="1" applyFill="1" applyBorder="1" applyAlignment="1">
      <alignment horizontal="center" vertical="center" wrapText="1"/>
    </xf>
    <xf numFmtId="176" fontId="28" fillId="3" borderId="52" xfId="0" applyNumberFormat="1" applyFont="1" applyFill="1" applyBorder="1" applyAlignment="1">
      <alignment horizontal="center" vertical="center" wrapText="1"/>
    </xf>
    <xf numFmtId="176" fontId="28" fillId="3" borderId="52" xfId="0" applyNumberFormat="1" applyFont="1" applyFill="1" applyBorder="1" applyAlignment="1">
      <alignment horizontal="center" vertical="center"/>
    </xf>
    <xf numFmtId="176" fontId="28" fillId="3" borderId="32" xfId="0" applyNumberFormat="1" applyFont="1" applyFill="1" applyBorder="1" applyAlignment="1">
      <alignment horizontal="center" vertical="center"/>
    </xf>
    <xf numFmtId="176" fontId="28" fillId="3" borderId="25" xfId="0" applyNumberFormat="1" applyFont="1" applyFill="1" applyBorder="1" applyAlignment="1">
      <alignment horizontal="center" vertical="center"/>
    </xf>
  </cellXfs>
  <cellStyles count="2496">
    <cellStyle name="_x0001__x0002_" xfId="1"/>
    <cellStyle name="&quot;" xfId="2"/>
    <cellStyle name="&quot;_10월판촉기준최종(본부)" xfId="3"/>
    <cellStyle name="&quot;_8월판촉기준" xfId="4"/>
    <cellStyle name="&quot;_그룹편성" xfId="5"/>
    <cellStyle name="$" xfId="6"/>
    <cellStyle name="$_db진흥" xfId="7"/>
    <cellStyle name="$_견적2" xfId="8"/>
    <cellStyle name="$_기아" xfId="9"/>
    <cellStyle name="??&amp;O?&amp;H?_x0008__x000f__x0007_?_x0007__x0001__x0001_" xfId="10"/>
    <cellStyle name="??&amp;O?&amp;H?_x0008_??_x0007__x0001__x0001_" xfId="11"/>
    <cellStyle name="_(03011) 2분기 (영)평가결과(송부)" xfId="12"/>
    <cellStyle name="_(040223) 영업소 시상금(방광섭)" xfId="13"/>
    <cellStyle name="_200107" xfId="14"/>
    <cellStyle name="_2003.12 지역팀데이타(20040119)" xfId="15"/>
    <cellStyle name="_2004.10.1차 경상비" xfId="16"/>
    <cellStyle name="_2004.1월 2차 경상비" xfId="17"/>
    <cellStyle name="_2005.4월 2차 경상비" xfId="18"/>
    <cellStyle name="_3월지원비" xfId="19"/>
    <cellStyle name="_5월 1차" xfId="20"/>
    <cellStyle name="_dimon" xfId="21"/>
    <cellStyle name="_FY04년 월별배정현황" xfId="22"/>
    <cellStyle name="_Lover" xfId="23"/>
    <cellStyle name="_경상비 검증파일" xfId="24"/>
    <cellStyle name="_소코드1" xfId="25"/>
    <cellStyle name="_업무기술서(2005.4.1자 점포변동관련)" xfId="26"/>
    <cellStyle name="_예산산정(전윤모)" xfId="27"/>
    <cellStyle name="_점포변동에따른 경상비 배정기준" xfId="28"/>
    <cellStyle name="_점포변동에따른 업추비 배정기준" xfId="29"/>
    <cellStyle name="_점포변동에따른 예산배정 기준" xfId="30"/>
    <cellStyle name="¤@?e_TEST-1 " xfId="31"/>
    <cellStyle name="０" xfId="32"/>
    <cellStyle name="A¨­￠￢￠O [0]_INQUIRY ￠?￥i¨u¡AAⓒ￢Aⓒª " xfId="33"/>
    <cellStyle name="A¨­￠￢￠O_INQUIRY ￠?￥i¨u¡AAⓒ￢Aⓒª " xfId="34"/>
    <cellStyle name="AeE­ [0]_ 2ÆAAþº° " xfId="35"/>
    <cellStyle name="ÅëÈ­ [0]_ 2ÆÀÃþº° " xfId="36"/>
    <cellStyle name="AeE­ [0]_ Æ?ÆCAþº° " xfId="37"/>
    <cellStyle name="ÅëÈ­ [0]_ Æ¯ÆÇÃþº° " xfId="38"/>
    <cellStyle name="AeE­ [0]_¸AAa¸AAa¿ø°¡ " xfId="39"/>
    <cellStyle name="ÅëÈ­ [0]_¸ÅÃâ¸ÅÃâ¿ø°¡ " xfId="40"/>
    <cellStyle name="AeE­ [0]_¿¹≫e³≫¿ª " xfId="41"/>
    <cellStyle name="ÅëÈ­ [0]_¿ùº¸¼ö·á " xfId="42"/>
    <cellStyle name="AeE­ [0]_°eE¹3 " xfId="43"/>
    <cellStyle name="ÅëÈ­ [0]_°èÈ¹3 " xfId="44"/>
    <cellStyle name="AeE­ [0]_¼±³³9804" xfId="45"/>
    <cellStyle name="ÅëÈ­ [0]_¼öÃâ½ÇÀû " xfId="46"/>
    <cellStyle name="AeE­ [0]_¼OAI¹I´o " xfId="47"/>
    <cellStyle name="ÅëÈ­ [0]_¼ÕÀÍ¹Î´ö " xfId="48"/>
    <cellStyle name="AeE­ [0]_¹≪¿ªA¡Ca≫c°eE¹¼­ " xfId="49"/>
    <cellStyle name="ÅëÈ­ [0]_2¿ù¸ÅÃâ " xfId="50"/>
    <cellStyle name="AeE­ [0]_3ÆA °³AI " xfId="51"/>
    <cellStyle name="ÅëÈ­ [0]_3ÆÀ °³ÀÎ " xfId="52"/>
    <cellStyle name="AeE­ [0]_96³a½A´cº°¼OAI " xfId="53"/>
    <cellStyle name="ÅëÈ­ [0]_96³â½Ä´çº°¼ÕÀÍ " xfId="54"/>
    <cellStyle name="AeE­ [0]_ÆAC￥Ao_°eE¹3 " xfId="55"/>
    <cellStyle name="ÅëÈ­ [0]_ÆÀÇ¥Áö_°èÈ¹3 " xfId="56"/>
    <cellStyle name="AeE­ [0]_AMT " xfId="57"/>
    <cellStyle name="ÅëÈ­ [0]_AMT " xfId="58"/>
    <cellStyle name="AeE­ [0]_INQUIRY ¿μ¾÷AßAø " xfId="59"/>
    <cellStyle name="ÅëÈ­ [0]_º¸¼öÃÑ°ý " xfId="60"/>
    <cellStyle name="AeE­_ 2ÆAAþº° " xfId="61"/>
    <cellStyle name="ÅëÈ­_ 2ÆÀÃþº° " xfId="62"/>
    <cellStyle name="AeE­_ Æ?ÆCAþº° " xfId="63"/>
    <cellStyle name="ÅëÈ­_ Æ¯ÆÇÃþº° " xfId="64"/>
    <cellStyle name="AeE­_¸AAa¸AAa¿ø°¡ " xfId="65"/>
    <cellStyle name="ÅëÈ­_¸ÅÃâ¸ÅÃâ¿ø°¡ " xfId="66"/>
    <cellStyle name="AeE­_¿¹≫e³≫¿ª " xfId="67"/>
    <cellStyle name="ÅëÈ­_¿ùº¸¼ö·á " xfId="68"/>
    <cellStyle name="AeE­_°eE¹3 " xfId="69"/>
    <cellStyle name="ÅëÈ­_°èÈ¹3 " xfId="70"/>
    <cellStyle name="AeE­_¼±³³9804" xfId="71"/>
    <cellStyle name="ÅëÈ­_¼öÃâ½ÇÀû " xfId="72"/>
    <cellStyle name="AeE­_¼OAI¹I´o " xfId="73"/>
    <cellStyle name="ÅëÈ­_¼ÕÀÍ¹Î´ö " xfId="74"/>
    <cellStyle name="AeE­_¹≪¿ªA¡Ca≫c°eE¹¼­ " xfId="75"/>
    <cellStyle name="ÅëÈ­_2¿ù¸ÅÃâ " xfId="76"/>
    <cellStyle name="AeE­_3ÆA °³AI " xfId="77"/>
    <cellStyle name="ÅëÈ­_3ÆÀ °³ÀÎ " xfId="78"/>
    <cellStyle name="AeE­_96³a½A´cº°¼OAI " xfId="79"/>
    <cellStyle name="ÅëÈ­_96³â½Ä´çº°¼ÕÀÍ " xfId="80"/>
    <cellStyle name="AeE­_ÆAC￥Ao_°eE¹3 " xfId="81"/>
    <cellStyle name="ÅëÈ­_ÆÀÇ¥Áö_°èÈ¹3 " xfId="82"/>
    <cellStyle name="AeE­_AMT " xfId="83"/>
    <cellStyle name="ÅëÈ­_AMT " xfId="84"/>
    <cellStyle name="AeE­_INQUIRY ¿μ¾÷AßAø " xfId="85"/>
    <cellStyle name="ÅëÈ­_º¸¼öÃÑ°ý " xfId="86"/>
    <cellStyle name="AeE¡ⓒ [0]_AMT " xfId="87"/>
    <cellStyle name="AeE¡ⓒ_AMT " xfId="88"/>
    <cellStyle name="AÞ¸¶ [0]_ 2ÆAAþº° " xfId="89"/>
    <cellStyle name="ÄÞ¸¶ [0]_ 2ÆÀÃþº° " xfId="90"/>
    <cellStyle name="AÞ¸¶ [0]_ Æ?ÆCAþº° " xfId="91"/>
    <cellStyle name="ÄÞ¸¶ [0]_ Æ¯ÆÇÃþº° " xfId="92"/>
    <cellStyle name="AÞ¸¶ [0]_¸AAa¸AAa¿ø°¡ " xfId="93"/>
    <cellStyle name="ÄÞ¸¶ [0]_¸ÅÃâ¸ÅÃâ¿ø°¡ " xfId="94"/>
    <cellStyle name="AÞ¸¶ [0]_¿¹≫e³≫¿ª " xfId="95"/>
    <cellStyle name="ÄÞ¸¶ [0]_¿ùº¸¼ö·á " xfId="96"/>
    <cellStyle name="AÞ¸¶ [0]_°eE¹3 " xfId="97"/>
    <cellStyle name="ÄÞ¸¶ [0]_°èÈ¹3 " xfId="98"/>
    <cellStyle name="AÞ¸¶ [0]_¼±³³9804" xfId="99"/>
    <cellStyle name="ÄÞ¸¶ [0]_¼öÃâ½ÇÀû " xfId="100"/>
    <cellStyle name="AÞ¸¶ [0]_¼OAI¹I´o " xfId="101"/>
    <cellStyle name="ÄÞ¸¶ [0]_¼ÕÀÍ¹Î´ö " xfId="102"/>
    <cellStyle name="AÞ¸¶ [0]_3ÆA °³AI " xfId="103"/>
    <cellStyle name="ÄÞ¸¶ [0]_3ÆÀ °³ÀÎ " xfId="104"/>
    <cellStyle name="AÞ¸¶ [0]_96³a½A´cº°¼OAI " xfId="105"/>
    <cellStyle name="ÄÞ¸¶ [0]_96³â½Ä´çº°¼ÕÀÍ " xfId="106"/>
    <cellStyle name="AÞ¸¶ [0]_ÆAC￥Ao_°eE¹3 " xfId="107"/>
    <cellStyle name="ÄÞ¸¶ [0]_ÆÀÇ¥Áö_°èÈ¹3 " xfId="108"/>
    <cellStyle name="AÞ¸¶ [0]_INQUIRY ¿μ¾÷AßAø " xfId="109"/>
    <cellStyle name="ÄÞ¸¶ [0]_º¸¼öÃÑ°ý " xfId="110"/>
    <cellStyle name="AÞ¸¶_ 2ÆAAþº° " xfId="111"/>
    <cellStyle name="ÄÞ¸¶_ 2ÆÀÃþº° " xfId="112"/>
    <cellStyle name="AÞ¸¶_ Æ?ÆCAþº° " xfId="113"/>
    <cellStyle name="ÄÞ¸¶_ Æ¯ÆÇÃþº° " xfId="114"/>
    <cellStyle name="AÞ¸¶_¸AAa¸AAa¿ø°¡ " xfId="115"/>
    <cellStyle name="ÄÞ¸¶_¸ÅÃâ¸ÅÃâ¿ø°¡ " xfId="116"/>
    <cellStyle name="AÞ¸¶_¿¹≫e³≫¿ª " xfId="117"/>
    <cellStyle name="ÄÞ¸¶_¿ùº¸¼ö·á " xfId="118"/>
    <cellStyle name="AÞ¸¶_°eE¹3 " xfId="119"/>
    <cellStyle name="ÄÞ¸¶_°èÈ¹3 " xfId="120"/>
    <cellStyle name="AÞ¸¶_¼±³³9804" xfId="121"/>
    <cellStyle name="ÄÞ¸¶_¼öÃâ½ÇÀû " xfId="122"/>
    <cellStyle name="AÞ¸¶_¼OAI¹I´o " xfId="123"/>
    <cellStyle name="ÄÞ¸¶_¼ÕÀÍ¹Î´ö " xfId="124"/>
    <cellStyle name="AÞ¸¶_3ÆA °³AI " xfId="125"/>
    <cellStyle name="ÄÞ¸¶_3ÆÀ °³ÀÎ " xfId="126"/>
    <cellStyle name="AÞ¸¶_96³a½A´cº°¼OAI " xfId="127"/>
    <cellStyle name="ÄÞ¸¶_96³â½Ä´çº°¼ÕÀÍ " xfId="128"/>
    <cellStyle name="AÞ¸¶_ÆAC￥Ao_°eE¹3 " xfId="129"/>
    <cellStyle name="ÄÞ¸¶_ÆÀÇ¥Áö_°èÈ¹3 " xfId="130"/>
    <cellStyle name="AÞ¸¶_INQUIRY ¿μ¾÷AßAø " xfId="131"/>
    <cellStyle name="ÄÞ¸¶_º¸¼öÃÑ°ý " xfId="132"/>
    <cellStyle name="C¡IA¨ª_¡ic¨u¡A¨￢I¨￢¡Æ AN¡Æe " xfId="133"/>
    <cellStyle name="C￥AØ_ 2ÆAAþº° " xfId="134"/>
    <cellStyle name="Ç¥ÁØ_ 2ÆÀÃþº° " xfId="135"/>
    <cellStyle name="C￥AØ_ Æ?ÆCAþº° " xfId="136"/>
    <cellStyle name="Ç¥ÁØ_ Æ¯ÆÇÃþº° " xfId="137"/>
    <cellStyle name="C￥AØ_¸AAa¸AAa¿ø°¡ " xfId="138"/>
    <cellStyle name="Ç¥ÁØ_¸ÅÃâ¸ÅÃâ¿ø°¡ " xfId="139"/>
    <cellStyle name="C￥AØ_¿¹≫e³≫¿ª " xfId="140"/>
    <cellStyle name="Ç¥ÁØ_¿ùº¸¼ö·á " xfId="141"/>
    <cellStyle name="C￥AØ_¿μ¾÷CoE² " xfId="142"/>
    <cellStyle name="Ç¥ÁØ_»ç¾÷ºÎº° ÃÑ°è " xfId="143"/>
    <cellStyle name="C￥AØ_≫c¾÷ºIº° AN°e " xfId="144"/>
    <cellStyle name="Ç¥ÁØ_°èÈ¹3 " xfId="145"/>
    <cellStyle name="C￥AØ_0N-HANDLING " xfId="146"/>
    <cellStyle name="Ç¥ÁØ_0N-HANDLING " xfId="147"/>
    <cellStyle name="C￥AØ_¼OAI¹I´o " xfId="148"/>
    <cellStyle name="Ç¥ÁØ_¼ÕÀÍ¹Î´ö " xfId="149"/>
    <cellStyle name="C￥AØ_¾c½A " xfId="150"/>
    <cellStyle name="Ç¥ÁØ_¾ç½Ä " xfId="151"/>
    <cellStyle name="C￥AØ_3ÆA °³AI " xfId="152"/>
    <cellStyle name="Ç¥ÁØ_3ÆÀ °³ÀÎ " xfId="153"/>
    <cellStyle name="C￥AØ_5-1±¤°i " xfId="154"/>
    <cellStyle name="Ç¥ÁØ_5-1±¤°í " xfId="155"/>
    <cellStyle name="C￥AØ_96³a½A´cº°¼OAI " xfId="156"/>
    <cellStyle name="Ç¥ÁØ_96³â½Ä´çº°¼ÕÀÍ " xfId="157"/>
    <cellStyle name="C￥AØ_98³a AoAU°eE¹ " xfId="158"/>
    <cellStyle name="Ç¥ÁØ_98³â ÅõÀÚ°èÈ¹ " xfId="159"/>
    <cellStyle name="C￥AØ_Æ?±a3_p.mix " xfId="160"/>
    <cellStyle name="Ç¥ÁØ_Æ¯±â3_p.mix " xfId="161"/>
    <cellStyle name="C￥AØ_ÆAC￥Ao_°eE¹3 " xfId="162"/>
    <cellStyle name="Ç¥ÁØ_ÆÀÇ¥Áö_°èÈ¹3 " xfId="163"/>
    <cellStyle name="C￥AØ_AßA¤´eA÷ " xfId="164"/>
    <cellStyle name="Ç¥ÁØ_ÃßÁ¤´ëÂ÷ " xfId="165"/>
    <cellStyle name="C￥AØ_AU±Y_1_AßA¤´eA÷ " xfId="166"/>
    <cellStyle name="Ç¥ÁØ_ÀÚ±Ý_1_ÃßÁ¤´ëÂ÷ " xfId="167"/>
    <cellStyle name="C￥AØ_AU±Y_AßA¤´eA÷ " xfId="168"/>
    <cellStyle name="Ç¥ÁØ_ÀÚ±Ý_ÃßÁ¤´ëÂ÷ " xfId="169"/>
    <cellStyle name="C￥AØ_Ay°eC￥(2¿u) " xfId="170"/>
    <cellStyle name="Ç¥ÁØ_Áý°èÇ¥(2¿ù) " xfId="171"/>
    <cellStyle name="C￥AØ_CoAo¹yAI °A¾×¿ⓒ½A " xfId="172"/>
    <cellStyle name="Ç¥ÁØ_º¸¼öÃÑ°ý " xfId="173"/>
    <cellStyle name="C￥AØ_p.mix " xfId="174"/>
    <cellStyle name="Ç¥ÁØ_p.mix " xfId="175"/>
    <cellStyle name="C￥AØ_SOON1 " xfId="176"/>
    <cellStyle name="Ç¥ÁØ_SOON1 " xfId="177"/>
    <cellStyle name="category" xfId="178"/>
    <cellStyle name="Comma [0]_ SG&amp;A Bridge " xfId="179"/>
    <cellStyle name="comma zerodec" xfId="180"/>
    <cellStyle name="Comma_ SG&amp;A Bridge " xfId="181"/>
    <cellStyle name="Curren?_x0012_퐀_x0017_?" xfId="182"/>
    <cellStyle name="Currency [0]_ SG&amp;A Bridge " xfId="183"/>
    <cellStyle name="Currency_ SG&amp;A Bridge " xfId="184"/>
    <cellStyle name="Currency1" xfId="185"/>
    <cellStyle name="Dollar (zero dec)" xfId="186"/>
    <cellStyle name="Euro" xfId="187"/>
    <cellStyle name="Grey" xfId="188"/>
    <cellStyle name="HEADER" xfId="189"/>
    <cellStyle name="Header1" xfId="190"/>
    <cellStyle name="Header2" xfId="191"/>
    <cellStyle name="Input [yellow]" xfId="192"/>
    <cellStyle name="Model" xfId="193"/>
    <cellStyle name="Normal - Style1" xfId="194"/>
    <cellStyle name="Normal_ SG&amp;A Bridge " xfId="195"/>
    <cellStyle name="Percent [2]" xfId="196"/>
    <cellStyle name="S Sans Serif" xfId="197"/>
    <cellStyle name="subhead" xfId="198"/>
    <cellStyle name="咬訌裝?INCOM1" xfId="199"/>
    <cellStyle name="咬訌裝?INCOM10" xfId="200"/>
    <cellStyle name="咬訌裝?INCOM2" xfId="201"/>
    <cellStyle name="咬訌裝?INCOM3" xfId="202"/>
    <cellStyle name="咬訌裝?INCOM4" xfId="203"/>
    <cellStyle name="咬訌裝?INCOM5" xfId="204"/>
    <cellStyle name="咬訌裝?INCOM6" xfId="205"/>
    <cellStyle name="咬訌裝?INCOM7" xfId="206"/>
    <cellStyle name="咬訌裝?INCOM8" xfId="207"/>
    <cellStyle name="咬訌裝?INCOM9" xfId="208"/>
    <cellStyle name="咬訌裝?PRIB11" xfId="209"/>
    <cellStyle name="김재형" xfId="210"/>
    <cellStyle name="뒤에 오는 하이퍼링크_(0301)영업소평가결과양식(송부)" xfId="211"/>
    <cellStyle name="똿뗦먛귟 [0.00]_PRODUCT DETAIL Q1" xfId="212"/>
    <cellStyle name="똿뗦먛귟_PRODUCT DETAIL Q1" xfId="213"/>
    <cellStyle name="믅됞 [0.00]_PRODUCT DETAIL Q1" xfId="214"/>
    <cellStyle name="믅됞_PRODUCT DETAIL Q1" xfId="215"/>
    <cellStyle name="백분율" xfId="2473" builtinId="5"/>
    <cellStyle name="백분율 2" xfId="216"/>
    <cellStyle name="백분율 2 2" xfId="2468"/>
    <cellStyle name="백분율 3" xfId="217"/>
    <cellStyle name="백분율 3 2" xfId="2461"/>
    <cellStyle name="백분율 4" xfId="2456"/>
    <cellStyle name="백분율 4 2" xfId="2470"/>
    <cellStyle name="백분율 4 2 2" xfId="2481"/>
    <cellStyle name="백분율 4 2 3" xfId="2485"/>
    <cellStyle name="백분율 5" xfId="2459"/>
    <cellStyle name="백분율 6" xfId="2462"/>
    <cellStyle name="뷭?_BOOKSHIP" xfId="218"/>
    <cellStyle name="쉼표 [0]" xfId="2474" builtinId="6"/>
    <cellStyle name="쉼표 [0] 2" xfId="219"/>
    <cellStyle name="쉼표 [0] 3" xfId="220"/>
    <cellStyle name="쉼표 [0] 3 2" xfId="2463"/>
    <cellStyle name="쉼표 [0] 4" xfId="2458"/>
    <cellStyle name="쉼표 [0] 4 2" xfId="2471"/>
    <cellStyle name="쉼표 [0] 4 2 2" xfId="2483"/>
    <cellStyle name="쉼표 [0] 4 2 3" xfId="2486"/>
    <cellStyle name="쉼표 [0] 5" xfId="2464"/>
    <cellStyle name="쉼표 [0] 6" xfId="2467"/>
    <cellStyle name="쉼표 [0] 7" xfId="2476"/>
    <cellStyle name="쉼표 [0] 7 2" xfId="2478"/>
    <cellStyle name="스타일 1" xfId="221"/>
    <cellStyle name="스타일 10" xfId="222"/>
    <cellStyle name="스타일 100" xfId="223"/>
    <cellStyle name="스타일 101" xfId="224"/>
    <cellStyle name="스타일 102" xfId="225"/>
    <cellStyle name="스타일 103" xfId="226"/>
    <cellStyle name="스타일 104" xfId="227"/>
    <cellStyle name="스타일 105" xfId="228"/>
    <cellStyle name="스타일 106" xfId="229"/>
    <cellStyle name="스타일 107" xfId="230"/>
    <cellStyle name="스타일 108" xfId="231"/>
    <cellStyle name="스타일 109" xfId="232"/>
    <cellStyle name="스타일 11" xfId="233"/>
    <cellStyle name="스타일 110" xfId="234"/>
    <cellStyle name="스타일 111" xfId="235"/>
    <cellStyle name="스타일 112" xfId="236"/>
    <cellStyle name="스타일 113" xfId="237"/>
    <cellStyle name="스타일 114" xfId="238"/>
    <cellStyle name="스타일 115" xfId="239"/>
    <cellStyle name="스타일 116" xfId="240"/>
    <cellStyle name="스타일 117" xfId="241"/>
    <cellStyle name="스타일 118" xfId="242"/>
    <cellStyle name="스타일 119" xfId="243"/>
    <cellStyle name="스타일 12" xfId="244"/>
    <cellStyle name="스타일 120" xfId="245"/>
    <cellStyle name="스타일 121" xfId="246"/>
    <cellStyle name="스타일 122" xfId="247"/>
    <cellStyle name="스타일 123" xfId="248"/>
    <cellStyle name="스타일 124" xfId="249"/>
    <cellStyle name="스타일 125" xfId="250"/>
    <cellStyle name="스타일 126" xfId="251"/>
    <cellStyle name="스타일 127" xfId="252"/>
    <cellStyle name="스타일 128" xfId="253"/>
    <cellStyle name="스타일 129" xfId="254"/>
    <cellStyle name="스타일 13" xfId="255"/>
    <cellStyle name="스타일 130" xfId="256"/>
    <cellStyle name="스타일 131" xfId="257"/>
    <cellStyle name="스타일 132" xfId="258"/>
    <cellStyle name="스타일 133" xfId="259"/>
    <cellStyle name="스타일 134" xfId="260"/>
    <cellStyle name="스타일 135" xfId="261"/>
    <cellStyle name="스타일 136" xfId="262"/>
    <cellStyle name="스타일 137" xfId="263"/>
    <cellStyle name="스타일 138" xfId="264"/>
    <cellStyle name="스타일 139" xfId="265"/>
    <cellStyle name="스타일 14" xfId="266"/>
    <cellStyle name="스타일 140" xfId="267"/>
    <cellStyle name="스타일 141" xfId="268"/>
    <cellStyle name="스타일 142" xfId="269"/>
    <cellStyle name="스타일 143" xfId="270"/>
    <cellStyle name="스타일 144" xfId="271"/>
    <cellStyle name="스타일 145" xfId="272"/>
    <cellStyle name="스타일 146" xfId="273"/>
    <cellStyle name="스타일 147" xfId="274"/>
    <cellStyle name="스타일 148" xfId="275"/>
    <cellStyle name="스타일 149" xfId="276"/>
    <cellStyle name="스타일 15" xfId="277"/>
    <cellStyle name="스타일 150" xfId="278"/>
    <cellStyle name="스타일 151" xfId="279"/>
    <cellStyle name="스타일 152" xfId="280"/>
    <cellStyle name="스타일 153" xfId="281"/>
    <cellStyle name="스타일 154" xfId="282"/>
    <cellStyle name="스타일 155" xfId="283"/>
    <cellStyle name="스타일 156" xfId="284"/>
    <cellStyle name="스타일 157" xfId="285"/>
    <cellStyle name="스타일 158" xfId="286"/>
    <cellStyle name="스타일 159" xfId="287"/>
    <cellStyle name="스타일 16" xfId="288"/>
    <cellStyle name="스타일 160" xfId="289"/>
    <cellStyle name="스타일 161" xfId="290"/>
    <cellStyle name="스타일 162" xfId="291"/>
    <cellStyle name="스타일 163" xfId="292"/>
    <cellStyle name="스타일 164" xfId="293"/>
    <cellStyle name="스타일 165" xfId="294"/>
    <cellStyle name="스타일 166" xfId="295"/>
    <cellStyle name="스타일 167" xfId="296"/>
    <cellStyle name="스타일 168" xfId="297"/>
    <cellStyle name="스타일 169" xfId="298"/>
    <cellStyle name="스타일 17" xfId="299"/>
    <cellStyle name="스타일 170" xfId="300"/>
    <cellStyle name="스타일 171" xfId="301"/>
    <cellStyle name="스타일 172" xfId="302"/>
    <cellStyle name="스타일 173" xfId="303"/>
    <cellStyle name="스타일 174" xfId="304"/>
    <cellStyle name="스타일 175" xfId="305"/>
    <cellStyle name="스타일 176" xfId="306"/>
    <cellStyle name="스타일 177" xfId="307"/>
    <cellStyle name="스타일 178" xfId="308"/>
    <cellStyle name="스타일 179" xfId="309"/>
    <cellStyle name="스타일 18" xfId="310"/>
    <cellStyle name="스타일 180" xfId="311"/>
    <cellStyle name="스타일 181" xfId="312"/>
    <cellStyle name="스타일 182" xfId="313"/>
    <cellStyle name="스타일 183" xfId="314"/>
    <cellStyle name="스타일 184" xfId="315"/>
    <cellStyle name="스타일 185" xfId="316"/>
    <cellStyle name="스타일 186" xfId="317"/>
    <cellStyle name="스타일 187" xfId="318"/>
    <cellStyle name="스타일 188" xfId="319"/>
    <cellStyle name="스타일 189" xfId="320"/>
    <cellStyle name="스타일 19" xfId="321"/>
    <cellStyle name="스타일 190" xfId="322"/>
    <cellStyle name="스타일 191" xfId="323"/>
    <cellStyle name="스타일 192" xfId="324"/>
    <cellStyle name="스타일 193" xfId="325"/>
    <cellStyle name="스타일 194" xfId="326"/>
    <cellStyle name="스타일 195" xfId="327"/>
    <cellStyle name="스타일 196" xfId="328"/>
    <cellStyle name="스타일 197" xfId="329"/>
    <cellStyle name="스타일 198" xfId="330"/>
    <cellStyle name="스타일 199" xfId="331"/>
    <cellStyle name="스타일 2" xfId="332"/>
    <cellStyle name="스타일 20" xfId="333"/>
    <cellStyle name="스타일 200" xfId="334"/>
    <cellStyle name="스타일 201" xfId="335"/>
    <cellStyle name="스타일 202" xfId="336"/>
    <cellStyle name="스타일 203" xfId="337"/>
    <cellStyle name="스타일 204" xfId="338"/>
    <cellStyle name="스타일 205" xfId="339"/>
    <cellStyle name="스타일 206" xfId="340"/>
    <cellStyle name="스타일 207" xfId="341"/>
    <cellStyle name="스타일 208" xfId="342"/>
    <cellStyle name="스타일 209" xfId="343"/>
    <cellStyle name="스타일 21" xfId="344"/>
    <cellStyle name="스타일 210" xfId="345"/>
    <cellStyle name="스타일 211" xfId="346"/>
    <cellStyle name="스타일 212" xfId="347"/>
    <cellStyle name="스타일 213" xfId="348"/>
    <cellStyle name="스타일 214" xfId="349"/>
    <cellStyle name="스타일 215" xfId="350"/>
    <cellStyle name="스타일 216" xfId="351"/>
    <cellStyle name="스타일 217" xfId="352"/>
    <cellStyle name="스타일 218" xfId="353"/>
    <cellStyle name="스타일 219" xfId="354"/>
    <cellStyle name="스타일 22" xfId="355"/>
    <cellStyle name="스타일 220" xfId="356"/>
    <cellStyle name="스타일 221" xfId="357"/>
    <cellStyle name="스타일 222" xfId="358"/>
    <cellStyle name="스타일 223" xfId="359"/>
    <cellStyle name="스타일 224" xfId="360"/>
    <cellStyle name="스타일 225" xfId="361"/>
    <cellStyle name="스타일 226" xfId="362"/>
    <cellStyle name="스타일 227" xfId="363"/>
    <cellStyle name="스타일 228" xfId="364"/>
    <cellStyle name="스타일 229" xfId="365"/>
    <cellStyle name="스타일 23" xfId="366"/>
    <cellStyle name="스타일 230" xfId="367"/>
    <cellStyle name="스타일 231" xfId="368"/>
    <cellStyle name="스타일 232" xfId="369"/>
    <cellStyle name="스타일 233" xfId="370"/>
    <cellStyle name="스타일 234" xfId="371"/>
    <cellStyle name="스타일 235" xfId="372"/>
    <cellStyle name="스타일 236" xfId="373"/>
    <cellStyle name="스타일 237" xfId="374"/>
    <cellStyle name="스타일 238" xfId="375"/>
    <cellStyle name="스타일 239" xfId="376"/>
    <cellStyle name="스타일 24" xfId="377"/>
    <cellStyle name="스타일 240" xfId="378"/>
    <cellStyle name="스타일 241" xfId="379"/>
    <cellStyle name="스타일 242" xfId="380"/>
    <cellStyle name="스타일 243" xfId="381"/>
    <cellStyle name="스타일 244" xfId="382"/>
    <cellStyle name="스타일 245" xfId="383"/>
    <cellStyle name="스타일 246" xfId="384"/>
    <cellStyle name="스타일 247" xfId="385"/>
    <cellStyle name="스타일 248" xfId="386"/>
    <cellStyle name="스타일 249" xfId="387"/>
    <cellStyle name="스타일 25" xfId="388"/>
    <cellStyle name="스타일 250" xfId="389"/>
    <cellStyle name="스타일 251" xfId="390"/>
    <cellStyle name="스타일 252" xfId="391"/>
    <cellStyle name="스타일 253" xfId="392"/>
    <cellStyle name="스타일 254" xfId="393"/>
    <cellStyle name="스타일 255" xfId="394"/>
    <cellStyle name="스타일 26" xfId="395"/>
    <cellStyle name="스타일 27" xfId="396"/>
    <cellStyle name="스타일 28" xfId="397"/>
    <cellStyle name="스타일 29" xfId="398"/>
    <cellStyle name="스타일 3" xfId="399"/>
    <cellStyle name="스타일 30" xfId="400"/>
    <cellStyle name="스타일 31" xfId="401"/>
    <cellStyle name="스타일 32" xfId="402"/>
    <cellStyle name="스타일 33" xfId="403"/>
    <cellStyle name="스타일 34" xfId="404"/>
    <cellStyle name="스타일 35" xfId="405"/>
    <cellStyle name="스타일 36" xfId="406"/>
    <cellStyle name="스타일 37" xfId="407"/>
    <cellStyle name="스타일 38" xfId="408"/>
    <cellStyle name="스타일 39" xfId="409"/>
    <cellStyle name="스타일 4" xfId="410"/>
    <cellStyle name="스타일 40" xfId="411"/>
    <cellStyle name="스타일 41" xfId="412"/>
    <cellStyle name="스타일 42" xfId="413"/>
    <cellStyle name="스타일 43" xfId="414"/>
    <cellStyle name="스타일 44" xfId="415"/>
    <cellStyle name="스타일 45" xfId="416"/>
    <cellStyle name="스타일 46" xfId="417"/>
    <cellStyle name="스타일 47" xfId="418"/>
    <cellStyle name="스타일 48" xfId="419"/>
    <cellStyle name="스타일 49" xfId="420"/>
    <cellStyle name="스타일 5" xfId="421"/>
    <cellStyle name="스타일 50" xfId="422"/>
    <cellStyle name="스타일 51" xfId="423"/>
    <cellStyle name="스타일 52" xfId="424"/>
    <cellStyle name="스타일 53" xfId="425"/>
    <cellStyle name="스타일 54" xfId="426"/>
    <cellStyle name="스타일 55" xfId="427"/>
    <cellStyle name="스타일 56" xfId="428"/>
    <cellStyle name="스타일 57" xfId="429"/>
    <cellStyle name="스타일 58" xfId="430"/>
    <cellStyle name="스타일 59" xfId="431"/>
    <cellStyle name="스타일 6" xfId="432"/>
    <cellStyle name="스타일 60" xfId="433"/>
    <cellStyle name="스타일 61" xfId="434"/>
    <cellStyle name="스타일 62" xfId="435"/>
    <cellStyle name="스타일 63" xfId="436"/>
    <cellStyle name="스타일 64" xfId="437"/>
    <cellStyle name="스타일 65" xfId="438"/>
    <cellStyle name="스타일 66" xfId="439"/>
    <cellStyle name="스타일 67" xfId="440"/>
    <cellStyle name="스타일 68" xfId="441"/>
    <cellStyle name="스타일 69" xfId="442"/>
    <cellStyle name="스타일 7" xfId="443"/>
    <cellStyle name="스타일 70" xfId="444"/>
    <cellStyle name="스타일 71" xfId="445"/>
    <cellStyle name="스타일 72" xfId="446"/>
    <cellStyle name="스타일 73" xfId="447"/>
    <cellStyle name="스타일 74" xfId="448"/>
    <cellStyle name="스타일 75" xfId="449"/>
    <cellStyle name="스타일 76" xfId="450"/>
    <cellStyle name="스타일 77" xfId="451"/>
    <cellStyle name="스타일 78" xfId="452"/>
    <cellStyle name="스타일 79" xfId="453"/>
    <cellStyle name="스타일 8" xfId="454"/>
    <cellStyle name="스타일 80" xfId="455"/>
    <cellStyle name="스타일 81" xfId="456"/>
    <cellStyle name="스타일 82" xfId="457"/>
    <cellStyle name="스타일 83" xfId="458"/>
    <cellStyle name="스타일 84" xfId="459"/>
    <cellStyle name="스타일 85" xfId="460"/>
    <cellStyle name="스타일 86" xfId="461"/>
    <cellStyle name="스타일 87" xfId="462"/>
    <cellStyle name="스타일 88" xfId="463"/>
    <cellStyle name="스타일 89" xfId="464"/>
    <cellStyle name="스타일 9" xfId="465"/>
    <cellStyle name="스타일 90" xfId="466"/>
    <cellStyle name="스타일 91" xfId="467"/>
    <cellStyle name="스타일 92" xfId="468"/>
    <cellStyle name="스타일 93" xfId="469"/>
    <cellStyle name="스타일 94" xfId="470"/>
    <cellStyle name="스타일 95" xfId="471"/>
    <cellStyle name="스타일 96" xfId="472"/>
    <cellStyle name="스타일 97" xfId="473"/>
    <cellStyle name="스타일 98" xfId="474"/>
    <cellStyle name="스타일 99" xfId="475"/>
    <cellStyle name="원" xfId="476"/>
    <cellStyle name="원_(0301) 3분기 경남본부(영) 평가결과" xfId="477"/>
    <cellStyle name="원_(0301) 3분기 경인본부(영) 평가결과" xfId="478"/>
    <cellStyle name="원_(0301)평가품의서(단위별)3분기" xfId="479"/>
    <cellStyle name="원_(0301)평가품의서(단위별)3분기_2005.11월 점포코드" xfId="480"/>
    <cellStyle name="원_(0301)평가품의서(단위별)3분기_3058752004021610345903850617_타사유치 진행현황-본부보고용" xfId="481"/>
    <cellStyle name="원_(0301)평가품의서(단위별)3분기_7-9월설치분집행(1018)" xfId="482"/>
    <cellStyle name="원_(0301)평가품의서(단위별)3분기_Feedback-일반활성화FY'07.2분기-품의" xfId="483"/>
    <cellStyle name="원_(0301)평가품의서(단위별)3분기_TM-FY'07.중간피드백-6" xfId="484"/>
    <cellStyle name="원_(0301)평가품의서(단위별)3분기_TM대리점활성화방안(0928)" xfId="485"/>
    <cellStyle name="원_(0301)평가품의서(단위별)3분기_TM대리점활성화방안(0930)-1" xfId="486"/>
    <cellStyle name="원_(0301)평가품의서(단위별)3분기_TM신상품개발검토의견(20060327)" xfId="487"/>
    <cellStyle name="원_(0301)평가품의서(단위별)3분기_TM신청서(최종)-마지부(1229)" xfId="488"/>
    <cellStyle name="원_(0301)평가품의서(단위별)3분기_부문별월별매출계획(070330기획실)" xfId="489"/>
    <cellStyle name="원_(0301)평가품의서(단위별)3분기_신상품재검토(20040417)" xfId="490"/>
    <cellStyle name="원_(0301)평가품의서(단위별)3분기_업체선정평가표(장기tm-20051201)-장원제(최종)" xfId="491"/>
    <cellStyle name="원_(0301)평가품의서(단위별)3분기_업추비개선(초안)" xfId="492"/>
    <cellStyle name="원_(0301)평가품의서(단위별)3분기_우수대리점본부보고(서강)" xfId="493"/>
    <cellStyle name="원_(0301)평가품의서(단위별)3분기_우수대리점본부보고(서강)_1" xfId="494"/>
    <cellStyle name="원_(0301)평가품의서(단위별)3분기_우수대리점본부보고(은평)" xfId="495"/>
    <cellStyle name="원_(0301)평가품의서(단위별)3분기_우수대리점본부보고(일산)" xfId="496"/>
    <cellStyle name="원_(0301)평가품의서(단위별)3분기_우수대리점유치(0219)" xfId="497"/>
    <cellStyle name="원_(0301)평가품의서(단위별)3분기_유지율개선실시사항(050901)" xfId="498"/>
    <cellStyle name="원_(0301)평가품의서(단위별)3분기_인수지침관련의견" xfId="499"/>
    <cellStyle name="원_(0301)평가품의서(단위별)3분기_일반보험보고(0801)-3" xfId="500"/>
    <cellStyle name="원_(0301)평가품의서(단위별)3분기_장기TM관리업무지침안(보완-0105)" xfId="501"/>
    <cellStyle name="원_(0301)평가품의서(단위별)3분기_장기TM관리지침별첨(최종-0614)" xfId="502"/>
    <cellStyle name="원_(0301)평가품의서(단위별)3분기_장기TM대리점지원및관리규정(20051216-발송용)" xfId="503"/>
    <cellStyle name="원_(0301)평가품의서(단위별)3분기_장기보험목표달성방안(070903-2)" xfId="504"/>
    <cellStyle name="원_(0301)평가품의서(단위별)3분기_장기특성별실적_조정후(가안)" xfId="505"/>
    <cellStyle name="원_(0301)평가품의서(단위별)3분기_통신판매가이드라인정리(최종)" xfId="506"/>
    <cellStyle name="원_(0301)평가품의서(단위별)3분기_프리스타일(수당업)" xfId="507"/>
    <cellStyle name="원_(0301)평가품의서(단위별)3분기_하이라이프다이렉트수수료안(20060522)" xfId="508"/>
    <cellStyle name="원_(0301)평가품의서(단위별)3분기_해외여행보험활성화(060620-최종)" xfId="509"/>
    <cellStyle name="원_(0301)평가품의서(단위별)3분기_현장간담회 결과보고" xfId="510"/>
    <cellStyle name="원_(03011) 2분기 (영)평가결과(송부)" xfId="511"/>
    <cellStyle name="원_(0302) 2003평가기준초안" xfId="512"/>
    <cellStyle name="원_(0302) 2003평가기준초안_2005.11월 점포코드" xfId="513"/>
    <cellStyle name="원_(0302) 2003평가기준초안_3058752004021610345903850617_타사유치 진행현황-본부보고용" xfId="514"/>
    <cellStyle name="원_(0302) 2003평가기준초안_34분기평가예상-용자이(12.7)" xfId="515"/>
    <cellStyle name="원_(0302) 2003평가기준초안_34분기평가예상-용자이(12.7)_우수대리점본부보고(서강)" xfId="516"/>
    <cellStyle name="원_(0302) 2003평가기준초안_34분기평가예상-용자이(12.7)_우수대리점유치(0219)" xfId="517"/>
    <cellStyle name="원_(0302) 2003평가기준초안_3분기예상실적1014" xfId="518"/>
    <cellStyle name="원_(0302) 2003평가기준초안_7-9월설치분집행(1018)" xfId="519"/>
    <cellStyle name="원_(0302) 2003평가기준초안_Feedback-일반활성화FY'07.2분기-품의" xfId="520"/>
    <cellStyle name="원_(0302) 2003평가기준초안_TM-FY'07.중간피드백-6" xfId="521"/>
    <cellStyle name="원_(0302) 2003평가기준초안_TM대리점활성화방안(0928)" xfId="522"/>
    <cellStyle name="원_(0302) 2003평가기준초안_TM대리점활성화방안(0930)-1" xfId="523"/>
    <cellStyle name="원_(0302) 2003평가기준초안_TM신상품개발검토의견(20060327)" xfId="524"/>
    <cellStyle name="원_(0302) 2003평가기준초안_TM신청서(최종)-마지부(1229)" xfId="525"/>
    <cellStyle name="원_(0302) 2003평가기준초안_부문별월별매출계획(070330기획실)" xfId="526"/>
    <cellStyle name="원_(0302) 2003평가기준초안_손익점수(강북)" xfId="527"/>
    <cellStyle name="원_(0302) 2003평가기준초안_신상품재검토(20040417)" xfId="528"/>
    <cellStyle name="원_(0302) 2003평가기준초안_업체선정평가표(장기tm-20051201)-장원제(최종)" xfId="529"/>
    <cellStyle name="원_(0302) 2003평가기준초안_업추비개선(초안)" xfId="530"/>
    <cellStyle name="원_(0302) 2003평가기준초안_우수대리점본부보고(북부)" xfId="531"/>
    <cellStyle name="원_(0302) 2003평가기준초안_우수대리점본부보고(서강)" xfId="532"/>
    <cellStyle name="원_(0302) 2003평가기준초안_우수대리점본부보고(은평)" xfId="533"/>
    <cellStyle name="원_(0302) 2003평가기준초안_우수대리점본부보고(일산)" xfId="534"/>
    <cellStyle name="원_(0302) 2003평가기준초안_우수대리점유치(0219)" xfId="535"/>
    <cellStyle name="원_(0302) 2003평가기준초안_우수대리점유치현황(북부)" xfId="536"/>
    <cellStyle name="원_(0302) 2003평가기준초안_우수대리점유치현황(서강)" xfId="537"/>
    <cellStyle name="원_(0302) 2003평가기준초안_유지율개선실시사항(050901)" xfId="538"/>
    <cellStyle name="원_(0302) 2003평가기준초안_인수지침관련의견" xfId="539"/>
    <cellStyle name="원_(0302) 2003평가기준초안_일반보험보고(0801)-3" xfId="540"/>
    <cellStyle name="원_(0302) 2003평가기준초안_장기TM관리업무지침안(보완-0105)" xfId="541"/>
    <cellStyle name="원_(0302) 2003평가기준초안_장기TM관리지침별첨(최종-0614)" xfId="542"/>
    <cellStyle name="원_(0302) 2003평가기준초안_장기TM대리점지원및관리규정(20051216-발송용)" xfId="543"/>
    <cellStyle name="원_(0302) 2003평가기준초안_장기보험목표달성방안(070903-2)" xfId="544"/>
    <cellStyle name="원_(0302) 2003평가기준초안_장기특성별실적_조정후(가안)" xfId="545"/>
    <cellStyle name="원_(0302) 2003평가기준초안_통신판매가이드라인정리(최종)" xfId="546"/>
    <cellStyle name="원_(0302) 2003평가기준초안_표지" xfId="547"/>
    <cellStyle name="원_(0302) 2003평가기준초안_표지_우수대리점본부보고(서강)" xfId="548"/>
    <cellStyle name="원_(0302) 2003평가기준초안_표지_우수대리점유치(0219)" xfId="549"/>
    <cellStyle name="원_(0302) 2003평가기준초안_프리스타일(수당업)" xfId="550"/>
    <cellStyle name="원_(0302) 2003평가기준초안_하이라이프다이렉트수수료안(20060522)" xfId="551"/>
    <cellStyle name="원_(0302) 2003평가기준초안_해외여행보험활성화(060620-최종)" xfId="552"/>
    <cellStyle name="원_(0302) 2003평가기준초안_현대해상'05년우수대리점제안서(송부용최종1222)" xfId="553"/>
    <cellStyle name="원_(0302) 2003평가기준초안_현대해상'05년우수대리점제안서(송부용최종1222)_0703장기보험마감분석" xfId="554"/>
    <cellStyle name="원_(0302) 2003평가기준초안_현대해상'05년우수대리점제안서(송부용최종1222)_7-9월설치분집행(1018)" xfId="555"/>
    <cellStyle name="원_(0302) 2003평가기준초안_현대해상'05년우수대리점제안서(송부용최종1222)_Feedback-일반활성화FY'07.2분기-품의" xfId="556"/>
    <cellStyle name="원_(0302) 2003평가기준초안_현대해상'05년우수대리점제안서(송부용최종1222)_FY'07점포영업전략(070403)" xfId="557"/>
    <cellStyle name="원_(0302) 2003평가기준초안_현대해상'05년우수대리점제안서(송부용최종1222)_TM-FY'07.중간피드백-6" xfId="558"/>
    <cellStyle name="원_(0302) 2003평가기준초안_현대해상'05년우수대리점제안서(송부용최종1222)_TM대리점활성화방안(0928)" xfId="559"/>
    <cellStyle name="원_(0302) 2003평가기준초안_현대해상'05년우수대리점제안서(송부용최종1222)_TM대리점활성화방안(0930)-1" xfId="560"/>
    <cellStyle name="원_(0302) 2003평가기준초안_현대해상'05년우수대리점제안서(송부용최종1222)_TM신상품개발검토의견(20060327)" xfId="561"/>
    <cellStyle name="원_(0302) 2003평가기준초안_현대해상'05년우수대리점제안서(송부용최종1222)_TM신청서(최종)-마지부(1229)" xfId="562"/>
    <cellStyle name="원_(0302) 2003평가기준초안_현대해상'05년우수대리점제안서(송부용최종1222)_보장자산증대방안" xfId="563"/>
    <cellStyle name="원_(0302) 2003평가기준초안_현대해상'05년우수대리점제안서(송부용최종1222)_신상품재검토(20040417)" xfId="564"/>
    <cellStyle name="원_(0302) 2003평가기준초안_현대해상'05년우수대리점제안서(송부용최종1222)_업체선정평가표(장기tm-20051201)-장원제(최종)" xfId="565"/>
    <cellStyle name="원_(0302) 2003평가기준초안_현대해상'05년우수대리점제안서(송부용최종1222)_유지율개선실시사항(050901)" xfId="566"/>
    <cellStyle name="원_(0302) 2003평가기준초안_현대해상'05년우수대리점제안서(송부용최종1222)_인수지침관련의견" xfId="567"/>
    <cellStyle name="원_(0302) 2003평가기준초안_현대해상'05년우수대리점제안서(송부용최종1222)_일반보험보고(0801)-3" xfId="568"/>
    <cellStyle name="원_(0302) 2003평가기준초안_현대해상'05년우수대리점제안서(송부용최종1222)_장기TM관리업무지침안(보완-0105)" xfId="569"/>
    <cellStyle name="원_(0302) 2003평가기준초안_현대해상'05년우수대리점제안서(송부용최종1222)_장기TM관리지침별첨(최종-0614)" xfId="570"/>
    <cellStyle name="원_(0302) 2003평가기준초안_현대해상'05년우수대리점제안서(송부용최종1222)_장기TM대리점지원및관리규정(20051216-발송용)" xfId="571"/>
    <cellStyle name="원_(0302) 2003평가기준초안_현대해상'05년우수대리점제안서(송부용최종1222)_통신판매가이드라인정리(최종)" xfId="572"/>
    <cellStyle name="원_(0302) 2003평가기준초안_현대해상'05년우수대리점제안서(송부용최종1222)_프리스타일(수당업)" xfId="573"/>
    <cellStyle name="원_(0302) 2003평가기준초안_현대해상'05년우수대리점제안서(송부용최종1222)_하이라이프다이렉트수수료안(20060522)" xfId="574"/>
    <cellStyle name="원_(0302) 2003평가기준초안_현대해상'05년우수대리점제안서(송부용최종1222)_해외여행보험활성화(060620-최종)" xfId="575"/>
    <cellStyle name="원_(0302) 2003평가기준초안_현대해상'05년우수대리점제안서(송부용최종1222)_해외연수실시안(20071220)-7차-공지용" xfId="576"/>
    <cellStyle name="원_(0302) 2003평가기준초안_현대해상'05년우수대리점제안서(송부용최종1222)_해외연수실시안(20080130)-후꾸오까-차수조정" xfId="577"/>
    <cellStyle name="원_(0302) 2003평가기준초안_현장간담회 결과보고" xfId="578"/>
    <cellStyle name="원_(0303) 2003 평가기준(중안)" xfId="579"/>
    <cellStyle name="원_(0303) 2003 평가기준(중안)_2005.11월 점포코드" xfId="580"/>
    <cellStyle name="원_(0303) 2003 평가기준(중안)_3058752004021610345903850617_타사유치 진행현황-본부보고용" xfId="581"/>
    <cellStyle name="원_(0303) 2003 평가기준(중안)_34분기평가예상-용자이(12.7)" xfId="582"/>
    <cellStyle name="원_(0303) 2003 평가기준(중안)_34분기평가예상-용자이(12.7)_우수대리점본부보고(서강)" xfId="583"/>
    <cellStyle name="원_(0303) 2003 평가기준(중안)_34분기평가예상-용자이(12.7)_우수대리점유치(0219)" xfId="584"/>
    <cellStyle name="원_(0303) 2003 평가기준(중안)_3분기예상실적1014" xfId="585"/>
    <cellStyle name="원_(0303) 2003 평가기준(중안)_7-9월설치분집행(1018)" xfId="586"/>
    <cellStyle name="원_(0303) 2003 평가기준(중안)_Feedback-일반활성화FY'07.2분기-품의" xfId="587"/>
    <cellStyle name="원_(0303) 2003 평가기준(중안)_TM-FY'07.중간피드백-6" xfId="588"/>
    <cellStyle name="원_(0303) 2003 평가기준(중안)_TM대리점활성화방안(0928)" xfId="589"/>
    <cellStyle name="원_(0303) 2003 평가기준(중안)_TM대리점활성화방안(0930)-1" xfId="590"/>
    <cellStyle name="원_(0303) 2003 평가기준(중안)_TM신상품개발검토의견(20060327)" xfId="591"/>
    <cellStyle name="원_(0303) 2003 평가기준(중안)_TM신청서(최종)-마지부(1229)" xfId="592"/>
    <cellStyle name="원_(0303) 2003 평가기준(중안)_부문별월별매출계획(070330기획실)" xfId="593"/>
    <cellStyle name="원_(0303) 2003 평가기준(중안)_손익점수(강북)" xfId="594"/>
    <cellStyle name="원_(0303) 2003 평가기준(중안)_신상품재검토(20040417)" xfId="595"/>
    <cellStyle name="원_(0303) 2003 평가기준(중안)_업체선정평가표(장기tm-20051201)-장원제(최종)" xfId="596"/>
    <cellStyle name="원_(0303) 2003 평가기준(중안)_업추비개선(초안)" xfId="597"/>
    <cellStyle name="원_(0303) 2003 평가기준(중안)_우수대리점본부보고(북부)" xfId="598"/>
    <cellStyle name="원_(0303) 2003 평가기준(중안)_우수대리점본부보고(서강)" xfId="599"/>
    <cellStyle name="원_(0303) 2003 평가기준(중안)_우수대리점본부보고(은평)" xfId="600"/>
    <cellStyle name="원_(0303) 2003 평가기준(중안)_우수대리점본부보고(일산)" xfId="601"/>
    <cellStyle name="원_(0303) 2003 평가기준(중안)_우수대리점유치(0219)" xfId="602"/>
    <cellStyle name="원_(0303) 2003 평가기준(중안)_우수대리점유치현황(북부)" xfId="603"/>
    <cellStyle name="원_(0303) 2003 평가기준(중안)_우수대리점유치현황(서강)" xfId="604"/>
    <cellStyle name="원_(0303) 2003 평가기준(중안)_유지율개선실시사항(050901)" xfId="605"/>
    <cellStyle name="원_(0303) 2003 평가기준(중안)_인수지침관련의견" xfId="606"/>
    <cellStyle name="원_(0303) 2003 평가기준(중안)_일반보험보고(0801)-3" xfId="607"/>
    <cellStyle name="원_(0303) 2003 평가기준(중안)_장기TM관리업무지침안(보완-0105)" xfId="608"/>
    <cellStyle name="원_(0303) 2003 평가기준(중안)_장기TM관리지침별첨(최종-0614)" xfId="609"/>
    <cellStyle name="원_(0303) 2003 평가기준(중안)_장기TM대리점지원및관리규정(20051216-발송용)" xfId="610"/>
    <cellStyle name="원_(0303) 2003 평가기준(중안)_장기보험목표달성방안(070903-2)" xfId="611"/>
    <cellStyle name="원_(0303) 2003 평가기준(중안)_장기특성별실적_조정후(가안)" xfId="612"/>
    <cellStyle name="원_(0303) 2003 평가기준(중안)_통신판매가이드라인정리(최종)" xfId="613"/>
    <cellStyle name="원_(0303) 2003 평가기준(중안)_표지" xfId="614"/>
    <cellStyle name="원_(0303) 2003 평가기준(중안)_표지_우수대리점본부보고(서강)" xfId="615"/>
    <cellStyle name="원_(0303) 2003 평가기준(중안)_표지_우수대리점유치(0219)" xfId="616"/>
    <cellStyle name="원_(0303) 2003 평가기준(중안)_프리스타일(수당업)" xfId="617"/>
    <cellStyle name="원_(0303) 2003 평가기준(중안)_하이라이프다이렉트수수료안(20060522)" xfId="618"/>
    <cellStyle name="원_(0303) 2003 평가기준(중안)_해외여행보험활성화(060620-최종)" xfId="619"/>
    <cellStyle name="원_(0303) 2003 평가기준(중안)_현대해상'05년우수대리점제안서(송부용최종1222)" xfId="620"/>
    <cellStyle name="원_(0303) 2003 평가기준(중안)_현대해상'05년우수대리점제안서(송부용최종1222)_0703장기보험마감분석" xfId="621"/>
    <cellStyle name="원_(0303) 2003 평가기준(중안)_현대해상'05년우수대리점제안서(송부용최종1222)_7-9월설치분집행(1018)" xfId="622"/>
    <cellStyle name="원_(0303) 2003 평가기준(중안)_현대해상'05년우수대리점제안서(송부용최종1222)_Feedback-일반활성화FY'07.2분기-품의" xfId="623"/>
    <cellStyle name="원_(0303) 2003 평가기준(중안)_현대해상'05년우수대리점제안서(송부용최종1222)_FY'07점포영업전략(070403)" xfId="624"/>
    <cellStyle name="원_(0303) 2003 평가기준(중안)_현대해상'05년우수대리점제안서(송부용최종1222)_TM-FY'07.중간피드백-6" xfId="625"/>
    <cellStyle name="원_(0303) 2003 평가기준(중안)_현대해상'05년우수대리점제안서(송부용최종1222)_TM대리점활성화방안(0928)" xfId="626"/>
    <cellStyle name="원_(0303) 2003 평가기준(중안)_현대해상'05년우수대리점제안서(송부용최종1222)_TM대리점활성화방안(0930)-1" xfId="627"/>
    <cellStyle name="원_(0303) 2003 평가기준(중안)_현대해상'05년우수대리점제안서(송부용최종1222)_TM신상품개발검토의견(20060327)" xfId="628"/>
    <cellStyle name="원_(0303) 2003 평가기준(중안)_현대해상'05년우수대리점제안서(송부용최종1222)_TM신청서(최종)-마지부(1229)" xfId="629"/>
    <cellStyle name="원_(0303) 2003 평가기준(중안)_현대해상'05년우수대리점제안서(송부용최종1222)_보장자산증대방안" xfId="630"/>
    <cellStyle name="원_(0303) 2003 평가기준(중안)_현대해상'05년우수대리점제안서(송부용최종1222)_신상품재검토(20040417)" xfId="631"/>
    <cellStyle name="원_(0303) 2003 평가기준(중안)_현대해상'05년우수대리점제안서(송부용최종1222)_업체선정평가표(장기tm-20051201)-장원제(최종)" xfId="632"/>
    <cellStyle name="원_(0303) 2003 평가기준(중안)_현대해상'05년우수대리점제안서(송부용최종1222)_유지율개선실시사항(050901)" xfId="633"/>
    <cellStyle name="원_(0303) 2003 평가기준(중안)_현대해상'05년우수대리점제안서(송부용최종1222)_인수지침관련의견" xfId="634"/>
    <cellStyle name="원_(0303) 2003 평가기준(중안)_현대해상'05년우수대리점제안서(송부용최종1222)_일반보험보고(0801)-3" xfId="635"/>
    <cellStyle name="원_(0303) 2003 평가기준(중안)_현대해상'05년우수대리점제안서(송부용최종1222)_장기TM관리업무지침안(보완-0105)" xfId="636"/>
    <cellStyle name="원_(0303) 2003 평가기준(중안)_현대해상'05년우수대리점제안서(송부용최종1222)_장기TM관리지침별첨(최종-0614)" xfId="637"/>
    <cellStyle name="원_(0303) 2003 평가기준(중안)_현대해상'05년우수대리점제안서(송부용최종1222)_장기TM대리점지원및관리규정(20051216-발송용)" xfId="638"/>
    <cellStyle name="원_(0303) 2003 평가기준(중안)_현대해상'05년우수대리점제안서(송부용최종1222)_통신판매가이드라인정리(최종)" xfId="639"/>
    <cellStyle name="원_(0303) 2003 평가기준(중안)_현대해상'05년우수대리점제안서(송부용최종1222)_프리스타일(수당업)" xfId="640"/>
    <cellStyle name="원_(0303) 2003 평가기준(중안)_현대해상'05년우수대리점제안서(송부용최종1222)_하이라이프다이렉트수수료안(20060522)" xfId="641"/>
    <cellStyle name="원_(0303) 2003 평가기준(중안)_현대해상'05년우수대리점제안서(송부용최종1222)_해외여행보험활성화(060620-최종)" xfId="642"/>
    <cellStyle name="원_(0303) 2003 평가기준(중안)_현대해상'05년우수대리점제안서(송부용최종1222)_해외연수실시안(20071220)-7차-공지용" xfId="643"/>
    <cellStyle name="원_(0303) 2003 평가기준(중안)_현대해상'05년우수대리점제안서(송부용최종1222)_해외연수실시안(20080130)-후꾸오까-차수조정" xfId="644"/>
    <cellStyle name="원_(0303) 2003 평가기준(중안)_현장간담회 결과보고" xfId="645"/>
    <cellStyle name="원_(0303)+평가기준(안)+시물자료" xfId="646"/>
    <cellStyle name="원_(0303)+평가기준(안)+시물자료_우수대리점본부보고(서강)" xfId="647"/>
    <cellStyle name="원_(0303)+평가기준(안)+시물자료_우수대리점유치(0219)" xfId="648"/>
    <cellStyle name="원_(030515) 등급화 품의(진짜진짜)" xfId="649"/>
    <cellStyle name="원_(030515) 등급화 품의(진짜진짜)_2005.11월 점포코드" xfId="650"/>
    <cellStyle name="원_(030515) 등급화 품의(진짜진짜)_7-9월설치분집행(1018)" xfId="651"/>
    <cellStyle name="원_(030515) 등급화 품의(진짜진짜)_Feedback-일반활성화FY'07.2분기-품의" xfId="652"/>
    <cellStyle name="원_(030515) 등급화 품의(진짜진짜)_TM-FY'07.중간피드백-6" xfId="653"/>
    <cellStyle name="원_(030515) 등급화 품의(진짜진짜)_TM대리점활성화방안(0928)" xfId="654"/>
    <cellStyle name="원_(030515) 등급화 품의(진짜진짜)_TM대리점활성화방안(0930)-1" xfId="655"/>
    <cellStyle name="원_(030515) 등급화 품의(진짜진짜)_TM신상품개발검토의견(20060327)" xfId="656"/>
    <cellStyle name="원_(030515) 등급화 품의(진짜진짜)_TM신청서(최종)-마지부(1229)" xfId="657"/>
    <cellStyle name="원_(030515) 등급화 품의(진짜진짜)_부문별월별매출계획(070330기획실)" xfId="658"/>
    <cellStyle name="원_(030515) 등급화 품의(진짜진짜)_신상품재검토(20040417)" xfId="659"/>
    <cellStyle name="원_(030515) 등급화 품의(진짜진짜)_업체선정평가표(장기tm-20051201)-장원제(최종)" xfId="660"/>
    <cellStyle name="원_(030515) 등급화 품의(진짜진짜)_업추비개선(초안)" xfId="661"/>
    <cellStyle name="원_(030515) 등급화 품의(진짜진짜)_유지율개선실시사항(050901)" xfId="662"/>
    <cellStyle name="원_(030515) 등급화 품의(진짜진짜)_인수지침관련의견" xfId="663"/>
    <cellStyle name="원_(030515) 등급화 품의(진짜진짜)_일반보험보고(0801)-3" xfId="664"/>
    <cellStyle name="원_(030515) 등급화 품의(진짜진짜)_장기TM관리업무지침안(보완-0105)" xfId="665"/>
    <cellStyle name="원_(030515) 등급화 품의(진짜진짜)_장기TM관리지침별첨(최종-0614)" xfId="666"/>
    <cellStyle name="원_(030515) 등급화 품의(진짜진짜)_장기TM대리점지원및관리규정(20051216-발송용)" xfId="667"/>
    <cellStyle name="원_(030515) 등급화 품의(진짜진짜)_장기보험목표달성방안(070903-2)" xfId="668"/>
    <cellStyle name="원_(030515) 등급화 품의(진짜진짜)_장기특성별실적_조정후(가안)" xfId="669"/>
    <cellStyle name="원_(030515) 등급화 품의(진짜진짜)_통신판매가이드라인정리(최종)" xfId="670"/>
    <cellStyle name="원_(030515) 등급화 품의(진짜진짜)_프리스타일(수당업)" xfId="671"/>
    <cellStyle name="원_(030515) 등급화 품의(진짜진짜)_하이라이프다이렉트수수료안(20060522)" xfId="672"/>
    <cellStyle name="원_(030515) 등급화 품의(진짜진짜)_해외여행보험활성화(060620-최종)" xfId="673"/>
    <cellStyle name="원_(030515) 등급화 품의(진짜진짜)_현대해상'05년우수대리점제안서(송부용최종1222)" xfId="674"/>
    <cellStyle name="원_(030515) 등급화 품의(진짜진짜)_현대해상'05년우수대리점제안서(송부용최종1222)_0703장기보험마감분석" xfId="675"/>
    <cellStyle name="원_(030515) 등급화 품의(진짜진짜)_현대해상'05년우수대리점제안서(송부용최종1222)_7-9월설치분집행(1018)" xfId="676"/>
    <cellStyle name="원_(030515) 등급화 품의(진짜진짜)_현대해상'05년우수대리점제안서(송부용최종1222)_Feedback-일반활성화FY'07.2분기-품의" xfId="677"/>
    <cellStyle name="원_(030515) 등급화 품의(진짜진짜)_현대해상'05년우수대리점제안서(송부용최종1222)_FY'07점포영업전략(070403)" xfId="678"/>
    <cellStyle name="원_(030515) 등급화 품의(진짜진짜)_현대해상'05년우수대리점제안서(송부용최종1222)_TM-FY'07.중간피드백-6" xfId="679"/>
    <cellStyle name="원_(030515) 등급화 품의(진짜진짜)_현대해상'05년우수대리점제안서(송부용최종1222)_TM대리점활성화방안(0928)" xfId="680"/>
    <cellStyle name="원_(030515) 등급화 품의(진짜진짜)_현대해상'05년우수대리점제안서(송부용최종1222)_TM대리점활성화방안(0930)-1" xfId="681"/>
    <cellStyle name="원_(030515) 등급화 품의(진짜진짜)_현대해상'05년우수대리점제안서(송부용최종1222)_TM신상품개발검토의견(20060327)" xfId="682"/>
    <cellStyle name="원_(030515) 등급화 품의(진짜진짜)_현대해상'05년우수대리점제안서(송부용최종1222)_TM신청서(최종)-마지부(1229)" xfId="683"/>
    <cellStyle name="원_(030515) 등급화 품의(진짜진짜)_현대해상'05년우수대리점제안서(송부용최종1222)_보장자산증대방안" xfId="684"/>
    <cellStyle name="원_(030515) 등급화 품의(진짜진짜)_현대해상'05년우수대리점제안서(송부용최종1222)_신상품재검토(20040417)" xfId="685"/>
    <cellStyle name="원_(030515) 등급화 품의(진짜진짜)_현대해상'05년우수대리점제안서(송부용최종1222)_업체선정평가표(장기tm-20051201)-장원제(최종)" xfId="686"/>
    <cellStyle name="원_(030515) 등급화 품의(진짜진짜)_현대해상'05년우수대리점제안서(송부용최종1222)_유지율개선실시사항(050901)" xfId="687"/>
    <cellStyle name="원_(030515) 등급화 품의(진짜진짜)_현대해상'05년우수대리점제안서(송부용최종1222)_인수지침관련의견" xfId="688"/>
    <cellStyle name="원_(030515) 등급화 품의(진짜진짜)_현대해상'05년우수대리점제안서(송부용최종1222)_일반보험보고(0801)-3" xfId="689"/>
    <cellStyle name="원_(030515) 등급화 품의(진짜진짜)_현대해상'05년우수대리점제안서(송부용최종1222)_장기TM관리업무지침안(보완-0105)" xfId="690"/>
    <cellStyle name="원_(030515) 등급화 품의(진짜진짜)_현대해상'05년우수대리점제안서(송부용최종1222)_장기TM관리지침별첨(최종-0614)" xfId="691"/>
    <cellStyle name="원_(030515) 등급화 품의(진짜진짜)_현대해상'05년우수대리점제안서(송부용최종1222)_장기TM대리점지원및관리규정(20051216-발송용)" xfId="692"/>
    <cellStyle name="원_(030515) 등급화 품의(진짜진짜)_현대해상'05년우수대리점제안서(송부용최종1222)_통신판매가이드라인정리(최종)" xfId="693"/>
    <cellStyle name="원_(030515) 등급화 품의(진짜진짜)_현대해상'05년우수대리점제안서(송부용최종1222)_프리스타일(수당업)" xfId="694"/>
    <cellStyle name="원_(030515) 등급화 품의(진짜진짜)_현대해상'05년우수대리점제안서(송부용최종1222)_하이라이프다이렉트수수료안(20060522)" xfId="695"/>
    <cellStyle name="원_(030515) 등급화 품의(진짜진짜)_현대해상'05년우수대리점제안서(송부용최종1222)_해외여행보험활성화(060620-최종)" xfId="696"/>
    <cellStyle name="원_(030515) 등급화 품의(진짜진짜)_현대해상'05년우수대리점제안서(송부용최종1222)_해외연수실시안(20071220)-7차-공지용" xfId="697"/>
    <cellStyle name="원_(030515) 등급화 품의(진짜진짜)_현대해상'05년우수대리점제안서(송부용최종1222)_해외연수실시안(20080130)-후꾸오까-차수조정" xfId="698"/>
    <cellStyle name="원_(030515) 등급화 품의(진짜진짜)_현장간담회 결과보고" xfId="699"/>
    <cellStyle name="원_(030522) FY2003년사업단위별 평가기준(송부-A4)" xfId="700"/>
    <cellStyle name="원_(030522) FY2003년사업단위별 평가기준(송부-A4)_3058752004021610345903850617_타사유치 진행현황-본부보고용" xfId="701"/>
    <cellStyle name="원_(030522) FY2003년사업단위별 평가기준(송부-A4)_34분기평가예상-용자이(12.7)" xfId="702"/>
    <cellStyle name="원_(030522) FY2003년사업단위별 평가기준(송부-A4)_34분기평가예상-용자이(12.7)_우수대리점본부보고(서강)" xfId="703"/>
    <cellStyle name="원_(030522) FY2003년사업단위별 평가기준(송부-A4)_34분기평가예상-용자이(12.7)_우수대리점유치(0219)" xfId="704"/>
    <cellStyle name="원_(030522) FY2003년사업단위별 평가기준(송부-A4)_우수대리점본부보고(서강)" xfId="705"/>
    <cellStyle name="원_(030522) FY2003년사업단위별 평가기준(송부-A4)_우수대리점본부보고(은평)" xfId="706"/>
    <cellStyle name="원_(030522) FY2003년사업단위별 평가기준(송부-A4)_우수대리점본부보고(일산)" xfId="707"/>
    <cellStyle name="원_(030522) FY2003년사업단위별 평가기준(송부-A4)_우수대리점유치(0219)" xfId="708"/>
    <cellStyle name="원_(030522) FY2003년사업단위별 평가기준(송부-A4)_우수대리점유치현황(서강)" xfId="709"/>
    <cellStyle name="원_(030723) 기지부평가결과(확대영업회의자료)" xfId="710"/>
    <cellStyle name="원_(030723) 기지부평가결과(확대영업회의자료)_34분기평가예상-용자이(12.7)" xfId="711"/>
    <cellStyle name="원_(030723) 기지부평가결과(확대영업회의자료)_우수대리점본부보고(서강)" xfId="712"/>
    <cellStyle name="원_(030723) 기지부평가결과(확대영업회의자료)_우수대리점유치현황(서강)" xfId="713"/>
    <cellStyle name="원_(030724)14평가결과(송부)" xfId="714"/>
    <cellStyle name="원_(030724)14평가결과(송부)_우수대리점본부보고(서강)" xfId="715"/>
    <cellStyle name="원_(030724)14평가결과(송부)_우수대리점유치(0219)" xfId="716"/>
    <cellStyle name="원_(0310) 평가품의서(단위별)2분기(A-1)" xfId="717"/>
    <cellStyle name="원_(031118) (10월) 영업가족 영업소별 합격현황(03.05~)" xfId="718"/>
    <cellStyle name="원_(031118) (홍) 2003.7~9월무합격점포현황" xfId="719"/>
    <cellStyle name="원_(040223) 영업소 시상금(방광섭)" xfId="720"/>
    <cellStyle name="원_(040305) 등급화시물Ⅲ" xfId="721"/>
    <cellStyle name="원_(040412)인센티브시뮬작업" xfId="722"/>
    <cellStyle name="원_(040423) 품의서" xfId="723"/>
    <cellStyle name="원_(040712) (부진지점 송부)" xfId="724"/>
    <cellStyle name="원_(040712) 품의서(부진지점)" xfId="725"/>
    <cellStyle name="원_(040831) (박문슈) 9월+24분기+총력달성+본부시상(발송용)" xfId="726"/>
    <cellStyle name="원_(040901) (박문슈2) 9월+24분기+총력달성+본부시상(수정)" xfId="727"/>
    <cellStyle name="원_(040901) 품의서(쳌업포인츠10)" xfId="728"/>
    <cellStyle name="원_(050315)-FY'05영업지원기준개정 품의(안)" xfId="729"/>
    <cellStyle name="원_(050704)2분기점포등급화(0412-0505)" xfId="730"/>
    <cellStyle name="원_(050928발송)3분기점포등급화(0503-0508)" xfId="731"/>
    <cellStyle name="원_(060515)유니버셜판매관련회장님보고" xfId="732"/>
    <cellStyle name="원_(060515)하이라이프유니버셜판매보고" xfId="733"/>
    <cellStyle name="원_(20040712)+부진지점list" xfId="734"/>
    <cellStyle name="원_(2분기) 평가시뮬(변경후)" xfId="735"/>
    <cellStyle name="원_(2분기) 평가시뮬(변경후)_우수대리점본부보고(서강)" xfId="736"/>
    <cellStyle name="원_(2분기) 평가시뮬(변경후)_우수대리점유치(0219)" xfId="737"/>
    <cellStyle name="원_(대표본부장)FY'04인센티브기준안" xfId="738"/>
    <cellStyle name="원_(보고1)FY2002장기배분" xfId="739"/>
    <cellStyle name="원_(보고1)FY2002장기배분_3063932006021309511403280445_FY'06년 자동차보험 매출계획 기획실송부 요약" xfId="740"/>
    <cellStyle name="원_(보고1)FY2002장기배분_3063932006021314282903120496_FY'06년 자동차보험 매출계획 기획실송부 요약" xfId="741"/>
    <cellStyle name="원_(보고1)FY2002장기배분_306393200701221041450656000468420013_FY07 매출계획 작성양식" xfId="742"/>
    <cellStyle name="원_(보고1)FY2002장기배분_306393200701221329200203007251260027_FY07 매출계획 작성양식" xfId="743"/>
    <cellStyle name="원_(보고1)FY2002장기배분_306393200701250903550250090628260030_FY07 매출계획 작성양식" xfId="744"/>
    <cellStyle name="원_(보고1)FY2002장기배분_7-9월설치분집행(1018)" xfId="745"/>
    <cellStyle name="원_(보고1)FY2002장기배분_FY'06년 자동차보험 매출계획 5(안)-1" xfId="746"/>
    <cellStyle name="원_(보고1)FY2002장기배분_FY'06년 자동차보험 매출계획 5(안)-2" xfId="747"/>
    <cellStyle name="원_(보고1)FY2002장기배분_FY'06년 자동차보험 매출계획 기획실송부 요약" xfId="748"/>
    <cellStyle name="원_(보고1)FY2002장기배분_FY07 매출계획 작성양식(최종송부)" xfId="749"/>
    <cellStyle name="원_(보고1)FY2002장기배분_PLACARD" xfId="750"/>
    <cellStyle name="원_(보고1)FY2002장기배분_TM대리점활성화방안(0928)" xfId="751"/>
    <cellStyle name="원_(보고1)FY2002장기배분_TM대리점활성화방안(0930)-1" xfId="752"/>
    <cellStyle name="원_(보고1)FY2002장기배분_TM신상품개발검토의견(20060327)" xfId="753"/>
    <cellStyle name="원_(보고1)FY2002장기배분_TM신청서(최종)-마지부(1229)" xfId="754"/>
    <cellStyle name="원_(보고1)FY2002장기배분_tm활성화(예산수정)" xfId="755"/>
    <cellStyle name="원_(보고1)FY2002장기배분_마지부승인(0512 -5차)" xfId="756"/>
    <cellStyle name="원_(보고1)FY2002장기배분_업체선정평가표(장기tm-20051201)-장원제(최종)" xfId="757"/>
    <cellStyle name="원_(보고1)FY2002장기배분_유지율개선실시사항(050901)" xfId="758"/>
    <cellStyle name="원_(보고1)FY2002장기배분_인수지침관련의견" xfId="759"/>
    <cellStyle name="원_(보고1)FY2002장기배분_일반보험보고(0801)-3" xfId="760"/>
    <cellStyle name="원_(보고1)FY2002장기배분_장기TM관리업무지침안(보완-0105)" xfId="761"/>
    <cellStyle name="원_(보고1)FY2002장기배분_장기TM관리지침별첨(최종-0614)" xfId="762"/>
    <cellStyle name="원_(보고1)FY2002장기배분_장기TM대리점지원및관리규정(20051216-발송용)" xfId="763"/>
    <cellStyle name="원_(보고1)FY2002장기배분_장기TM활성화방안(11월-결재예산보완본)-최종판" xfId="764"/>
    <cellStyle name="원_(보고1)FY2002장기배분_참석자명단(대리점)" xfId="765"/>
    <cellStyle name="원_(보고1)FY2002장기배분_해외여행보험활성화(060620-최종)" xfId="766"/>
    <cellStyle name="원_(보고용)FY04년 점포운영기준안" xfId="767"/>
    <cellStyle name="원_★ 매출품의 ★ (050303 미국支 수정-HJN&amp;품의)" xfId="768"/>
    <cellStyle name="원_02~04(총괄)" xfId="769"/>
    <cellStyle name="원_'03(1).10월+신인도입시책(0926)" xfId="770"/>
    <cellStyle name="원_0304장기업추비" xfId="771"/>
    <cellStyle name="원_030623소장회의" xfId="772"/>
    <cellStyle name="원_030714소장회의" xfId="773"/>
    <cellStyle name="원_04.4~05.3월합격자육성현황(05.5.19)출력" xfId="774"/>
    <cellStyle name="원_04.4~9월합격자육성현황(04.11.24)" xfId="775"/>
    <cellStyle name="원_04.9~10월타사유치현황(04.10.20)" xfId="776"/>
    <cellStyle name="원_04.9~11월MS지원금(04.12.14)" xfId="777"/>
    <cellStyle name="원_0410월별합격시상금(배포용)" xfId="778"/>
    <cellStyle name="원_041111부서장회의발표" xfId="779"/>
    <cellStyle name="원_05.12월분석자료" xfId="780"/>
    <cellStyle name="원_05.4~6월합격자입교현황(05.8.1)HIPA" xfId="781"/>
    <cellStyle name="원_05.4~6월합격자퍼스티수료(05.9.2)추가자반영" xfId="782"/>
    <cellStyle name="원_05.4~6월합격자퍼스티수료(05.9.2)하이비젼" xfId="783"/>
    <cellStyle name="원_05.4~6월합격자퍼스티수료현황(05.8.10)" xfId="784"/>
    <cellStyle name="원_05.4~9월합격예상" xfId="785"/>
    <cellStyle name="원_05.5월타사유치인원리스트" xfId="786"/>
    <cellStyle name="원_05.5월합격예상(05.5.19)" xfId="787"/>
    <cellStyle name="원_05.6월분석자료" xfId="788"/>
    <cellStyle name="원_05.8월결과(05.8.31)" xfId="789"/>
    <cellStyle name="원_05.8월타사유치인원리스트" xfId="790"/>
    <cellStyle name="원_05.9월점포별합격예상공지(05.9.16)" xfId="791"/>
    <cellStyle name="원_05.상반기체크업컨퍼런스(05.10.27)최종" xfId="792"/>
    <cellStyle name="원_0606장기보험OFF추가목표(060519)MOON" xfId="793"/>
    <cellStyle name="원_0703유지율참고자료" xfId="794"/>
    <cellStyle name="원_0703장기보험마감분석" xfId="795"/>
    <cellStyle name="원_0711-마감보고참고자료(장기보험)-유지율" xfId="796"/>
    <cellStyle name="원_08월임원회의 참고자료" xfId="797"/>
    <cellStyle name="원_08월임원회의 참고자료_3063932006021309511403280445_FY'06년 자동차보험 매출계획 기획실송부 요약" xfId="798"/>
    <cellStyle name="원_08월임원회의 참고자료_3063932006021314282903120496_FY'06년 자동차보험 매출계획 기획실송부 요약" xfId="799"/>
    <cellStyle name="원_08월임원회의 참고자료_306393200701221041450656000468420013_FY07 매출계획 작성양식" xfId="800"/>
    <cellStyle name="원_08월임원회의 참고자료_306393200701221329200203007251260027_FY07 매출계획 작성양식" xfId="801"/>
    <cellStyle name="원_08월임원회의 참고자료_306393200701250903550250090628260030_FY07 매출계획 작성양식" xfId="802"/>
    <cellStyle name="원_08월임원회의 참고자료_7-9월설치분집행(1018)" xfId="803"/>
    <cellStyle name="원_08월임원회의 참고자료_FY'06년 자동차보험 매출계획 5(안)-1" xfId="804"/>
    <cellStyle name="원_08월임원회의 참고자료_FY'06년 자동차보험 매출계획 5(안)-2" xfId="805"/>
    <cellStyle name="원_08월임원회의 참고자료_FY'06년 자동차보험 매출계획 기획실송부 요약" xfId="806"/>
    <cellStyle name="원_08월임원회의 참고자료_FY07 매출계획 작성양식(최종송부)" xfId="807"/>
    <cellStyle name="원_08월임원회의 참고자료_PLACARD" xfId="808"/>
    <cellStyle name="원_08월임원회의 참고자료_TM대리점활성화방안(0928)" xfId="809"/>
    <cellStyle name="원_08월임원회의 참고자료_TM대리점활성화방안(0930)-1" xfId="810"/>
    <cellStyle name="원_08월임원회의 참고자료_TM신상품개발검토의견(20060327)" xfId="811"/>
    <cellStyle name="원_08월임원회의 참고자료_TM신청서(최종)-마지부(1229)" xfId="812"/>
    <cellStyle name="원_08월임원회의 참고자료_tm활성화(예산수정)" xfId="813"/>
    <cellStyle name="원_08월임원회의 참고자료_마지부승인(0512 -5차)" xfId="814"/>
    <cellStyle name="원_08월임원회의 참고자료_업체선정평가표(장기tm-20051201)-장원제(최종)" xfId="815"/>
    <cellStyle name="원_08월임원회의 참고자료_인수지침관련의견" xfId="816"/>
    <cellStyle name="원_08월임원회의 참고자료_장기TM대리점지원및관리규정(20051216-발송용)" xfId="817"/>
    <cellStyle name="원_08월임원회의 참고자료_장기TM활성화방안(11월-결재예산보완본)-최종판" xfId="818"/>
    <cellStyle name="원_08월임원회의 참고자료_참석자명단(대리점)" xfId="819"/>
    <cellStyle name="원_10.13본부장(3분기예상실적영업소)" xfId="820"/>
    <cellStyle name="원_10.13본부장(3분기예상실적영업소)_우수대리점본부보고(서강)" xfId="821"/>
    <cellStyle name="원_10.13본부장(3분기예상실적영업소)_우수대리점유치(0219)" xfId="822"/>
    <cellStyle name="원_10~11월checkup진도현황(04.12.14)" xfId="823"/>
    <cellStyle name="원_10~11월checkup진도현황(04.12.3)" xfId="824"/>
    <cellStyle name="원_10월 예상 GRADE1013  " xfId="825"/>
    <cellStyle name="원_10월+신인도입시책(0925)" xfId="826"/>
    <cellStyle name="원_10월checkup진도현황(04.11.4)" xfId="827"/>
    <cellStyle name="원_10월마감보고회의부속자료" xfId="828"/>
    <cellStyle name="원_10월양식1" xfId="829"/>
    <cellStyle name="원_11월 GRADE예상1101" xfId="830"/>
    <cellStyle name="원_11월 차수마감 최종12.21" xfId="831"/>
    <cellStyle name="원_11월+설대+합격+부진+자료+임원회의+030904" xfId="832"/>
    <cellStyle name="원_11월+설대+합격+부진+자료+임원회의+030904_3063932006021309511403280445_FY'06년 자동차보험 매출계획 기획실송부 요약" xfId="833"/>
    <cellStyle name="원_11월+설대+합격+부진+자료+임원회의+030904_3063932006021314282903120496_FY'06년 자동차보험 매출계획 기획실송부 요약" xfId="834"/>
    <cellStyle name="원_11월+설대+합격+부진+자료+임원회의+030904_306393200701221041450656000468420013_FY07 매출계획 작성양식" xfId="835"/>
    <cellStyle name="원_11월+설대+합격+부진+자료+임원회의+030904_306393200701221329200203007251260027_FY07 매출계획 작성양식" xfId="836"/>
    <cellStyle name="원_11월+설대+합격+부진+자료+임원회의+030904_306393200701250903550250090628260030_FY07 매출계획 작성양식" xfId="837"/>
    <cellStyle name="원_11월+설대+합격+부진+자료+임원회의+030904_7-9월설치분집행(1018)" xfId="838"/>
    <cellStyle name="원_11월+설대+합격+부진+자료+임원회의+030904_Feedback-일반활성화FY'07.2분기-품의" xfId="839"/>
    <cellStyle name="원_11월+설대+합격+부진+자료+임원회의+030904_FY'06년 자동차보험 매출계획 5(안)-1" xfId="840"/>
    <cellStyle name="원_11월+설대+합격+부진+자료+임원회의+030904_FY'06년 자동차보험 매출계획 5(안)-2" xfId="841"/>
    <cellStyle name="원_11월+설대+합격+부진+자료+임원회의+030904_FY'06년 자동차보험 매출계획 기획실송부 요약" xfId="842"/>
    <cellStyle name="원_11월+설대+합격+부진+자료+임원회의+030904_FY07 매출계획 작성양식(최종송부)" xfId="843"/>
    <cellStyle name="원_11월+설대+합격+부진+자료+임원회의+030904_TM-FY'07.중간피드백-6" xfId="844"/>
    <cellStyle name="원_11월+설대+합격+부진+자료+임원회의+030904_TM대리점활성화방안(0928)" xfId="845"/>
    <cellStyle name="원_11월+설대+합격+부진+자료+임원회의+030904_TM대리점활성화방안(0930)-1" xfId="846"/>
    <cellStyle name="원_11월+설대+합격+부진+자료+임원회의+030904_TM신상품개발검토의견(20060327)" xfId="847"/>
    <cellStyle name="원_11월+설대+합격+부진+자료+임원회의+030904_TM신청서(최종)-마지부(1229)" xfId="848"/>
    <cellStyle name="원_11월+설대+합격+부진+자료+임원회의+030904_부문별월별매출계획(070330기획실)" xfId="849"/>
    <cellStyle name="원_11월+설대+합격+부진+자료+임원회의+030904_신상품재검토(20040417)" xfId="850"/>
    <cellStyle name="원_11월+설대+합격+부진+자료+임원회의+030904_업체선정평가표(장기tm-20051201)-장원제(최종)" xfId="851"/>
    <cellStyle name="원_11월+설대+합격+부진+자료+임원회의+030904_인수지침관련의견" xfId="852"/>
    <cellStyle name="원_11월+설대+합격+부진+자료+임원회의+030904_장기TM대리점지원및관리규정(20051216-발송용)" xfId="853"/>
    <cellStyle name="원_11월+설대+합격+부진+자료+임원회의+030904_장기보험목표달성방안(070903-2)" xfId="854"/>
    <cellStyle name="원_11월+설대+합격+부진+자료+임원회의+030904_장기특성별실적_조정후(가안)" xfId="855"/>
    <cellStyle name="원_11월+설대+합격+부진+자료+임원회의+030904_통신판매가이드라인정리(최종)" xfId="856"/>
    <cellStyle name="원_11월+설대+합격+부진+자료+임원회의+030904_하이라이프다이렉트수수료안(20060522)" xfId="857"/>
    <cellStyle name="원_11월양식" xfId="858"/>
    <cellStyle name="원_11월영업지원팀장회의(최종)" xfId="859"/>
    <cellStyle name="원_11월영업지원팀장회의(최종)_0703장기보험마감분석" xfId="860"/>
    <cellStyle name="원_11월영업지원팀장회의(최종)_7-9월설치분집행(1018)" xfId="861"/>
    <cellStyle name="원_11월영업지원팀장회의(최종)_Feedback-일반활성화FY'07.2분기-품의" xfId="862"/>
    <cellStyle name="원_11월영업지원팀장회의(최종)_FY'07점포영업전략(070403)" xfId="863"/>
    <cellStyle name="원_11월영업지원팀장회의(최종)_TM-FY'07.중간피드백-6" xfId="864"/>
    <cellStyle name="원_11월영업지원팀장회의(최종)_TM대리점활성화방안(0928)" xfId="865"/>
    <cellStyle name="원_11월영업지원팀장회의(최종)_TM대리점활성화방안(0930)-1" xfId="866"/>
    <cellStyle name="원_11월영업지원팀장회의(최종)_TM신상품개발검토의견(20060327)" xfId="867"/>
    <cellStyle name="원_11월영업지원팀장회의(최종)_TM신청서(최종)-마지부(1229)" xfId="868"/>
    <cellStyle name="원_11월영업지원팀장회의(최종)_보장자산증대방안" xfId="869"/>
    <cellStyle name="원_11월영업지원팀장회의(최종)_신상품재검토(20040417)" xfId="870"/>
    <cellStyle name="원_11월영업지원팀장회의(최종)_업체선정평가표(장기tm-20051201)-장원제(최종)" xfId="871"/>
    <cellStyle name="원_11월영업지원팀장회의(최종)_업추비개선(초안)" xfId="872"/>
    <cellStyle name="원_11월영업지원팀장회의(최종)_인수지침관련의견" xfId="873"/>
    <cellStyle name="원_11월영업지원팀장회의(최종)_장기TM대리점지원및관리규정(20051216-발송용)" xfId="874"/>
    <cellStyle name="원_11월영업지원팀장회의(최종)_통신판매가이드라인정리(최종)" xfId="875"/>
    <cellStyle name="원_11월영업지원팀장회의(최종)_하이라이프다이렉트수수료안(20060522)" xfId="876"/>
    <cellStyle name="원_11월영업지원팀장회의(최종)_해외연수실시안(20071220)-7차-공지용" xfId="877"/>
    <cellStyle name="원_11월영업지원팀장회의(최종)_해외연수실시안(20080130)-후꾸오까-차수조정" xfId="878"/>
    <cellStyle name="원_11월영업지원팀장회의(최종)_현장간담회 결과보고" xfId="879"/>
    <cellStyle name="원_11월합격예상" xfId="880"/>
    <cellStyle name="원_11월합격예상_Feedback-일반활성화FY'07.2분기-품의" xfId="881"/>
    <cellStyle name="원_11월합격예상_FY'06장기보험매출계획(유지율)" xfId="882"/>
    <cellStyle name="원_11월합격예상_FY'07 매출추정(0130)-3차(목표문구)" xfId="883"/>
    <cellStyle name="원_11월합격예상_FY'07점포영업전략(070403)" xfId="884"/>
    <cellStyle name="원_11월합격예상_보장자산증대방안" xfId="885"/>
    <cellStyle name="원_12월경쟁사(마기부)" xfId="886"/>
    <cellStyle name="원_12월마감보고회의부속자료(최종-기지부)" xfId="887"/>
    <cellStyle name="원_12월양식" xfId="888"/>
    <cellStyle name="원_1분기예상누계실적및지표" xfId="889"/>
    <cellStyle name="원_2002-07-장기업추비배정(보고)" xfId="890"/>
    <cellStyle name="원_2002-07-장기업추비배정(보고)_7-9월설치분집행(1018)" xfId="891"/>
    <cellStyle name="원_2002-07-장기업추비배정(보고)_Feedback-일반활성화FY'07.2분기-품의" xfId="892"/>
    <cellStyle name="원_2002-07-장기업추비배정(보고)_TM-FY'07.중간피드백-6" xfId="893"/>
    <cellStyle name="원_2002-07-장기업추비배정(보고)_TM대리점활성화방안(0928)" xfId="894"/>
    <cellStyle name="원_2002-07-장기업추비배정(보고)_TM대리점활성화방안(0930)-1" xfId="895"/>
    <cellStyle name="원_2002-07-장기업추비배정(보고)_TM신상품개발검토의견(20060327)" xfId="896"/>
    <cellStyle name="원_2002-07-장기업추비배정(보고)_TM신청서(최종)-마지부(1229)" xfId="897"/>
    <cellStyle name="원_2002-07-장기업추비배정(보고)_부문별월별매출계획(070330기획실)" xfId="898"/>
    <cellStyle name="원_2002-07-장기업추비배정(보고)_신상품재검토(20040417)" xfId="899"/>
    <cellStyle name="원_2002-07-장기업추비배정(보고)_업체선정평가표(장기tm-20051201)-장원제(최종)" xfId="900"/>
    <cellStyle name="원_2002-07-장기업추비배정(보고)_업추비개선(초안)" xfId="901"/>
    <cellStyle name="원_2002-07-장기업추비배정(보고)_인수지침관련의견" xfId="902"/>
    <cellStyle name="원_2002-07-장기업추비배정(보고)_장기TM대리점지원및관리규정(20051216-발송용)" xfId="903"/>
    <cellStyle name="원_2002-07-장기업추비배정(보고)_장기보험목표달성방안(070903-2)" xfId="904"/>
    <cellStyle name="원_2002-07-장기업추비배정(보고)_장기특성별실적_조정후(가안)" xfId="905"/>
    <cellStyle name="원_2002-07-장기업추비배정(보고)_통신판매가이드라인정리(최종)" xfId="906"/>
    <cellStyle name="원_2002-07-장기업추비배정(보고)_하이라이프다이렉트수수료안(20060522)" xfId="907"/>
    <cellStyle name="원_2002-07-장기업추비배정(보고)_현장간담회 결과보고" xfId="908"/>
    <cellStyle name="원_2002-10-장기업추비배정(보고)" xfId="909"/>
    <cellStyle name="원_2003 업추비교육OHP(2003.12)" xfId="910"/>
    <cellStyle name="원_2003.12 지역팀데이타(20040119)" xfId="911"/>
    <cellStyle name="원_2003.1월 장기 업추비배정(보고)" xfId="912"/>
    <cellStyle name="원_2003.4월+장기+업추비배정(보고)" xfId="913"/>
    <cellStyle name="원_2003.5월+장기+업추비배정(발송)" xfId="914"/>
    <cellStyle name="원_2003년 5월양식" xfId="915"/>
    <cellStyle name="원_2003년1월양식" xfId="916"/>
    <cellStyle name="원_2003년2월양식" xfId="917"/>
    <cellStyle name="원_2003년3월양식" xfId="918"/>
    <cellStyle name="원_2003년4월양식" xfId="919"/>
    <cellStyle name="원_2003년5월장기고객유지현황(03.06.09)" xfId="920"/>
    <cellStyle name="원_2004.10.1차 경상비" xfId="921"/>
    <cellStyle name="원_2004.11월+점포코드" xfId="922"/>
    <cellStyle name="원_2004.1월 2차 경상비" xfId="923"/>
    <cellStyle name="원_2004년 예비비현황" xfId="924"/>
    <cellStyle name="원_2004목표(수정전)" xfId="925"/>
    <cellStyle name="원_2004품의서" xfId="926"/>
    <cellStyle name="원_2004품의서_0703장기보험마감분석" xfId="927"/>
    <cellStyle name="원_2004품의서_7-9월설치분집행(1018)" xfId="928"/>
    <cellStyle name="원_2004품의서_Feedback-일반활성화FY'07.2분기-품의" xfId="929"/>
    <cellStyle name="원_2004품의서_FY'07점포영업전략(070403)" xfId="930"/>
    <cellStyle name="원_2004품의서_TM-FY'07.중간피드백-6" xfId="931"/>
    <cellStyle name="원_2004품의서_TM대리점활성화방안(0928)" xfId="932"/>
    <cellStyle name="원_2004품의서_TM대리점활성화방안(0930)-1" xfId="933"/>
    <cellStyle name="원_2004품의서_TM신상품개발검토의견(20060327)" xfId="934"/>
    <cellStyle name="원_2004품의서_TM신청서(최종)-마지부(1229)" xfId="935"/>
    <cellStyle name="원_2004품의서_보장자산증대방안" xfId="936"/>
    <cellStyle name="원_2004품의서_신상품재검토(20040417)" xfId="937"/>
    <cellStyle name="원_2004품의서_업체선정평가표(장기tm-20051201)-장원제(최종)" xfId="938"/>
    <cellStyle name="원_2004품의서_인수지침관련의견" xfId="939"/>
    <cellStyle name="원_2004품의서_장기TM대리점지원및관리규정(20051216-발송용)" xfId="940"/>
    <cellStyle name="원_2004품의서_통신판매가이드라인정리(최종)" xfId="941"/>
    <cellStyle name="원_2004품의서_하이라이프다이렉트수수료안(20060522)" xfId="942"/>
    <cellStyle name="원_2004품의서_해외연수실시안(20071220)-7차-공지용" xfId="943"/>
    <cellStyle name="원_2004품의서_해외연수실시안(20080130)-후꾸오까-차수조정" xfId="944"/>
    <cellStyle name="원_2005.11월 점포코드" xfId="945"/>
    <cellStyle name="원_2005.3월 점포코드" xfId="946"/>
    <cellStyle name="원_2005.4월 2차 경상비" xfId="947"/>
    <cellStyle name="원_210" xfId="948"/>
    <cellStyle name="원_24분기평가결과(경남)" xfId="949"/>
    <cellStyle name="원_2분기 조직부문예상902" xfId="950"/>
    <cellStyle name="원_3035992003121714114601300567_가.11월 마감실적" xfId="951"/>
    <cellStyle name="원_304631200705181144070140081483730076_2007품의서양식(개인보험부문장협조)" xfId="952"/>
    <cellStyle name="원_3046782005070420094503750344_부진지점회의자료" xfId="953"/>
    <cellStyle name="원_3047842004071210483005930590_보고양식" xfId="954"/>
    <cellStyle name="원_3059062006042515040808120170_2006목표(본사영업부계)" xfId="955"/>
    <cellStyle name="원_3061422004072313222408370910_신인육성프로그램0701" xfId="956"/>
    <cellStyle name="원_3061422004072609252908170160_신인육성프로그램0701" xfId="957"/>
    <cellStyle name="원_3063222004080617303503070863_임원회의자료0809" xfId="958"/>
    <cellStyle name="원_3063222004080617303503070863_임원회의자료0809_0703장기보험마감분석" xfId="959"/>
    <cellStyle name="원_3063222004080617303503070863_임원회의자료0809_7-9월설치분집행(1018)" xfId="960"/>
    <cellStyle name="원_3063222004080617303503070863_임원회의자료0809_Feedback-일반활성화FY'07.2분기-품의" xfId="961"/>
    <cellStyle name="원_3063222004080617303503070863_임원회의자료0809_FY'07점포영업전략(070403)" xfId="962"/>
    <cellStyle name="원_3063222004080617303503070863_임원회의자료0809_TM-FY'07.중간피드백-6" xfId="963"/>
    <cellStyle name="원_3063222004080617303503070863_임원회의자료0809_TM대리점활성화방안(0928)" xfId="964"/>
    <cellStyle name="원_3063222004080617303503070863_임원회의자료0809_TM대리점활성화방안(0930)-1" xfId="965"/>
    <cellStyle name="원_3063222004080617303503070863_임원회의자료0809_TM신상품개발검토의견(20060327)" xfId="966"/>
    <cellStyle name="원_3063222004080617303503070863_임원회의자료0809_TM신청서(최종)-마지부(1229)" xfId="967"/>
    <cellStyle name="원_3063222004080617303503070863_임원회의자료0809_보장자산증대방안" xfId="968"/>
    <cellStyle name="원_3063222004080617303503070863_임원회의자료0809_신상품재검토(20040417)" xfId="969"/>
    <cellStyle name="원_3063222004080617303503070863_임원회의자료0809_업체선정평가표(장기tm-20051201)-장원제(최종)" xfId="970"/>
    <cellStyle name="원_3063222004080617303503070863_임원회의자료0809_인수지침관련의견" xfId="971"/>
    <cellStyle name="원_3063222004080617303503070863_임원회의자료0809_장기TM대리점지원및관리규정(20051216-발송용)" xfId="972"/>
    <cellStyle name="원_3063222004080617303503070863_임원회의자료0809_통신판매가이드라인정리(최종)" xfId="973"/>
    <cellStyle name="원_3063222004080617303503070863_임원회의자료0809_하이라이프다이렉트수수료안(20060522)" xfId="974"/>
    <cellStyle name="원_3063222004080617303503070863_임원회의자료0809_해외연수실시안(20071220)-7차-공지용" xfId="975"/>
    <cellStyle name="원_3063222004080617303503070863_임원회의자료0809_해외연수실시안(20080130)-후꾸오까-차수조정" xfId="976"/>
    <cellStyle name="원_3063932006041821511701710347_FY'06 매출계획 최종확정(시장전망)" xfId="977"/>
    <cellStyle name="원_3064912004101513272601560660_작성계약근절대책방안(041007)" xfId="978"/>
    <cellStyle name="원_3066902003102017141100300542_03조직" xfId="979"/>
    <cellStyle name="원_3066902003102717262602600621_03조직" xfId="980"/>
    <cellStyle name="원_3066902003103117281806900099_03조직" xfId="981"/>
    <cellStyle name="원_3069072004072318002900000101_(3차)사업팀운영기준안" xfId="982"/>
    <cellStyle name="원_3083072006010511200705150661_TM신청서(최종)" xfId="983"/>
    <cellStyle name="원_3083312004030218411900930673_육성인원확인용" xfId="984"/>
    <cellStyle name="원_34분기평가예상-용자이(12.7)" xfId="985"/>
    <cellStyle name="원_34분기평가예상-용자이(12.7)_우수대리점본부보고(서강)" xfId="986"/>
    <cellStyle name="원_34분기평가예상-용자이(12.7)_우수대리점유치(0219)" xfId="987"/>
    <cellStyle name="원_3-FY'05영업지원기준-업추비7월" xfId="988"/>
    <cellStyle name="원_3분기변경대비표" xfId="989"/>
    <cellStyle name="원_3분기예상실적1014" xfId="990"/>
    <cellStyle name="원_3월기지부" xfId="991"/>
    <cellStyle name="원_3월영업활성화최종공지(2.27)" xfId="992"/>
    <cellStyle name="원_3월자동차분석" xfId="993"/>
    <cellStyle name="원_3월자동차분석_Feedback-일반활성화FY'07.2분기-품의" xfId="994"/>
    <cellStyle name="원_3월자동차분석_FY'06장기보험매출계획(유지율)" xfId="995"/>
    <cellStyle name="원_3월자동차분석_FY'07점포영업전략(070403)" xfId="996"/>
    <cellStyle name="원_3월자동차분석_보장자산증대방안" xfId="997"/>
    <cellStyle name="원_4-FY04영업지원기준-Q" xfId="998"/>
    <cellStyle name="원_4월 실적분석" xfId="999"/>
    <cellStyle name="원_4월+증원+업추비배정(0516)1" xfId="1000"/>
    <cellStyle name="원_5월+실적관련+자료" xfId="1001"/>
    <cellStyle name="원_5월신인도입시책1" xfId="1002"/>
    <cellStyle name="원_6월영업활성화송부(장기월납분기결재)" xfId="1003"/>
    <cellStyle name="원_6월일반 실적분석" xfId="1004"/>
    <cellStyle name="원_7.28소장회의" xfId="1005"/>
    <cellStyle name="원_7-9월설치분집행(1018)" xfId="1006"/>
    <cellStyle name="원_7page(작업)" xfId="1007"/>
    <cellStyle name="원_7page(작업)_3063932006021309511403280445_FY'06년 자동차보험 매출계획 기획실송부 요약" xfId="1008"/>
    <cellStyle name="원_7page(작업)_3063932006021314282903120496_FY'06년 자동차보험 매출계획 기획실송부 요약" xfId="1009"/>
    <cellStyle name="원_7page(작업)_306393200701221041450656000468420013_FY07 매출계획 작성양식" xfId="1010"/>
    <cellStyle name="원_7page(작업)_306393200701221329200203007251260027_FY07 매출계획 작성양식" xfId="1011"/>
    <cellStyle name="원_7page(작업)_306393200701250903550250090628260030_FY07 매출계획 작성양식" xfId="1012"/>
    <cellStyle name="원_7page(작업)_7-9월설치분집행(1018)" xfId="1013"/>
    <cellStyle name="원_7page(작업)_FY'06년 자동차보험 매출계획 5(안)-1" xfId="1014"/>
    <cellStyle name="원_7page(작업)_FY'06년 자동차보험 매출계획 5(안)-2" xfId="1015"/>
    <cellStyle name="원_7page(작업)_FY'06년 자동차보험 매출계획 기획실송부 요약" xfId="1016"/>
    <cellStyle name="원_7page(작업)_FY07 매출계획 작성양식(최종송부)" xfId="1017"/>
    <cellStyle name="원_7page(작업)_PLACARD" xfId="1018"/>
    <cellStyle name="원_7page(작업)_TM대리점활성화방안(0928)" xfId="1019"/>
    <cellStyle name="원_7page(작업)_TM대리점활성화방안(0930)-1" xfId="1020"/>
    <cellStyle name="원_7page(작업)_TM신상품개발검토의견(20060327)" xfId="1021"/>
    <cellStyle name="원_7page(작업)_TM신청서(최종)-마지부(1229)" xfId="1022"/>
    <cellStyle name="원_7page(작업)_tm활성화(예산수정)" xfId="1023"/>
    <cellStyle name="원_7page(작업)_마지부승인(0512 -5차)" xfId="1024"/>
    <cellStyle name="원_7page(작업)_업체선정평가표(장기tm-20051201)-장원제(최종)" xfId="1025"/>
    <cellStyle name="원_7page(작업)_인수지침관련의견" xfId="1026"/>
    <cellStyle name="원_7page(작업)_장기TM대리점지원및관리규정(20051216-발송용)" xfId="1027"/>
    <cellStyle name="원_7page(작업)_장기TM활성화방안(11월-결재예산보완본)-최종판" xfId="1028"/>
    <cellStyle name="원_7page(작업)_참석자명단(대리점)" xfId="1029"/>
    <cellStyle name="원_7월 중점사항 결과(송부용)" xfId="1030"/>
    <cellStyle name="원_7월기지부" xfId="1031"/>
    <cellStyle name="원_7월신인도입시책(6.25수정)품의" xfId="1032"/>
    <cellStyle name="원_7월실적현황일천만원87" xfId="1033"/>
    <cellStyle name="원_7월아침에해야할일" xfId="1034"/>
    <cellStyle name="원_8월2차예상실적" xfId="1035"/>
    <cellStyle name="원_8월설계사및대리점접수현황(05.8.2)" xfId="1036"/>
    <cellStyle name="원_8월지원비&amp;지원비통계(이양호)" xfId="1037"/>
    <cellStyle name="원_915 소장회의" xfId="1038"/>
    <cellStyle name="원_9월 합격부진 사유 및 대책(동래)" xfId="1039"/>
    <cellStyle name="원_9월+장기진도+게시(1004최종)" xfId="1040"/>
    <cellStyle name="원_9월+장기진도+게시(1004최종)_7-9월설치분집행(1018)" xfId="1041"/>
    <cellStyle name="원_9월+장기진도+게시(1004최종)_Feedback-일반활성화FY'07.2분기-품의" xfId="1042"/>
    <cellStyle name="원_9월+장기진도+게시(1004최종)_TM-FY'07.중간피드백-6" xfId="1043"/>
    <cellStyle name="원_9월+장기진도+게시(1004최종)_TM대리점활성화방안(0928)" xfId="1044"/>
    <cellStyle name="원_9월+장기진도+게시(1004최종)_TM대리점활성화방안(0930)-1" xfId="1045"/>
    <cellStyle name="원_9월+장기진도+게시(1004최종)_TM신상품개발검토의견(20060327)" xfId="1046"/>
    <cellStyle name="원_9월+장기진도+게시(1004최종)_TM신청서(최종)-마지부(1229)" xfId="1047"/>
    <cellStyle name="원_9월+장기진도+게시(1004최종)_부문별월별매출계획(070330기획실)" xfId="1048"/>
    <cellStyle name="원_9월+장기진도+게시(1004최종)_신상품재검토(20040417)" xfId="1049"/>
    <cellStyle name="원_9월+장기진도+게시(1004최종)_업체선정평가표(장기tm-20051201)-장원제(최종)" xfId="1050"/>
    <cellStyle name="원_9월+장기진도+게시(1004최종)_업추비개선(초안)" xfId="1051"/>
    <cellStyle name="원_9월+장기진도+게시(1004최종)_인수지침관련의견" xfId="1052"/>
    <cellStyle name="원_9월+장기진도+게시(1004최종)_장기TM대리점지원및관리규정(20051216-발송용)" xfId="1053"/>
    <cellStyle name="원_9월+장기진도+게시(1004최종)_장기보험목표달성방안(070903-2)" xfId="1054"/>
    <cellStyle name="원_9월+장기진도+게시(1004최종)_장기특성별실적_조정후(가안)" xfId="1055"/>
    <cellStyle name="원_9월+장기진도+게시(1004최종)_통신판매가이드라인정리(최종)" xfId="1056"/>
    <cellStyle name="원_9월+장기진도+게시(1004최종)_하이라이프다이렉트수수료안(20060522)" xfId="1057"/>
    <cellStyle name="원_9월+장기진도+게시(1004최종)_현장간담회 결과보고" xfId="1058"/>
    <cellStyle name="원_9월checkup진도현황(04.10.11)" xfId="1059"/>
    <cellStyle name="원_9월GRADE예상98보고" xfId="1060"/>
    <cellStyle name="원_9월GRADE재작성915" xfId="1061"/>
    <cellStyle name="원_9월아침에해야할일" xfId="1062"/>
    <cellStyle name="원_9월체크업(검증)" xfId="1063"/>
    <cellStyle name="원_9월체크업및비상대책" xfId="1064"/>
    <cellStyle name="원_9월확정10.11(일기부송부)" xfId="1065"/>
    <cellStyle name="원_Book3" xfId="1066"/>
    <cellStyle name="원_Book4" xfId="1067"/>
    <cellStyle name="원_Book8" xfId="1068"/>
    <cellStyle name="원_e사업담당" xfId="1069"/>
    <cellStyle name="원_factsheet(2003. 4)" xfId="1070"/>
    <cellStyle name="원_factsheet(2004. 3)" xfId="1071"/>
    <cellStyle name="원_Feedback-일반활성화FY'07.2분기-품의" xfId="1072"/>
    <cellStyle name="원_FY 2004 영업가족 자동차 보험 교육 운영안(0116)2" xfId="1073"/>
    <cellStyle name="원_FY+2004+영업가족+자동차+보험+교육+운영안 보고 최종(040308)" xfId="1074"/>
    <cellStyle name="원_FY+2004+영업가족+자동차+보험+교육+운영안 보고 최종(040407)" xfId="1075"/>
    <cellStyle name="원_FY+2004+영업가족+자동차+보험+교육+운영안(04+02+12)심기보 최종1" xfId="1076"/>
    <cellStyle name="원_FY+2004년+영업교육+운영안+(대표이사)+보고5(0315)1-A4" xfId="1077"/>
    <cellStyle name="원_FY+2004년+영업교육+운영안+(대표이사)+보고최종(040330)3-B4" xfId="1078"/>
    <cellStyle name="원_FY+2004년+영업교육+운영안+(대표이사)+보고최종(040401)5-B4" xfId="1079"/>
    <cellStyle name="원_FY+2004년+영업교육+운영안+(대표이사)+보고최종(040406)5-A4" xfId="1080"/>
    <cellStyle name="원_FY+2004년+영업교육+운영안+(대표이사)+보고최종(040409)7-A4" xfId="1081"/>
    <cellStyle name="원_FY'03. 12월" xfId="1082"/>
    <cellStyle name="원_FY03년2분기영업소평가자료(강북)_78" xfId="1083"/>
    <cellStyle name="원_FY03년2분기영업소평가자료(강북)_78_우수대리점본부보고(서강)" xfId="1084"/>
    <cellStyle name="원_FY03년2분기영업소평가자료(강북)_78_우수대리점유치(0219)" xfId="1085"/>
    <cellStyle name="원_FY04 장기매출계획 자료(기획실정리보고용)" xfId="1086"/>
    <cellStyle name="원_FY04 장기매출계획 자료(기획실정리보고용)_0703장기보험마감분석" xfId="1087"/>
    <cellStyle name="원_FY04 장기매출계획 자료(기획실정리보고용)_7-9월설치분집행(1018)" xfId="1088"/>
    <cellStyle name="원_FY04 장기매출계획 자료(기획실정리보고용)_Feedback-일반활성화FY'07.2분기-품의" xfId="1089"/>
    <cellStyle name="원_FY04 장기매출계획 자료(기획실정리보고용)_FY'07점포영업전략(070403)" xfId="1090"/>
    <cellStyle name="원_FY04 장기매출계획 자료(기획실정리보고용)_TM-FY'07.중간피드백-6" xfId="1091"/>
    <cellStyle name="원_FY04 장기매출계획 자료(기획실정리보고용)_TM대리점활성화방안(0928)" xfId="1092"/>
    <cellStyle name="원_FY04 장기매출계획 자료(기획실정리보고용)_TM대리점활성화방안(0930)-1" xfId="1093"/>
    <cellStyle name="원_FY04 장기매출계획 자료(기획실정리보고용)_TM신상품개발검토의견(20060327)" xfId="1094"/>
    <cellStyle name="원_FY04 장기매출계획 자료(기획실정리보고용)_TM신청서(최종)-마지부(1229)" xfId="1095"/>
    <cellStyle name="원_FY04 장기매출계획 자료(기획실정리보고용)_보장자산증대방안" xfId="1096"/>
    <cellStyle name="원_FY04 장기매출계획 자료(기획실정리보고용)_신상품재검토(20040417)" xfId="1097"/>
    <cellStyle name="원_FY04 장기매출계획 자료(기획실정리보고용)_업체선정평가표(장기tm-20051201)-장원제(최종)" xfId="1098"/>
    <cellStyle name="원_FY04 장기매출계획 자료(기획실정리보고용)_인수지침관련의견" xfId="1099"/>
    <cellStyle name="원_FY04 장기매출계획 자료(기획실정리보고용)_장기TM대리점지원및관리규정(20051216-발송용)" xfId="1100"/>
    <cellStyle name="원_FY04 장기매출계획 자료(기획실정리보고용)_통신판매가이드라인정리(최종)" xfId="1101"/>
    <cellStyle name="원_FY04 장기매출계획 자료(기획실정리보고용)_하이라이프다이렉트수수료안(20060522)" xfId="1102"/>
    <cellStyle name="원_FY04 장기매출계획 자료(기획실정리보고용)_해외연수실시안(20071220)-7차-공지용" xfId="1103"/>
    <cellStyle name="원_FY04 장기매출계획 자료(기획실정리보고용)_해외연수실시안(20080130)-후꾸오까-차수조정" xfId="1104"/>
    <cellStyle name="원_FY04년 월별배정현황" xfId="1105"/>
    <cellStyle name="원_FY04년 총무평가기준 품의" xfId="1106"/>
    <cellStyle name="원_FY'04년+종목별+매출총괄(기획실+완성5)" xfId="1107"/>
    <cellStyle name="원_FY'04년전문사업소기준변경(0715)" xfId="1108"/>
    <cellStyle name="원_FY04방카장기목표(수정안0330)" xfId="1109"/>
    <cellStyle name="원_FY04방카장기목표월별(0329)" xfId="1110"/>
    <cellStyle name="원_FY05 &amp; FY06 추정(05.12월)" xfId="1111"/>
    <cellStyle name="원_FY05 기타사업비(2)" xfId="1112"/>
    <cellStyle name="원_FY05년4~7월합격현황" xfId="1113"/>
    <cellStyle name="원_FY'05매출계획(본사)" xfId="1114"/>
    <cellStyle name="원_FY05매출계획품의" xfId="1115"/>
    <cellStyle name="원_FY05매출품의" xfId="1116"/>
    <cellStyle name="원_FY06사업계획추진안(예산포함 최종)" xfId="1117"/>
    <cellStyle name="원_FY'06장기보험매출계획(유지율)" xfId="1118"/>
    <cellStyle name="원_FY'06장기보험채널별목표(060502)" xfId="1119"/>
    <cellStyle name="원_FY'06점포영업전략-060421" xfId="1120"/>
    <cellStyle name="원_FY'07 매출추정(0130)-3차(목표문구)" xfId="1121"/>
    <cellStyle name="원_FY'07년 시장전망(조희철GJ)" xfId="1122"/>
    <cellStyle name="원_FY'07점포영업전략(070403)" xfId="1123"/>
    <cellStyle name="원_FY2001 list(all)" xfId="1124"/>
    <cellStyle name="원_FY2001 list(all)_3063932006021309511403280445_FY'06년 자동차보험 매출계획 기획실송부 요약" xfId="1125"/>
    <cellStyle name="원_FY2001 list(all)_3063932006021314282903120496_FY'06년 자동차보험 매출계획 기획실송부 요약" xfId="1126"/>
    <cellStyle name="원_FY2001 list(all)_306393200701221041450656000468420013_FY07 매출계획 작성양식" xfId="1127"/>
    <cellStyle name="원_FY2001 list(all)_306393200701221329200203007251260027_FY07 매출계획 작성양식" xfId="1128"/>
    <cellStyle name="원_FY2001 list(all)_306393200701250903550250090628260030_FY07 매출계획 작성양식" xfId="1129"/>
    <cellStyle name="원_FY2001 list(all)_7-9월설치분집행(1018)" xfId="1130"/>
    <cellStyle name="원_FY2001 list(all)_FY'06년 자동차보험 매출계획 5(안)-1" xfId="1131"/>
    <cellStyle name="원_FY2001 list(all)_FY'06년 자동차보험 매출계획 5(안)-2" xfId="1132"/>
    <cellStyle name="원_FY2001 list(all)_FY'06년 자동차보험 매출계획 기획실송부 요약" xfId="1133"/>
    <cellStyle name="원_FY2001 list(all)_FY07 매출계획 작성양식(최종송부)" xfId="1134"/>
    <cellStyle name="원_FY2001 list(all)_PLACARD" xfId="1135"/>
    <cellStyle name="원_FY2001 list(all)_TM대리점활성화방안(0928)" xfId="1136"/>
    <cellStyle name="원_FY2001 list(all)_TM대리점활성화방안(0930)-1" xfId="1137"/>
    <cellStyle name="원_FY2001 list(all)_TM신상품개발검토의견(20060327)" xfId="1138"/>
    <cellStyle name="원_FY2001 list(all)_TM신청서(최종)-마지부(1229)" xfId="1139"/>
    <cellStyle name="원_FY2001 list(all)_tm활성화(예산수정)" xfId="1140"/>
    <cellStyle name="원_FY2001 list(all)_마지부승인(0512 -5차)" xfId="1141"/>
    <cellStyle name="원_FY2001 list(all)_업체선정평가표(장기tm-20051201)-장원제(최종)" xfId="1142"/>
    <cellStyle name="원_FY2001 list(all)_유지율개선실시사항(050901)" xfId="1143"/>
    <cellStyle name="원_FY2001 list(all)_인수지침관련의견" xfId="1144"/>
    <cellStyle name="원_FY2001 list(all)_일반보험보고(0801)-3" xfId="1145"/>
    <cellStyle name="원_FY2001 list(all)_장기TM관리업무지침안(보완-0105)" xfId="1146"/>
    <cellStyle name="원_FY2001 list(all)_장기TM관리지침별첨(최종-0614)" xfId="1147"/>
    <cellStyle name="원_FY2001 list(all)_장기TM대리점지원및관리규정(20051216-발송용)" xfId="1148"/>
    <cellStyle name="원_FY2001 list(all)_장기TM활성화방안(11월-결재예산보완본)-최종판" xfId="1149"/>
    <cellStyle name="원_FY2001 list(all)_참석자명단(대리점)" xfId="1150"/>
    <cellStyle name="원_FY2001 list(all)_해외여행보험활성화(060620-최종)" xfId="1151"/>
    <cellStyle name="원_FY2002년 2분기 영업소 평가기준(최종)" xfId="1152"/>
    <cellStyle name="원_FY2002년 평가기준 개정(최종안b4)" xfId="1153"/>
    <cellStyle name="원_FY2002년 평가기준 개정(최종안b4)_3063932006021309511403280445_FY'06년 자동차보험 매출계획 기획실송부 요약" xfId="1154"/>
    <cellStyle name="원_FY2002년 평가기준 개정(최종안b4)_3063932006021314282903120496_FY'06년 자동차보험 매출계획 기획실송부 요약" xfId="1155"/>
    <cellStyle name="원_FY2002년 평가기준 개정(최종안b4)_306393200701221041450656000468420013_FY07 매출계획 작성양식" xfId="1156"/>
    <cellStyle name="원_FY2002년 평가기준 개정(최종안b4)_306393200701221329200203007251260027_FY07 매출계획 작성양식" xfId="1157"/>
    <cellStyle name="원_FY2002년 평가기준 개정(최종안b4)_306393200701250903550250090628260030_FY07 매출계획 작성양식" xfId="1158"/>
    <cellStyle name="원_FY2002년 평가기준 개정(최종안b4)_7-9월설치분집행(1018)" xfId="1159"/>
    <cellStyle name="원_FY2002년 평가기준 개정(최종안b4)_FY'06년 자동차보험 매출계획 5(안)-1" xfId="1160"/>
    <cellStyle name="원_FY2002년 평가기준 개정(최종안b4)_FY'06년 자동차보험 매출계획 5(안)-2" xfId="1161"/>
    <cellStyle name="원_FY2002년 평가기준 개정(최종안b4)_FY'06년 자동차보험 매출계획 기획실송부 요약" xfId="1162"/>
    <cellStyle name="원_FY2002년 평가기준 개정(최종안b4)_FY07 매출계획 작성양식(최종송부)" xfId="1163"/>
    <cellStyle name="원_FY2002년 평가기준 개정(최종안b4)_PLACARD" xfId="1164"/>
    <cellStyle name="원_FY2002년 평가기준 개정(최종안b4)_TM대리점활성화방안(0928)" xfId="1165"/>
    <cellStyle name="원_FY2002년 평가기준 개정(최종안b4)_TM대리점활성화방안(0930)-1" xfId="1166"/>
    <cellStyle name="원_FY2002년 평가기준 개정(최종안b4)_TM신상품개발검토의견(20060327)" xfId="1167"/>
    <cellStyle name="원_FY2002년 평가기준 개정(최종안b4)_TM신청서(최종)-마지부(1229)" xfId="1168"/>
    <cellStyle name="원_FY2002년 평가기준 개정(최종안b4)_tm활성화(예산수정)" xfId="1169"/>
    <cellStyle name="원_FY2002년 평가기준 개정(최종안b4)_마지부승인(0512 -5차)" xfId="1170"/>
    <cellStyle name="원_FY2002년 평가기준 개정(최종안b4)_업체선정평가표(장기tm-20051201)-장원제(최종)" xfId="1171"/>
    <cellStyle name="원_FY2002년 평가기준 개정(최종안b4)_유지율개선실시사항(050901)" xfId="1172"/>
    <cellStyle name="원_FY2002년 평가기준 개정(최종안b4)_인수지침관련의견" xfId="1173"/>
    <cellStyle name="원_FY2002년 평가기준 개정(최종안b4)_일반보험보고(0801)-3" xfId="1174"/>
    <cellStyle name="원_FY2002년 평가기준 개정(최종안b4)_장기TM관리업무지침안(보완-0105)" xfId="1175"/>
    <cellStyle name="원_FY2002년 평가기준 개정(최종안b4)_장기TM관리지침별첨(최종-0614)" xfId="1176"/>
    <cellStyle name="원_FY2002년 평가기준 개정(최종안b4)_장기TM대리점지원및관리규정(20051216-발송용)" xfId="1177"/>
    <cellStyle name="원_FY2002년 평가기준 개정(최종안b4)_장기TM활성화방안(11월-결재예산보완본)-최종판" xfId="1178"/>
    <cellStyle name="원_FY2002년 평가기준 개정(최종안b4)_참석자명단(대리점)" xfId="1179"/>
    <cellStyle name="원_FY2002년 평가기준 개정(최종안b4)_해외여행보험활성화(060620-최종)" xfId="1180"/>
    <cellStyle name="원_FY2002년사업단위별평가기준(8.9)" xfId="1181"/>
    <cellStyle name="원_FY2002일반목표" xfId="1182"/>
    <cellStyle name="원_FY2002일반목표_3063932006021309511403280445_FY'06년 자동차보험 매출계획 기획실송부 요약" xfId="1183"/>
    <cellStyle name="원_FY2002일반목표_3063932006021314282903120496_FY'06년 자동차보험 매출계획 기획실송부 요약" xfId="1184"/>
    <cellStyle name="원_FY2002일반목표_306393200701221041450656000468420013_FY07 매출계획 작성양식" xfId="1185"/>
    <cellStyle name="원_FY2002일반목표_306393200701221329200203007251260027_FY07 매출계획 작성양식" xfId="1186"/>
    <cellStyle name="원_FY2002일반목표_306393200701250903550250090628260030_FY07 매출계획 작성양식" xfId="1187"/>
    <cellStyle name="원_FY2002일반목표_7-9월설치분집행(1018)" xfId="1188"/>
    <cellStyle name="원_FY2002일반목표_FY'06년 자동차보험 매출계획 5(안)-1" xfId="1189"/>
    <cellStyle name="원_FY2002일반목표_FY'06년 자동차보험 매출계획 5(안)-2" xfId="1190"/>
    <cellStyle name="원_FY2002일반목표_FY'06년 자동차보험 매출계획 기획실송부 요약" xfId="1191"/>
    <cellStyle name="원_FY2002일반목표_FY07 매출계획 작성양식(최종송부)" xfId="1192"/>
    <cellStyle name="원_FY2002일반목표_PLACARD" xfId="1193"/>
    <cellStyle name="원_FY2002일반목표_TM대리점활성화방안(0928)" xfId="1194"/>
    <cellStyle name="원_FY2002일반목표_TM대리점활성화방안(0930)-1" xfId="1195"/>
    <cellStyle name="원_FY2002일반목표_TM신상품개발검토의견(20060327)" xfId="1196"/>
    <cellStyle name="원_FY2002일반목표_TM신청서(최종)-마지부(1229)" xfId="1197"/>
    <cellStyle name="원_FY2002일반목표_tm활성화(예산수정)" xfId="1198"/>
    <cellStyle name="원_FY2002일반목표_마지부승인(0512 -5차)" xfId="1199"/>
    <cellStyle name="원_FY2002일반목표_업체선정평가표(장기tm-20051201)-장원제(최종)" xfId="1200"/>
    <cellStyle name="원_FY2002일반목표_유지율개선실시사항(050901)" xfId="1201"/>
    <cellStyle name="원_FY2002일반목표_인수지침관련의견" xfId="1202"/>
    <cellStyle name="원_FY2002일반목표_일반보험보고(0801)-3" xfId="1203"/>
    <cellStyle name="원_FY2002일반목표_장기TM관리업무지침안(보완-0105)" xfId="1204"/>
    <cellStyle name="원_FY2002일반목표_장기TM관리지침별첨(최종-0614)" xfId="1205"/>
    <cellStyle name="원_FY2002일반목표_장기TM대리점지원및관리규정(20051216-발송용)" xfId="1206"/>
    <cellStyle name="원_FY2002일반목표_장기TM활성화방안(11월-결재예산보완본)-최종판" xfId="1207"/>
    <cellStyle name="원_FY2002일반목표_참석자명단(대리점)" xfId="1208"/>
    <cellStyle name="원_FY2002일반목표_해외여행보험활성화(060620-최종)" xfId="1209"/>
    <cellStyle name="원_FY2002일반목표배분" xfId="1210"/>
    <cellStyle name="원_FY2002일반목표배분_3063932006021309511403280445_FY'06년 자동차보험 매출계획 기획실송부 요약" xfId="1211"/>
    <cellStyle name="원_FY2002일반목표배분_3063932006021314282903120496_FY'06년 자동차보험 매출계획 기획실송부 요약" xfId="1212"/>
    <cellStyle name="원_FY2002일반목표배분_306393200701221041450656000468420013_FY07 매출계획 작성양식" xfId="1213"/>
    <cellStyle name="원_FY2002일반목표배분_306393200701221329200203007251260027_FY07 매출계획 작성양식" xfId="1214"/>
    <cellStyle name="원_FY2002일반목표배분_306393200701250903550250090628260030_FY07 매출계획 작성양식" xfId="1215"/>
    <cellStyle name="원_FY2002일반목표배분_7-9월설치분집행(1018)" xfId="1216"/>
    <cellStyle name="원_FY2002일반목표배분_FY'06년 자동차보험 매출계획 5(안)-1" xfId="1217"/>
    <cellStyle name="원_FY2002일반목표배분_FY'06년 자동차보험 매출계획 5(안)-2" xfId="1218"/>
    <cellStyle name="원_FY2002일반목표배분_FY'06년 자동차보험 매출계획 기획실송부 요약" xfId="1219"/>
    <cellStyle name="원_FY2002일반목표배분_FY07 매출계획 작성양식(최종송부)" xfId="1220"/>
    <cellStyle name="원_FY2002일반목표배분_PLACARD" xfId="1221"/>
    <cellStyle name="원_FY2002일반목표배분_TM대리점활성화방안(0928)" xfId="1222"/>
    <cellStyle name="원_FY2002일반목표배분_TM대리점활성화방안(0930)-1" xfId="1223"/>
    <cellStyle name="원_FY2002일반목표배분_TM신상품개발검토의견(20060327)" xfId="1224"/>
    <cellStyle name="원_FY2002일반목표배분_TM신청서(최종)-마지부(1229)" xfId="1225"/>
    <cellStyle name="원_FY2002일반목표배분_tm활성화(예산수정)" xfId="1226"/>
    <cellStyle name="원_FY2002일반목표배분_마지부승인(0512 -5차)" xfId="1227"/>
    <cellStyle name="원_FY2002일반목표배분_업체선정평가표(장기tm-20051201)-장원제(최종)" xfId="1228"/>
    <cellStyle name="원_FY2002일반목표배분_유지율개선실시사항(050901)" xfId="1229"/>
    <cellStyle name="원_FY2002일반목표배분_인수지침관련의견" xfId="1230"/>
    <cellStyle name="원_FY2002일반목표배분_일반보험보고(0801)-3" xfId="1231"/>
    <cellStyle name="원_FY2002일반목표배분_장기TM관리업무지침안(보완-0105)" xfId="1232"/>
    <cellStyle name="원_FY2002일반목표배분_장기TM관리지침별첨(최종-0614)" xfId="1233"/>
    <cellStyle name="원_FY2002일반목표배분_장기TM대리점지원및관리규정(20051216-발송용)" xfId="1234"/>
    <cellStyle name="원_FY2002일반목표배분_장기TM활성화방안(11월-결재예산보완본)-최종판" xfId="1235"/>
    <cellStyle name="원_FY2002일반목표배분_참석자명단(대리점)" xfId="1236"/>
    <cellStyle name="원_FY2002일반목표배분_해외여행보험활성화(060620-최종)" xfId="1237"/>
    <cellStyle name="원_FY2003  7월 방카슈랑스 교육성과 분석 (0808) " xfId="1238"/>
    <cellStyle name="원_FY2003 연도평가결과" xfId="1239"/>
    <cellStyle name="원_FY2004.월별가마감" xfId="1240"/>
    <cellStyle name="원_FY2004년 24분기 점포평가기준 변경(안)(0720)" xfId="1241"/>
    <cellStyle name="원_FY2004년도 자동차 교육수료 예정인원 시뮬레이션보고(0403)" xfId="1242"/>
    <cellStyle name="원_FY2004년도 자동차 교육수료 예정인원 시뮬레이션보고최종(0503)" xfId="1243"/>
    <cellStyle name="원_fy2004업계실적" xfId="1244"/>
    <cellStyle name="원_FY2005년RS현황분석(06.1.4)" xfId="1245"/>
    <cellStyle name="원_FY2006손익(한장)" xfId="1246"/>
    <cellStyle name="원_LG화재상품종목별판매실적" xfId="1247"/>
    <cellStyle name="원_LG화재상품종목별판매실적_0703장기보험마감분석" xfId="1248"/>
    <cellStyle name="원_LG화재상품종목별판매실적_7-9월설치분집행(1018)" xfId="1249"/>
    <cellStyle name="원_LG화재상품종목별판매실적_Feedback-일반활성화FY'07.2분기-품의" xfId="1250"/>
    <cellStyle name="원_LG화재상품종목별판매실적_FY'07점포영업전략(070403)" xfId="1251"/>
    <cellStyle name="원_LG화재상품종목별판매실적_TM-FY'07.중간피드백-6" xfId="1252"/>
    <cellStyle name="원_LG화재상품종목별판매실적_TM대리점활성화방안(0928)" xfId="1253"/>
    <cellStyle name="원_LG화재상품종목별판매실적_TM대리점활성화방안(0930)-1" xfId="1254"/>
    <cellStyle name="원_LG화재상품종목별판매실적_TM신상품개발검토의견(20060327)" xfId="1255"/>
    <cellStyle name="원_LG화재상품종목별판매실적_TM신청서(최종)-마지부(1229)" xfId="1256"/>
    <cellStyle name="원_LG화재상품종목별판매실적_보장자산증대방안" xfId="1257"/>
    <cellStyle name="원_LG화재상품종목별판매실적_신상품재검토(20040417)" xfId="1258"/>
    <cellStyle name="원_LG화재상품종목별판매실적_업체선정평가표(장기tm-20051201)-장원제(최종)" xfId="1259"/>
    <cellStyle name="원_LG화재상품종목별판매실적_인수지침관련의견" xfId="1260"/>
    <cellStyle name="원_LG화재상품종목별판매실적_장기TM대리점지원및관리규정(20051216-발송용)" xfId="1261"/>
    <cellStyle name="원_LG화재상품종목별판매실적_통신판매가이드라인정리(최종)" xfId="1262"/>
    <cellStyle name="원_LG화재상품종목별판매실적_프리스타일(수당업)" xfId="1263"/>
    <cellStyle name="원_LG화재상품종목별판매실적_하이라이프다이렉트수수료안(20060522)" xfId="1264"/>
    <cellStyle name="원_LG화재상품종목별판매실적_해외연수실시안(20071220)-7차-공지용" xfId="1265"/>
    <cellStyle name="원_LG화재상품종목별판매실적_해외연수실시안(20080130)-후꾸오까-차수조정" xfId="1266"/>
    <cellStyle name="원_LIG대비격차추정" xfId="1267"/>
    <cellStyle name="원_Lover" xfId="1268"/>
    <cellStyle name="원_Lover_1" xfId="1269"/>
    <cellStyle name="원_Lover_1_7-9월설치분집행(1018)" xfId="1270"/>
    <cellStyle name="원_Lover_1_Feedback-일반활성화FY'07.2분기-품의" xfId="1271"/>
    <cellStyle name="원_Lover_1_TM-FY'07.중간피드백-6" xfId="1272"/>
    <cellStyle name="원_Lover_1_TM대리점활성화방안(0928)" xfId="1273"/>
    <cellStyle name="원_Lover_1_TM대리점활성화방안(0930)-1" xfId="1274"/>
    <cellStyle name="원_Lover_1_TM신상품개발검토의견(20060327)" xfId="1275"/>
    <cellStyle name="원_Lover_1_TM신청서(최종)-마지부(1229)" xfId="1276"/>
    <cellStyle name="원_Lover_1_부문별월별매출계획(070330기획실)" xfId="1277"/>
    <cellStyle name="원_Lover_1_신상품재검토(20040417)" xfId="1278"/>
    <cellStyle name="원_Lover_1_업체선정평가표(장기tm-20051201)-장원제(최종)" xfId="1279"/>
    <cellStyle name="원_Lover_1_업추비개선(초안)" xfId="1280"/>
    <cellStyle name="원_Lover_1_인수지침관련의견" xfId="1281"/>
    <cellStyle name="원_Lover_1_장기TM대리점지원및관리규정(20051216-발송용)" xfId="1282"/>
    <cellStyle name="원_Lover_1_장기보험목표달성방안(070903-2)" xfId="1283"/>
    <cellStyle name="원_Lover_1_장기특성별실적_조정후(가안)" xfId="1284"/>
    <cellStyle name="원_Lover_1_통신판매가이드라인정리(최종)" xfId="1285"/>
    <cellStyle name="원_Lover_1_하이라이프다이렉트수수료안(20060522)" xfId="1286"/>
    <cellStyle name="원_Lover_1_현장간담회 결과보고" xfId="1287"/>
    <cellStyle name="원_Lover_2003 업추비교육OHP(2003.12)" xfId="1288"/>
    <cellStyle name="원_Lover_7-9월설치분집행(1018)" xfId="1289"/>
    <cellStyle name="원_Lover_Feedback-일반활성화FY'07.2분기-품의" xfId="1290"/>
    <cellStyle name="원_Lover_FY'07년 시장전망(조희철GJ)" xfId="1291"/>
    <cellStyle name="원_Lover_PLACARD" xfId="1292"/>
    <cellStyle name="원_Lover_TM-FY'07.중간피드백-6" xfId="1293"/>
    <cellStyle name="원_Lover_TM대리점활성화방안(0928)" xfId="1294"/>
    <cellStyle name="원_Lover_TM대리점활성화방안(0930)-1" xfId="1295"/>
    <cellStyle name="원_Lover_TM신상품개발검토의견(20060327)" xfId="1296"/>
    <cellStyle name="원_Lover_TM신청서(최종)-마지부(1229)" xfId="1297"/>
    <cellStyle name="원_Lover_tm활성화(예산수정)" xfId="1298"/>
    <cellStyle name="원_Lover_각사별 통합형보험 수당체계 비교" xfId="1299"/>
    <cellStyle name="원_Lover_마지부승인(0512 -5차)" xfId="1300"/>
    <cellStyle name="원_Lover_부문별월별매출계획(070330기획실)" xfId="1301"/>
    <cellStyle name="원_Lover_신상품재검토(20040417)" xfId="1302"/>
    <cellStyle name="원_Lover_업체선정평가표(장기tm-20051201)-장원제(최종)" xfId="1303"/>
    <cellStyle name="원_Lover_업추비개선(초안)" xfId="1304"/>
    <cellStyle name="원_Lover_인수지침관련의견" xfId="1305"/>
    <cellStyle name="원_Lover_장기TM대리점지원및관리규정(20051216-발송용)" xfId="1306"/>
    <cellStyle name="원_Lover_장기TM활성화방안(11월-결재예산보완본)-최종판" xfId="1307"/>
    <cellStyle name="원_Lover_장기보험목표달성방안(070903-2)" xfId="1308"/>
    <cellStyle name="원_Lover_장기특성별실적_조정후(가안)" xfId="1309"/>
    <cellStyle name="원_Lover_참석자명단(대리점)" xfId="1310"/>
    <cellStyle name="원_Lover_통신판매가이드라인정리(최종)" xfId="1311"/>
    <cellStyle name="원_Lover_하이라이프다이렉트수수료안(20060522)" xfId="1312"/>
    <cellStyle name="원_Lover_현장간담회 결과보고" xfId="1313"/>
    <cellStyle name="원_MS(051123)-품의보고" xfId="1314"/>
    <cellStyle name="원_MS대책지점별목표(04.9.30)" xfId="1315"/>
    <cellStyle name="원_MS증대방안(050927)" xfId="1316"/>
    <cellStyle name="원_OJT리더교육" xfId="1317"/>
    <cellStyle name="원_PLACARD" xfId="1318"/>
    <cellStyle name="원_RC관련회의자료(05.10.21)10" xfId="1319"/>
    <cellStyle name="원_RMS체계개선++보고자료(심기보과장정리)" xfId="1320"/>
    <cellStyle name="원_rms해외연수특별시책전개" xfId="1321"/>
    <cellStyle name="원_RTC+예산배정" xfId="1322"/>
    <cellStyle name="원_TA수수료신설안(040825)" xfId="1323"/>
    <cellStyle name="원_TA육성수수료체계운영기준(040830발송)" xfId="1324"/>
    <cellStyle name="원_TA육성수수료체계운영기준(040830발송)_0703장기보험마감분석" xfId="1325"/>
    <cellStyle name="원_TA육성수수료체계운영기준(040830발송)_7-9월설치분집행(1018)" xfId="1326"/>
    <cellStyle name="원_TA육성수수료체계운영기준(040830발송)_Feedback-일반활성화FY'07.2분기-품의" xfId="1327"/>
    <cellStyle name="원_TA육성수수료체계운영기준(040830발송)_FY'07점포영업전략(070403)" xfId="1328"/>
    <cellStyle name="원_TA육성수수료체계운영기준(040830발송)_TM-FY'07.중간피드백-6" xfId="1329"/>
    <cellStyle name="원_TA육성수수료체계운영기준(040830발송)_TM대리점활성화방안(0928)" xfId="1330"/>
    <cellStyle name="원_TA육성수수료체계운영기준(040830발송)_TM대리점활성화방안(0930)-1" xfId="1331"/>
    <cellStyle name="원_TA육성수수료체계운영기준(040830발송)_TM신상품개발검토의견(20060327)" xfId="1332"/>
    <cellStyle name="원_TA육성수수료체계운영기준(040830발송)_TM신청서(최종)-마지부(1229)" xfId="1333"/>
    <cellStyle name="원_TA육성수수료체계운영기준(040830발송)_보장자산증대방안" xfId="1334"/>
    <cellStyle name="원_TA육성수수료체계운영기준(040830발송)_신상품재검토(20040417)" xfId="1335"/>
    <cellStyle name="원_TA육성수수료체계운영기준(040830발송)_업체선정평가표(장기tm-20051201)-장원제(최종)" xfId="1336"/>
    <cellStyle name="원_TA육성수수료체계운영기준(040830발송)_인수지침관련의견" xfId="1337"/>
    <cellStyle name="원_TA육성수수료체계운영기준(040830발송)_장기TM대리점지원및관리규정(20051216-발송용)" xfId="1338"/>
    <cellStyle name="원_TA육성수수료체계운영기준(040830발송)_통신판매가이드라인정리(최종)" xfId="1339"/>
    <cellStyle name="원_TA육성수수료체계운영기준(040830발송)_하이라이프다이렉트수수료안(20060522)" xfId="1340"/>
    <cellStyle name="원_TA육성수수료체계운영기준(040830발송)_해외연수실시안(20071220)-7차-공지용" xfId="1341"/>
    <cellStyle name="원_TA육성수수료체계운영기준(040830발송)_해외연수실시안(20080130)-후꾸오까-차수조정" xfId="1342"/>
    <cellStyle name="원_TA적용상품확대기준(051001)" xfId="1343"/>
    <cellStyle name="원_TFT운영비(050801)-발송용" xfId="1344"/>
    <cellStyle name="원_TM-FY'07.중간피드백-6" xfId="1345"/>
    <cellStyle name="원_TM대리점활성화방안(0928)" xfId="1346"/>
    <cellStyle name="원_TM대리점활성화방안(0930)-1" xfId="1347"/>
    <cellStyle name="원_TM대리점활성화방안(재수정-1020)" xfId="1348"/>
    <cellStyle name="원_TM신상품개발검토의견(20060327)" xfId="1349"/>
    <cellStyle name="원_TM신청서(최종)-마지부(1229)" xfId="1350"/>
    <cellStyle name="원_TM판매관련회의(051230)" xfId="1351"/>
    <cellStyle name="원_TM현황(051223)일반" xfId="1352"/>
    <cellStyle name="원_tm활성화(예산수정)" xfId="1353"/>
    <cellStyle name="원_T신인육성팀운영안이권도팀장진짜최종안16시10분(041129)" xfId="1354"/>
    <cellStyle name="원_가.+공지+파일(12.6)값입력" xfId="1355"/>
    <cellStyle name="원_가.05.3월+마감실적" xfId="1356"/>
    <cellStyle name="원_가.12월 마감실적" xfId="1357"/>
    <cellStyle name="원_가.6월 마감실적" xfId="1358"/>
    <cellStyle name="원_가.7월 마감실적" xfId="1359"/>
    <cellStyle name="원_가.9월 마감실적" xfId="1360"/>
    <cellStyle name="원_가마감(11월)" xfId="1361"/>
    <cellStyle name="원_가마감(11월)_3063932006021309511403280445_FY'06년 자동차보험 매출계획 기획실송부 요약" xfId="1362"/>
    <cellStyle name="원_가마감(11월)_3063932006021314282903120496_FY'06년 자동차보험 매출계획 기획실송부 요약" xfId="1363"/>
    <cellStyle name="원_가마감(11월)_306393200701221041450656000468420013_FY07 매출계획 작성양식" xfId="1364"/>
    <cellStyle name="원_가마감(11월)_306393200701221329200203007251260027_FY07 매출계획 작성양식" xfId="1365"/>
    <cellStyle name="원_가마감(11월)_306393200701250903550250090628260030_FY07 매출계획 작성양식" xfId="1366"/>
    <cellStyle name="원_가마감(11월)_7-9월설치분집행(1018)" xfId="1367"/>
    <cellStyle name="원_가마감(11월)_FY'06년 자동차보험 매출계획 5(안)-1" xfId="1368"/>
    <cellStyle name="원_가마감(11월)_FY'06년 자동차보험 매출계획 5(안)-2" xfId="1369"/>
    <cellStyle name="원_가마감(11월)_FY'06년 자동차보험 매출계획 기획실송부 요약" xfId="1370"/>
    <cellStyle name="원_가마감(11월)_FY07 매출계획 작성양식(최종송부)" xfId="1371"/>
    <cellStyle name="원_가마감(11월)_PLACARD" xfId="1372"/>
    <cellStyle name="원_가마감(11월)_TM대리점활성화방안(0928)" xfId="1373"/>
    <cellStyle name="원_가마감(11월)_TM대리점활성화방안(0930)-1" xfId="1374"/>
    <cellStyle name="원_가마감(11월)_TM신상품개발검토의견(20060327)" xfId="1375"/>
    <cellStyle name="원_가마감(11월)_TM신청서(최종)-마지부(1229)" xfId="1376"/>
    <cellStyle name="원_가마감(11월)_tm활성화(예산수정)" xfId="1377"/>
    <cellStyle name="원_가마감(11월)_마지부승인(0512 -5차)" xfId="1378"/>
    <cellStyle name="원_가마감(11월)_업체선정평가표(장기tm-20051201)-장원제(최종)" xfId="1379"/>
    <cellStyle name="원_가마감(11월)_유지율개선실시사항(050901)" xfId="1380"/>
    <cellStyle name="원_가마감(11월)_인수지침관련의견" xfId="1381"/>
    <cellStyle name="원_가마감(11월)_일반보험보고(0801)-3" xfId="1382"/>
    <cellStyle name="원_가마감(11월)_장기TM관리업무지침안(보완-0105)" xfId="1383"/>
    <cellStyle name="원_가마감(11월)_장기TM관리지침별첨(최종-0614)" xfId="1384"/>
    <cellStyle name="원_가마감(11월)_장기TM대리점지원및관리규정(20051216-발송용)" xfId="1385"/>
    <cellStyle name="원_가마감(11월)_장기TM활성화방안(11월-결재예산보완본)-최종판" xfId="1386"/>
    <cellStyle name="원_가마감(11월)_참석자명단(대리점)" xfId="1387"/>
    <cellStyle name="원_가마감(11월)_해외여행보험활성화(060620-최종)" xfId="1388"/>
    <cellStyle name="원_개총(부진9월)성남" xfId="1389"/>
    <cellStyle name="원_겉표지" xfId="1390"/>
    <cellStyle name="원_겉표지_Feedback-일반활성화FY'07.2분기-품의" xfId="1391"/>
    <cellStyle name="원_겉표지_FY'06장기보험매출계획(유지율)" xfId="1392"/>
    <cellStyle name="원_겉표지_FY'07점포영업전략(070403)" xfId="1393"/>
    <cellStyle name="원_겉표지_보장자산증대방안" xfId="1394"/>
    <cellStyle name="원_경남지역본부점포운영전략방안" xfId="1395"/>
    <cellStyle name="원_경상비 검증파일" xfId="1396"/>
    <cellStyle name="원_경쟁사대비계속보험료현황(031111)" xfId="1397"/>
    <cellStyle name="원_경쟁사보험종목별실적현황" xfId="1398"/>
    <cellStyle name="원_경쟁사시험합격현황" xfId="1399"/>
    <cellStyle name="원_경쟁사유지율(040113)" xfId="1400"/>
    <cellStyle name="원_경쟁사유지율(040113)_7-9월설치분집행(1018)" xfId="1401"/>
    <cellStyle name="원_경쟁사유지율(040113)_Feedback-일반활성화FY'07.2분기-품의" xfId="1402"/>
    <cellStyle name="원_경쟁사유지율(040113)_TM-FY'07.중간피드백-6" xfId="1403"/>
    <cellStyle name="원_경쟁사유지율(040113)_TM대리점활성화방안(0928)" xfId="1404"/>
    <cellStyle name="원_경쟁사유지율(040113)_TM대리점활성화방안(0930)-1" xfId="1405"/>
    <cellStyle name="원_경쟁사유지율(040113)_TM신상품개발검토의견(20060327)" xfId="1406"/>
    <cellStyle name="원_경쟁사유지율(040113)_TM신청서(최종)-마지부(1229)" xfId="1407"/>
    <cellStyle name="원_경쟁사유지율(040113)_신상품재검토(20040417)" xfId="1408"/>
    <cellStyle name="원_경쟁사유지율(040113)_업체선정평가표(장기tm-20051201)-장원제(최종)" xfId="1409"/>
    <cellStyle name="원_경쟁사유지율(040113)_인수지침관련의견" xfId="1410"/>
    <cellStyle name="원_경쟁사유지율(040113)_장기TM대리점지원및관리규정(20051216-발송용)" xfId="1411"/>
    <cellStyle name="원_경쟁사유지율(040113)_장기보험목표달성방안(070903-2)" xfId="1412"/>
    <cellStyle name="원_경쟁사유지율(040113)_통신판매가이드라인정리(최종)" xfId="1413"/>
    <cellStyle name="원_경쟁사유지율(040113)_퇴직보험(연금)추가목표배분기준(발송용)-마케팅" xfId="1414"/>
    <cellStyle name="원_경쟁사유지율(040113)_하이라이프다이렉트수수료안(20060522)" xfId="1415"/>
    <cellStyle name="원_경쟁사-일반 9월 실적분석" xfId="1416"/>
    <cellStyle name="원_계속보험방카영향도" xfId="1417"/>
    <cellStyle name="원_계속총량MS자료" xfId="1418"/>
    <cellStyle name="원_계열+비계열(0406)" xfId="1419"/>
    <cellStyle name="원_계열+비계열(0408)" xfId="1420"/>
    <cellStyle name="원_계획보고(품의용)" xfId="1421"/>
    <cellStyle name="원_고세영대리(05.12.20)" xfId="1422"/>
    <cellStyle name="원_공문" xfId="1423"/>
    <cellStyle name="원_공문_0703장기보험마감분석" xfId="1424"/>
    <cellStyle name="원_공문_7-9월설치분집행(1018)" xfId="1425"/>
    <cellStyle name="원_공문_Feedback-일반활성화FY'07.2분기-품의" xfId="1426"/>
    <cellStyle name="원_공문_FY'07점포영업전략(070403)" xfId="1427"/>
    <cellStyle name="원_공문_TM-FY'07.중간피드백-6" xfId="1428"/>
    <cellStyle name="원_공문_TM대리점활성화방안(0928)" xfId="1429"/>
    <cellStyle name="원_공문_TM대리점활성화방안(0930)-1" xfId="1430"/>
    <cellStyle name="원_공문_TM신상품개발검토의견(20060327)" xfId="1431"/>
    <cellStyle name="원_공문_TM신청서(최종)-마지부(1229)" xfId="1432"/>
    <cellStyle name="원_공문_보장자산증대방안" xfId="1433"/>
    <cellStyle name="원_공문_신상품재검토(20040417)" xfId="1434"/>
    <cellStyle name="원_공문_업체선정평가표(장기tm-20051201)-장원제(최종)" xfId="1435"/>
    <cellStyle name="원_공문_업추비개선(초안)" xfId="1436"/>
    <cellStyle name="원_공문_인수지침관련의견" xfId="1437"/>
    <cellStyle name="원_공문_장기TM대리점지원및관리규정(20051216-발송용)" xfId="1438"/>
    <cellStyle name="원_공문_통신판매가이드라인정리(최종)" xfId="1439"/>
    <cellStyle name="원_공문_하이라이프다이렉트수수료안(20060522)" xfId="1440"/>
    <cellStyle name="원_공문_해외연수실시안(20071220)-7차-공지용" xfId="1441"/>
    <cellStyle name="원_공문_해외연수실시안(20080130)-후꾸오까-차수조정" xfId="1442"/>
    <cellStyle name="원_공문_현장간담회 결과보고" xfId="1443"/>
    <cellStyle name="원_교육대상자" xfId="1444"/>
    <cellStyle name="원_교환자료종합" xfId="1445"/>
    <cellStyle name="원_교환자료종합_0703장기보험마감분석" xfId="1446"/>
    <cellStyle name="원_교환자료종합_7-9월설치분집행(1018)" xfId="1447"/>
    <cellStyle name="원_교환자료종합_Feedback-일반활성화FY'07.2분기-품의" xfId="1448"/>
    <cellStyle name="원_교환자료종합_FY'07점포영업전략(070403)" xfId="1449"/>
    <cellStyle name="원_교환자료종합_TM-FY'07.중간피드백-6" xfId="1450"/>
    <cellStyle name="원_교환자료종합_TM대리점활성화방안(0928)" xfId="1451"/>
    <cellStyle name="원_교환자료종합_TM대리점활성화방안(0930)-1" xfId="1452"/>
    <cellStyle name="원_교환자료종합_TM신상품개발검토의견(20060327)" xfId="1453"/>
    <cellStyle name="원_교환자료종합_TM신청서(최종)-마지부(1229)" xfId="1454"/>
    <cellStyle name="원_교환자료종합_보장자산증대방안" xfId="1455"/>
    <cellStyle name="원_교환자료종합_신상품재검토(20040417)" xfId="1456"/>
    <cellStyle name="원_교환자료종합_업체선정평가표(장기tm-20051201)-장원제(최종)" xfId="1457"/>
    <cellStyle name="원_교환자료종합_유지율개선실시사항(050901)" xfId="1458"/>
    <cellStyle name="원_교환자료종합_인수지침관련의견" xfId="1459"/>
    <cellStyle name="원_교환자료종합_일반보험보고(0801)-3" xfId="1460"/>
    <cellStyle name="원_교환자료종합_장기TM관리업무지침안(보완-0105)" xfId="1461"/>
    <cellStyle name="원_교환자료종합_장기TM관리지침별첨(최종-0614)" xfId="1462"/>
    <cellStyle name="원_교환자료종합_장기TM대리점지원및관리규정(20051216-발송용)" xfId="1463"/>
    <cellStyle name="원_교환자료종합_통신판매가이드라인정리(최종)" xfId="1464"/>
    <cellStyle name="원_교환자료종합_프리스타일(수당업)" xfId="1465"/>
    <cellStyle name="원_교환자료종합_하이라이프다이렉트수수료안(20060522)" xfId="1466"/>
    <cellStyle name="원_교환자료종합_해외여행보험활성화(060620-최종)" xfId="1467"/>
    <cellStyle name="원_교환자료종합_해외연수실시안(20071220)-7차-공지용" xfId="1468"/>
    <cellStyle name="원_교환자료종합_해외연수실시안(20080130)-후꾸오까-차수조정" xfId="1469"/>
    <cellStyle name="원_교환자료종합월별정리" xfId="1470"/>
    <cellStyle name="원_교환자료종합월별정리_0703장기보험마감분석" xfId="1471"/>
    <cellStyle name="원_교환자료종합월별정리_7-9월설치분집행(1018)" xfId="1472"/>
    <cellStyle name="원_교환자료종합월별정리_Feedback-일반활성화FY'07.2분기-품의" xfId="1473"/>
    <cellStyle name="원_교환자료종합월별정리_FY'07점포영업전략(070403)" xfId="1474"/>
    <cellStyle name="원_교환자료종합월별정리_TM-FY'07.중간피드백-6" xfId="1475"/>
    <cellStyle name="원_교환자료종합월별정리_TM대리점활성화방안(0928)" xfId="1476"/>
    <cellStyle name="원_교환자료종합월별정리_TM대리점활성화방안(0930)-1" xfId="1477"/>
    <cellStyle name="원_교환자료종합월별정리_TM신상품개발검토의견(20060327)" xfId="1478"/>
    <cellStyle name="원_교환자료종합월별정리_TM신청서(최종)-마지부(1229)" xfId="1479"/>
    <cellStyle name="원_교환자료종합월별정리_보장자산증대방안" xfId="1480"/>
    <cellStyle name="원_교환자료종합월별정리_신상품재검토(20040417)" xfId="1481"/>
    <cellStyle name="원_교환자료종합월별정리_업체선정평가표(장기tm-20051201)-장원제(최종)" xfId="1482"/>
    <cellStyle name="원_교환자료종합월별정리_인수지침관련의견" xfId="1483"/>
    <cellStyle name="원_교환자료종합월별정리_장기TM대리점지원및관리규정(20051216-발송용)" xfId="1484"/>
    <cellStyle name="원_교환자료종합월별정리_통신판매가이드라인정리(최종)" xfId="1485"/>
    <cellStyle name="원_교환자료종합월별정리_프리스타일(수당업)" xfId="1486"/>
    <cellStyle name="원_교환자료종합월별정리_하이라이프다이렉트수수료안(20060522)" xfId="1487"/>
    <cellStyle name="원_교환자료종합월별정리_해외연수실시안(20071220)-7차-공지용" xfId="1488"/>
    <cellStyle name="원_교환자료종합월별정리_해외연수실시안(20080130)-후꾸오까-차수조정" xfId="1489"/>
    <cellStyle name="원_기지부05.10월분석자료" xfId="1490"/>
    <cellStyle name="원_기지부마감분석" xfId="1491"/>
    <cellStyle name="원_기지부자료" xfId="1492"/>
    <cellStyle name="원_기초자료" xfId="1493"/>
    <cellStyle name="원_기총6월 마감실적" xfId="1494"/>
    <cellStyle name="원_기획가마감" xfId="1495"/>
    <cellStyle name="원_김종선부장님" xfId="1496"/>
    <cellStyle name="원_나.05.1월본부별4" xfId="1497"/>
    <cellStyle name="원_나.10월본부별4" xfId="1498"/>
    <cellStyle name="원_나.11월본부별4" xfId="1499"/>
    <cellStyle name="원_나.11월본부별4-수정" xfId="1500"/>
    <cellStyle name="원_나.12월본부별4" xfId="1501"/>
    <cellStyle name="원_나.1월본부별4" xfId="1502"/>
    <cellStyle name="원_나.2월본부별4" xfId="1503"/>
    <cellStyle name="원_나.2월본부별4(수정)" xfId="1504"/>
    <cellStyle name="원_나.3월본부별4" xfId="1505"/>
    <cellStyle name="원_나.3월본부별4-수정본" xfId="1506"/>
    <cellStyle name="원_나.5월본부별4" xfId="1507"/>
    <cellStyle name="원_나.6월본부별4" xfId="1508"/>
    <cellStyle name="원_나.7월본부별4" xfId="1509"/>
    <cellStyle name="원_나.8월본부별4" xfId="1510"/>
    <cellStyle name="원_나.9월본부별4" xfId="1511"/>
    <cellStyle name="원_나.9월본부별4-확인용" xfId="1512"/>
    <cellStyle name="원_누계 및 신규(3월2차)" xfId="1513"/>
    <cellStyle name="원_더블보장체결현황(05.8.19)공지" xfId="1514"/>
    <cellStyle name="원_더블보장체결현황(05.9.2)" xfId="1515"/>
    <cellStyle name="원_등급화(수정)" xfId="1516"/>
    <cellStyle name="원_등급화(수정)_2005.11월 점포코드" xfId="1517"/>
    <cellStyle name="원_등급화(수정)_7-9월설치분집행(1018)" xfId="1518"/>
    <cellStyle name="원_등급화(수정)_Feedback-일반활성화FY'07.2분기-품의" xfId="1519"/>
    <cellStyle name="원_등급화(수정)_TM-FY'07.중간피드백-6" xfId="1520"/>
    <cellStyle name="원_등급화(수정)_TM대리점활성화방안(0928)" xfId="1521"/>
    <cellStyle name="원_등급화(수정)_TM대리점활성화방안(0930)-1" xfId="1522"/>
    <cellStyle name="원_등급화(수정)_TM신상품개발검토의견(20060327)" xfId="1523"/>
    <cellStyle name="원_등급화(수정)_TM신청서(최종)-마지부(1229)" xfId="1524"/>
    <cellStyle name="원_등급화(수정)_부문별월별매출계획(070330기획실)" xfId="1525"/>
    <cellStyle name="원_등급화(수정)_신상품재검토(20040417)" xfId="1526"/>
    <cellStyle name="원_등급화(수정)_업체선정평가표(장기tm-20051201)-장원제(최종)" xfId="1527"/>
    <cellStyle name="원_등급화(수정)_업추비개선(초안)" xfId="1528"/>
    <cellStyle name="원_등급화(수정)_유지율개선실시사항(050901)" xfId="1529"/>
    <cellStyle name="원_등급화(수정)_인수지침관련의견" xfId="1530"/>
    <cellStyle name="원_등급화(수정)_일반보험보고(0801)-3" xfId="1531"/>
    <cellStyle name="원_등급화(수정)_장기TM관리업무지침안(보완-0105)" xfId="1532"/>
    <cellStyle name="원_등급화(수정)_장기TM관리지침별첨(최종-0614)" xfId="1533"/>
    <cellStyle name="원_등급화(수정)_장기TM대리점지원및관리규정(20051216-발송용)" xfId="1534"/>
    <cellStyle name="원_등급화(수정)_장기보험목표달성방안(070903-2)" xfId="1535"/>
    <cellStyle name="원_등급화(수정)_장기특성별실적_조정후(가안)" xfId="1536"/>
    <cellStyle name="원_등급화(수정)_통신판매가이드라인정리(최종)" xfId="1537"/>
    <cellStyle name="원_등급화(수정)_프리스타일(수당업)" xfId="1538"/>
    <cellStyle name="원_등급화(수정)_하이라이프다이렉트수수료안(20060522)" xfId="1539"/>
    <cellStyle name="원_등급화(수정)_해외여행보험활성화(060620-최종)" xfId="1540"/>
    <cellStyle name="원_등급화(수정)_현대해상'05년우수대리점제안서(송부용최종1222)" xfId="1541"/>
    <cellStyle name="원_등급화(수정)_현대해상'05년우수대리점제안서(송부용최종1222)_0703장기보험마감분석" xfId="1542"/>
    <cellStyle name="원_등급화(수정)_현대해상'05년우수대리점제안서(송부용최종1222)_7-9월설치분집행(1018)" xfId="1543"/>
    <cellStyle name="원_등급화(수정)_현대해상'05년우수대리점제안서(송부용최종1222)_Feedback-일반활성화FY'07.2분기-품의" xfId="1544"/>
    <cellStyle name="원_등급화(수정)_현대해상'05년우수대리점제안서(송부용최종1222)_FY'07점포영업전략(070403)" xfId="1545"/>
    <cellStyle name="원_등급화(수정)_현대해상'05년우수대리점제안서(송부용최종1222)_TM-FY'07.중간피드백-6" xfId="1546"/>
    <cellStyle name="원_등급화(수정)_현대해상'05년우수대리점제안서(송부용최종1222)_TM대리점활성화방안(0928)" xfId="1547"/>
    <cellStyle name="원_등급화(수정)_현대해상'05년우수대리점제안서(송부용최종1222)_TM대리점활성화방안(0930)-1" xfId="1548"/>
    <cellStyle name="원_등급화(수정)_현대해상'05년우수대리점제안서(송부용최종1222)_TM신상품개발검토의견(20060327)" xfId="1549"/>
    <cellStyle name="원_등급화(수정)_현대해상'05년우수대리점제안서(송부용최종1222)_TM신청서(최종)-마지부(1229)" xfId="1550"/>
    <cellStyle name="원_등급화(수정)_현대해상'05년우수대리점제안서(송부용최종1222)_보장자산증대방안" xfId="1551"/>
    <cellStyle name="원_등급화(수정)_현대해상'05년우수대리점제안서(송부용최종1222)_신상품재검토(20040417)" xfId="1552"/>
    <cellStyle name="원_등급화(수정)_현대해상'05년우수대리점제안서(송부용최종1222)_업체선정평가표(장기tm-20051201)-장원제(최종)" xfId="1553"/>
    <cellStyle name="원_등급화(수정)_현대해상'05년우수대리점제안서(송부용최종1222)_유지율개선실시사항(050901)" xfId="1554"/>
    <cellStyle name="원_등급화(수정)_현대해상'05년우수대리점제안서(송부용최종1222)_인수지침관련의견" xfId="1555"/>
    <cellStyle name="원_등급화(수정)_현대해상'05년우수대리점제안서(송부용최종1222)_일반보험보고(0801)-3" xfId="1556"/>
    <cellStyle name="원_등급화(수정)_현대해상'05년우수대리점제안서(송부용최종1222)_장기TM관리업무지침안(보완-0105)" xfId="1557"/>
    <cellStyle name="원_등급화(수정)_현대해상'05년우수대리점제안서(송부용최종1222)_장기TM관리지침별첨(최종-0614)" xfId="1558"/>
    <cellStyle name="원_등급화(수정)_현대해상'05년우수대리점제안서(송부용최종1222)_장기TM대리점지원및관리규정(20051216-발송용)" xfId="1559"/>
    <cellStyle name="원_등급화(수정)_현대해상'05년우수대리점제안서(송부용최종1222)_통신판매가이드라인정리(최종)" xfId="1560"/>
    <cellStyle name="원_등급화(수정)_현대해상'05년우수대리점제안서(송부용최종1222)_프리스타일(수당업)" xfId="1561"/>
    <cellStyle name="원_등급화(수정)_현대해상'05년우수대리점제안서(송부용최종1222)_하이라이프다이렉트수수료안(20060522)" xfId="1562"/>
    <cellStyle name="원_등급화(수정)_현대해상'05년우수대리점제안서(송부용최종1222)_해외여행보험활성화(060620-최종)" xfId="1563"/>
    <cellStyle name="원_등급화(수정)_현대해상'05년우수대리점제안서(송부용최종1222)_해외연수실시안(20071220)-7차-공지용" xfId="1564"/>
    <cellStyle name="원_등급화(수정)_현대해상'05년우수대리점제안서(송부용최종1222)_해외연수실시안(20080130)-후꾸오까-차수조정" xfId="1565"/>
    <cellStyle name="원_등급화(수정)_현장간담회 결과보고" xfId="1566"/>
    <cellStyle name="원_마.6월+별첨부록" xfId="1567"/>
    <cellStyle name="원_마.6월+별첨부록_3063932006021309511403280445_FY'06년 자동차보험 매출계획 기획실송부 요약" xfId="1568"/>
    <cellStyle name="원_마.6월+별첨부록_3063932006021314282903120496_FY'06년 자동차보험 매출계획 기획실송부 요약" xfId="1569"/>
    <cellStyle name="원_마.6월+별첨부록_306393200701221041450656000468420013_FY07 매출계획 작성양식" xfId="1570"/>
    <cellStyle name="원_마.6월+별첨부록_306393200701221329200203007251260027_FY07 매출계획 작성양식" xfId="1571"/>
    <cellStyle name="원_마.6월+별첨부록_306393200701250903550250090628260030_FY07 매출계획 작성양식" xfId="1572"/>
    <cellStyle name="원_마.6월+별첨부록_7-9월설치분집행(1018)" xfId="1573"/>
    <cellStyle name="원_마.6월+별첨부록_FY'06년 자동차보험 매출계획 5(안)-1" xfId="1574"/>
    <cellStyle name="원_마.6월+별첨부록_FY'06년 자동차보험 매출계획 5(안)-2" xfId="1575"/>
    <cellStyle name="원_마.6월+별첨부록_FY'06년 자동차보험 매출계획 기획실송부 요약" xfId="1576"/>
    <cellStyle name="원_마.6월+별첨부록_FY07 매출계획 작성양식(최종송부)" xfId="1577"/>
    <cellStyle name="원_마.6월+별첨부록_PLACARD" xfId="1578"/>
    <cellStyle name="원_마.6월+별첨부록_TM대리점활성화방안(0928)" xfId="1579"/>
    <cellStyle name="원_마.6월+별첨부록_TM대리점활성화방안(0930)-1" xfId="1580"/>
    <cellStyle name="원_마.6월+별첨부록_TM신상품개발검토의견(20060327)" xfId="1581"/>
    <cellStyle name="원_마.6월+별첨부록_TM신청서(최종)-마지부(1229)" xfId="1582"/>
    <cellStyle name="원_마.6월+별첨부록_tm활성화(예산수정)" xfId="1583"/>
    <cellStyle name="원_마.6월+별첨부록_마지부승인(0512 -5차)" xfId="1584"/>
    <cellStyle name="원_마.6월+별첨부록_업체선정평가표(장기tm-20051201)-장원제(최종)" xfId="1585"/>
    <cellStyle name="원_마.6월+별첨부록_인수지침관련의견" xfId="1586"/>
    <cellStyle name="원_마.6월+별첨부록_장기TM대리점지원및관리규정(20051216-발송용)" xfId="1587"/>
    <cellStyle name="원_마.6월+별첨부록_장기TM활성화방안(11월-결재예산보완본)-최종판" xfId="1588"/>
    <cellStyle name="원_마.6월+별첨부록_참석자명단(대리점)" xfId="1589"/>
    <cellStyle name="원_마.마감별첨1-10월" xfId="1590"/>
    <cellStyle name="원_마.마감별첨1-10월_3063932006021309511403280445_FY'06년 자동차보험 매출계획 기획실송부 요약" xfId="1591"/>
    <cellStyle name="원_마.마감별첨1-10월_3063932006021314282903120496_FY'06년 자동차보험 매출계획 기획실송부 요약" xfId="1592"/>
    <cellStyle name="원_마.마감별첨1-10월_306393200701221041450656000468420013_FY07 매출계획 작성양식" xfId="1593"/>
    <cellStyle name="원_마.마감별첨1-10월_306393200701221329200203007251260027_FY07 매출계획 작성양식" xfId="1594"/>
    <cellStyle name="원_마.마감별첨1-10월_306393200701250903550250090628260030_FY07 매출계획 작성양식" xfId="1595"/>
    <cellStyle name="원_마.마감별첨1-10월_7-9월설치분집행(1018)" xfId="1596"/>
    <cellStyle name="원_마.마감별첨1-10월_Feedback-일반활성화FY'07.2분기-품의" xfId="1597"/>
    <cellStyle name="원_마.마감별첨1-10월_FY'06년 자동차보험 매출계획 5(안)-1" xfId="1598"/>
    <cellStyle name="원_마.마감별첨1-10월_FY'06년 자동차보험 매출계획 5(안)-2" xfId="1599"/>
    <cellStyle name="원_마.마감별첨1-10월_FY'06년 자동차보험 매출계획 기획실송부 요약" xfId="1600"/>
    <cellStyle name="원_마.마감별첨1-10월_FY07 매출계획 작성양식(최종송부)" xfId="1601"/>
    <cellStyle name="원_마.마감별첨1-10월_TM-FY'07.중간피드백-6" xfId="1602"/>
    <cellStyle name="원_마.마감별첨1-10월_TM대리점활성화방안(0928)" xfId="1603"/>
    <cellStyle name="원_마.마감별첨1-10월_TM대리점활성화방안(0930)-1" xfId="1604"/>
    <cellStyle name="원_마.마감별첨1-10월_TM신상품개발검토의견(20060327)" xfId="1605"/>
    <cellStyle name="원_마.마감별첨1-10월_TM신청서(최종)-마지부(1229)" xfId="1606"/>
    <cellStyle name="원_마.마감별첨1-10월_부문별월별매출계획(070330기획실)" xfId="1607"/>
    <cellStyle name="원_마.마감별첨1-10월_신상품재검토(20040417)" xfId="1608"/>
    <cellStyle name="원_마.마감별첨1-10월_업체선정평가표(장기tm-20051201)-장원제(최종)" xfId="1609"/>
    <cellStyle name="원_마.마감별첨1-10월_인수지침관련의견" xfId="1610"/>
    <cellStyle name="원_마.마감별첨1-10월_장기TM대리점지원및관리규정(20051216-발송용)" xfId="1611"/>
    <cellStyle name="원_마.마감별첨1-10월_장기보험목표달성방안(070903-2)" xfId="1612"/>
    <cellStyle name="원_마.마감별첨1-10월_장기특성별실적_조정후(가안)" xfId="1613"/>
    <cellStyle name="원_마.마감별첨1-10월_통신판매가이드라인정리(최종)" xfId="1614"/>
    <cellStyle name="원_마.마감별첨1-10월_하이라이프다이렉트수수료안(20060522)" xfId="1615"/>
    <cellStyle name="원_마.마감별첨1-3월" xfId="1616"/>
    <cellStyle name="원_마.마감별첨1-3월_Feedback-일반활성화FY'07.2분기-품의" xfId="1617"/>
    <cellStyle name="원_마.마감별첨1-3월_FY'06장기보험매출계획(유지율)" xfId="1618"/>
    <cellStyle name="원_마.마감별첨1-3월_FY'07점포영업전략(070403)" xfId="1619"/>
    <cellStyle name="원_마.마감별첨1-3월_보장자산증대방안" xfId="1620"/>
    <cellStyle name="원_마.마감별첨1-4월(진짜)" xfId="1621"/>
    <cellStyle name="원_마.마감별첨2-10월" xfId="1622"/>
    <cellStyle name="원_마.마감별첨2-10월_3063932006021309511403280445_FY'06년 자동차보험 매출계획 기획실송부 요약" xfId="1623"/>
    <cellStyle name="원_마.마감별첨2-10월_3063932006021314282903120496_FY'06년 자동차보험 매출계획 기획실송부 요약" xfId="1624"/>
    <cellStyle name="원_마.마감별첨2-10월_306393200701221041450656000468420013_FY07 매출계획 작성양식" xfId="1625"/>
    <cellStyle name="원_마.마감별첨2-10월_306393200701221329200203007251260027_FY07 매출계획 작성양식" xfId="1626"/>
    <cellStyle name="원_마.마감별첨2-10월_306393200701250903550250090628260030_FY07 매출계획 작성양식" xfId="1627"/>
    <cellStyle name="원_마.마감별첨2-10월_7-9월설치분집행(1018)" xfId="1628"/>
    <cellStyle name="원_마.마감별첨2-10월_Feedback-일반활성화FY'07.2분기-품의" xfId="1629"/>
    <cellStyle name="원_마.마감별첨2-10월_FY'06년 자동차보험 매출계획 5(안)-1" xfId="1630"/>
    <cellStyle name="원_마.마감별첨2-10월_FY'06년 자동차보험 매출계획 5(안)-2" xfId="1631"/>
    <cellStyle name="원_마.마감별첨2-10월_FY'06년 자동차보험 매출계획 기획실송부 요약" xfId="1632"/>
    <cellStyle name="원_마.마감별첨2-10월_FY07 매출계획 작성양식(최종송부)" xfId="1633"/>
    <cellStyle name="원_마.마감별첨2-10월_TM-FY'07.중간피드백-6" xfId="1634"/>
    <cellStyle name="원_마.마감별첨2-10월_TM대리점활성화방안(0928)" xfId="1635"/>
    <cellStyle name="원_마.마감별첨2-10월_TM대리점활성화방안(0930)-1" xfId="1636"/>
    <cellStyle name="원_마.마감별첨2-10월_TM신상품개발검토의견(20060327)" xfId="1637"/>
    <cellStyle name="원_마.마감별첨2-10월_TM신청서(최종)-마지부(1229)" xfId="1638"/>
    <cellStyle name="원_마.마감별첨2-10월_부문별월별매출계획(070330기획실)" xfId="1639"/>
    <cellStyle name="원_마.마감별첨2-10월_신상품재검토(20040417)" xfId="1640"/>
    <cellStyle name="원_마.마감별첨2-10월_업체선정평가표(장기tm-20051201)-장원제(최종)" xfId="1641"/>
    <cellStyle name="원_마.마감별첨2-10월_인수지침관련의견" xfId="1642"/>
    <cellStyle name="원_마.마감별첨2-10월_장기TM대리점지원및관리규정(20051216-발송용)" xfId="1643"/>
    <cellStyle name="원_마.마감별첨2-10월_장기보험목표달성방안(070903-2)" xfId="1644"/>
    <cellStyle name="원_마.마감별첨2-10월_장기특성별실적_조정후(가안)" xfId="1645"/>
    <cellStyle name="원_마.마감별첨2-10월_통신판매가이드라인정리(최종)" xfId="1646"/>
    <cellStyle name="원_마.마감별첨2-10월_하이라이프다이렉트수수료안(20060522)" xfId="1647"/>
    <cellStyle name="원_마.마감별첨2-12월" xfId="1648"/>
    <cellStyle name="원_마.마감별첨2-2월" xfId="1649"/>
    <cellStyle name="원_마.마감별첨2-2월_Feedback-일반활성화FY'07.2분기-품의" xfId="1650"/>
    <cellStyle name="원_마.마감별첨2-2월_FY'06장기보험매출계획(유지율)" xfId="1651"/>
    <cellStyle name="원_마.마감별첨2-2월_FY'07점포영업전략(070403)" xfId="1652"/>
    <cellStyle name="원_마.마감별첨2-2월_보장자산증대방안" xfId="1653"/>
    <cellStyle name="원_마.마감별첨2-3월" xfId="1654"/>
    <cellStyle name="원_마.마감별첨2-3월_Feedback-일반활성화FY'07.2분기-품의" xfId="1655"/>
    <cellStyle name="원_마.마감별첨2-3월_FY'06장기보험매출계획(유지율)" xfId="1656"/>
    <cellStyle name="원_마.마감별첨2-3월_FY'07점포영업전략(070403)" xfId="1657"/>
    <cellStyle name="원_마.마감별첨2-3월_보장자산증대방안" xfId="1658"/>
    <cellStyle name="원_마.마감별첨3-10월" xfId="1659"/>
    <cellStyle name="원_마.마감별첨3-10월_3063932006021309511403280445_FY'06년 자동차보험 매출계획 기획실송부 요약" xfId="1660"/>
    <cellStyle name="원_마.마감별첨3-10월_3063932006021314282903120496_FY'06년 자동차보험 매출계획 기획실송부 요약" xfId="1661"/>
    <cellStyle name="원_마.마감별첨3-10월_306393200701221041450656000468420013_FY07 매출계획 작성양식" xfId="1662"/>
    <cellStyle name="원_마.마감별첨3-10월_306393200701221329200203007251260027_FY07 매출계획 작성양식" xfId="1663"/>
    <cellStyle name="원_마.마감별첨3-10월_306393200701250903550250090628260030_FY07 매출계획 작성양식" xfId="1664"/>
    <cellStyle name="원_마.마감별첨3-10월_7-9월설치분집행(1018)" xfId="1665"/>
    <cellStyle name="원_마.마감별첨3-10월_Feedback-일반활성화FY'07.2분기-품의" xfId="1666"/>
    <cellStyle name="원_마.마감별첨3-10월_FY'06년 자동차보험 매출계획 5(안)-1" xfId="1667"/>
    <cellStyle name="원_마.마감별첨3-10월_FY'06년 자동차보험 매출계획 5(안)-2" xfId="1668"/>
    <cellStyle name="원_마.마감별첨3-10월_FY'06년 자동차보험 매출계획 기획실송부 요약" xfId="1669"/>
    <cellStyle name="원_마.마감별첨3-10월_FY07 매출계획 작성양식(최종송부)" xfId="1670"/>
    <cellStyle name="원_마.마감별첨3-10월_TM-FY'07.중간피드백-6" xfId="1671"/>
    <cellStyle name="원_마.마감별첨3-10월_TM대리점활성화방안(0928)" xfId="1672"/>
    <cellStyle name="원_마.마감별첨3-10월_TM대리점활성화방안(0930)-1" xfId="1673"/>
    <cellStyle name="원_마.마감별첨3-10월_TM신상품개발검토의견(20060327)" xfId="1674"/>
    <cellStyle name="원_마.마감별첨3-10월_TM신청서(최종)-마지부(1229)" xfId="1675"/>
    <cellStyle name="원_마.마감별첨3-10월_부문별월별매출계획(070330기획실)" xfId="1676"/>
    <cellStyle name="원_마.마감별첨3-10월_신상품재검토(20040417)" xfId="1677"/>
    <cellStyle name="원_마.마감별첨3-10월_업체선정평가표(장기tm-20051201)-장원제(최종)" xfId="1678"/>
    <cellStyle name="원_마.마감별첨3-10월_인수지침관련의견" xfId="1679"/>
    <cellStyle name="원_마.마감별첨3-10월_장기TM대리점지원및관리규정(20051216-발송용)" xfId="1680"/>
    <cellStyle name="원_마.마감별첨3-10월_장기보험목표달성방안(070903-2)" xfId="1681"/>
    <cellStyle name="원_마.마감별첨3-10월_장기특성별실적_조정후(가안)" xfId="1682"/>
    <cellStyle name="원_마.마감별첨3-10월_통신판매가이드라인정리(최종)" xfId="1683"/>
    <cellStyle name="원_마.마감별첨3-10월_하이라이프다이렉트수수료안(20060522)" xfId="1684"/>
    <cellStyle name="원_마.마감별첨3-2월" xfId="1685"/>
    <cellStyle name="원_마.마감별첨3-2월_Feedback-일반활성화FY'07.2분기-품의" xfId="1686"/>
    <cellStyle name="원_마.마감별첨3-2월_FY'06장기보험매출계획(유지율)" xfId="1687"/>
    <cellStyle name="원_마.마감별첨3-2월_FY'07점포영업전략(070403)" xfId="1688"/>
    <cellStyle name="원_마.마감별첨3-2월_보장자산증대방안" xfId="1689"/>
    <cellStyle name="원_마.마감별첨3-3월" xfId="1690"/>
    <cellStyle name="원_마.마감별첨3-3월_Feedback-일반활성화FY'07.2분기-품의" xfId="1691"/>
    <cellStyle name="원_마.마감별첨3-3월_FY'06장기보험매출계획(유지율)" xfId="1692"/>
    <cellStyle name="원_마.마감별첨3-3월_FY'07점포영업전략(070403)" xfId="1693"/>
    <cellStyle name="원_마.마감별첨3-3월_보장자산증대방안" xfId="1694"/>
    <cellStyle name="원_마.마감별첨3-9월" xfId="1695"/>
    <cellStyle name="원_마.마감별첨3-9월_Feedback-일반활성화FY'07.2분기-품의" xfId="1696"/>
    <cellStyle name="원_마.마감별첨3-9월_FY'06장기보험매출계획(유지율)" xfId="1697"/>
    <cellStyle name="원_마.마감별첨3-9월_FY'07 매출추정(0130)-3차(목표문구)" xfId="1698"/>
    <cellStyle name="원_마.마감별첨3-9월_FY'07점포영업전략(070403)" xfId="1699"/>
    <cellStyle name="원_마.마감별첨3-9월_보장자산증대방안" xfId="1700"/>
    <cellStyle name="원_마.마감별첨4-3월" xfId="1701"/>
    <cellStyle name="원_마.마감별첨4-3월_Feedback-일반활성화FY'07.2분기-품의" xfId="1702"/>
    <cellStyle name="원_마.마감별첨4-3월_FY'06장기보험매출계획(유지율)" xfId="1703"/>
    <cellStyle name="원_마.마감별첨4-3월_FY'07점포영업전략(070403)" xfId="1704"/>
    <cellStyle name="원_마.마감별첨4-3월_보장자산증대방안" xfId="1705"/>
    <cellStyle name="원_마감요약" xfId="1706"/>
    <cellStyle name="원_마감자료" xfId="1707"/>
    <cellStyle name="원_마감현황(본부별합격현황)" xfId="1708"/>
    <cellStyle name="원_마감현황(본부별합격현황)_3063932006021309511403280445_FY'06년 자동차보험 매출계획 기획실송부 요약" xfId="1709"/>
    <cellStyle name="원_마감현황(본부별합격현황)_3063932006021314282903120496_FY'06년 자동차보험 매출계획 기획실송부 요약" xfId="1710"/>
    <cellStyle name="원_마감현황(본부별합격현황)_306393200701221041450656000468420013_FY07 매출계획 작성양식" xfId="1711"/>
    <cellStyle name="원_마감현황(본부별합격현황)_306393200701221329200203007251260027_FY07 매출계획 작성양식" xfId="1712"/>
    <cellStyle name="원_마감현황(본부별합격현황)_306393200701250903550250090628260030_FY07 매출계획 작성양식" xfId="1713"/>
    <cellStyle name="원_마감현황(본부별합격현황)_7-9월설치분집행(1018)" xfId="1714"/>
    <cellStyle name="원_마감현황(본부별합격현황)_FY'06년 자동차보험 매출계획 5(안)-1" xfId="1715"/>
    <cellStyle name="원_마감현황(본부별합격현황)_FY'06년 자동차보험 매출계획 5(안)-2" xfId="1716"/>
    <cellStyle name="원_마감현황(본부별합격현황)_FY'06년 자동차보험 매출계획 기획실송부 요약" xfId="1717"/>
    <cellStyle name="원_마감현황(본부별합격현황)_FY07 매출계획 작성양식(최종송부)" xfId="1718"/>
    <cellStyle name="원_마감현황(본부별합격현황)_PLACARD" xfId="1719"/>
    <cellStyle name="원_마감현황(본부별합격현황)_TM대리점활성화방안(0928)" xfId="1720"/>
    <cellStyle name="원_마감현황(본부별합격현황)_TM대리점활성화방안(0930)-1" xfId="1721"/>
    <cellStyle name="원_마감현황(본부별합격현황)_TM신상품개발검토의견(20060327)" xfId="1722"/>
    <cellStyle name="원_마감현황(본부별합격현황)_TM신청서(최종)-마지부(1229)" xfId="1723"/>
    <cellStyle name="원_마감현황(본부별합격현황)_tm활성화(예산수정)" xfId="1724"/>
    <cellStyle name="원_마감현황(본부별합격현황)_마지부승인(0512 -5차)" xfId="1725"/>
    <cellStyle name="원_마감현황(본부별합격현황)_업체선정평가표(장기tm-20051201)-장원제(최종)" xfId="1726"/>
    <cellStyle name="원_마감현황(본부별합격현황)_인수지침관련의견" xfId="1727"/>
    <cellStyle name="원_마감현황(본부별합격현황)_장기TM대리점지원및관리규정(20051216-발송용)" xfId="1728"/>
    <cellStyle name="원_마감현황(본부별합격현황)_장기TM활성화방안(11월-결재예산보완본)-최종판" xfId="1729"/>
    <cellStyle name="원_마감현황(본부별합격현황)_참석자명단(대리점)" xfId="1730"/>
    <cellStyle name="원_마감회의(본부별합격현황)" xfId="1731"/>
    <cellStyle name="원_마감회의(본부별합격현황)_3063932006021309511403280445_FY'06년 자동차보험 매출계획 기획실송부 요약" xfId="1732"/>
    <cellStyle name="원_마감회의(본부별합격현황)_3063932006021314282903120496_FY'06년 자동차보험 매출계획 기획실송부 요약" xfId="1733"/>
    <cellStyle name="원_마감회의(본부별합격현황)_306393200701221041450656000468420013_FY07 매출계획 작성양식" xfId="1734"/>
    <cellStyle name="원_마감회의(본부별합격현황)_306393200701221329200203007251260027_FY07 매출계획 작성양식" xfId="1735"/>
    <cellStyle name="원_마감회의(본부별합격현황)_306393200701250903550250090628260030_FY07 매출계획 작성양식" xfId="1736"/>
    <cellStyle name="원_마감회의(본부별합격현황)_7-9월설치분집행(1018)" xfId="1737"/>
    <cellStyle name="원_마감회의(본부별합격현황)_FY'06년 자동차보험 매출계획 5(안)-1" xfId="1738"/>
    <cellStyle name="원_마감회의(본부별합격현황)_FY'06년 자동차보험 매출계획 5(안)-2" xfId="1739"/>
    <cellStyle name="원_마감회의(본부별합격현황)_FY'06년 자동차보험 매출계획 기획실송부 요약" xfId="1740"/>
    <cellStyle name="원_마감회의(본부별합격현황)_FY07 매출계획 작성양식(최종송부)" xfId="1741"/>
    <cellStyle name="원_마감회의(본부별합격현황)_PLACARD" xfId="1742"/>
    <cellStyle name="원_마감회의(본부별합격현황)_TM대리점활성화방안(0928)" xfId="1743"/>
    <cellStyle name="원_마감회의(본부별합격현황)_TM대리점활성화방안(0930)-1" xfId="1744"/>
    <cellStyle name="원_마감회의(본부별합격현황)_TM신상품개발검토의견(20060327)" xfId="1745"/>
    <cellStyle name="원_마감회의(본부별합격현황)_TM신청서(최종)-마지부(1229)" xfId="1746"/>
    <cellStyle name="원_마감회의(본부별합격현황)_tm활성화(예산수정)" xfId="1747"/>
    <cellStyle name="원_마감회의(본부별합격현황)_마지부승인(0512 -5차)" xfId="1748"/>
    <cellStyle name="원_마감회의(본부별합격현황)_업체선정평가표(장기tm-20051201)-장원제(최종)" xfId="1749"/>
    <cellStyle name="원_마감회의(본부별합격현황)_인수지침관련의견" xfId="1750"/>
    <cellStyle name="원_마감회의(본부별합격현황)_장기TM대리점지원및관리규정(20051216-발송용)" xfId="1751"/>
    <cellStyle name="원_마감회의(본부별합격현황)_장기TM활성화방안(11월-결재예산보완본)-최종판" xfId="1752"/>
    <cellStyle name="원_마감회의(본부별합격현황)_참석자명단(대리점)" xfId="1753"/>
    <cellStyle name="원_마감회의자료(홍재선" xfId="1754"/>
    <cellStyle name="원_마지부승인(0512 -5차)" xfId="1755"/>
    <cellStyle name="원_매출계획7월확정분88" xfId="1756"/>
    <cellStyle name="원_무증원점포" xfId="1757"/>
    <cellStyle name="원_무증원점포_3063932006021309511403280445_FY'06년 자동차보험 매출계획 기획실송부 요약" xfId="1758"/>
    <cellStyle name="원_무증원점포_3063932006021314282903120496_FY'06년 자동차보험 매출계획 기획실송부 요약" xfId="1759"/>
    <cellStyle name="원_무증원점포_306393200701221041450656000468420013_FY07 매출계획 작성양식" xfId="1760"/>
    <cellStyle name="원_무증원점포_306393200701221329200203007251260027_FY07 매출계획 작성양식" xfId="1761"/>
    <cellStyle name="원_무증원점포_306393200701250903550250090628260030_FY07 매출계획 작성양식" xfId="1762"/>
    <cellStyle name="원_무증원점포_7-9월설치분집행(1018)" xfId="1763"/>
    <cellStyle name="원_무증원점포_Feedback-일반활성화FY'07.2분기-품의" xfId="1764"/>
    <cellStyle name="원_무증원점포_FY'06년 자동차보험 매출계획 5(안)-1" xfId="1765"/>
    <cellStyle name="원_무증원점포_FY'06년 자동차보험 매출계획 5(안)-2" xfId="1766"/>
    <cellStyle name="원_무증원점포_FY'06년 자동차보험 매출계획 기획실송부 요약" xfId="1767"/>
    <cellStyle name="원_무증원점포_FY07 매출계획 작성양식(최종송부)" xfId="1768"/>
    <cellStyle name="원_무증원점포_TM-FY'07.중간피드백-6" xfId="1769"/>
    <cellStyle name="원_무증원점포_TM대리점활성화방안(0928)" xfId="1770"/>
    <cellStyle name="원_무증원점포_TM대리점활성화방안(0930)-1" xfId="1771"/>
    <cellStyle name="원_무증원점포_TM신상품개발검토의견(20060327)" xfId="1772"/>
    <cellStyle name="원_무증원점포_TM신청서(최종)-마지부(1229)" xfId="1773"/>
    <cellStyle name="원_무증원점포_부문별월별매출계획(070330기획실)" xfId="1774"/>
    <cellStyle name="원_무증원점포_신상품재검토(20040417)" xfId="1775"/>
    <cellStyle name="원_무증원점포_업체선정평가표(장기tm-20051201)-장원제(최종)" xfId="1776"/>
    <cellStyle name="원_무증원점포_인수지침관련의견" xfId="1777"/>
    <cellStyle name="원_무증원점포_장기TM대리점지원및관리규정(20051216-발송용)" xfId="1778"/>
    <cellStyle name="원_무증원점포_장기보험목표달성방안(070903-2)" xfId="1779"/>
    <cellStyle name="원_무증원점포_장기특성별실적_조정후(가안)" xfId="1780"/>
    <cellStyle name="원_무증원점포_통신판매가이드라인정리(최종)" xfId="1781"/>
    <cellStyle name="원_무증원점포_하이라이프다이렉트수수료안(20060522)" xfId="1782"/>
    <cellStyle name="원_무증원합격현황(03.05~)" xfId="1783"/>
    <cellStyle name="원_무증원합격현황(03.05~)_Feedback-일반활성화FY'07.2분기-품의" xfId="1784"/>
    <cellStyle name="원_무증원합격현황(03.05~)_FY'06장기보험매출계획(유지율)" xfId="1785"/>
    <cellStyle name="원_무증원합격현황(03.05~)_FY'07점포영업전략(070403)" xfId="1786"/>
    <cellStyle name="원_무증원합격현황(03.05~)_보장자산증대방안" xfId="1787"/>
    <cellStyle name="원_밀레니엄3년만기판매중지검토(안)" xfId="1788"/>
    <cellStyle name="원_방카11월 지급액 산정결과(12.14)" xfId="1789"/>
    <cellStyle name="원_방카부" xfId="1790"/>
    <cellStyle name="원_방카수정목표배분기준및목표액송부(040506)" xfId="1791"/>
    <cellStyle name="원_방카수정목표배분기준및목표액송부(040506)_0703장기보험마감분석" xfId="1792"/>
    <cellStyle name="원_방카수정목표배분기준및목표액송부(040506)_7-9월설치분집행(1018)" xfId="1793"/>
    <cellStyle name="원_방카수정목표배분기준및목표액송부(040506)_Feedback-일반활성화FY'07.2분기-품의" xfId="1794"/>
    <cellStyle name="원_방카수정목표배분기준및목표액송부(040506)_FY'07점포영업전략(070403)" xfId="1795"/>
    <cellStyle name="원_방카수정목표배분기준및목표액송부(040506)_TM-FY'07.중간피드백-6" xfId="1796"/>
    <cellStyle name="원_방카수정목표배분기준및목표액송부(040506)_TM대리점활성화방안(0928)" xfId="1797"/>
    <cellStyle name="원_방카수정목표배분기준및목표액송부(040506)_TM대리점활성화방안(0930)-1" xfId="1798"/>
    <cellStyle name="원_방카수정목표배분기준및목표액송부(040506)_TM신상품개발검토의견(20060327)" xfId="1799"/>
    <cellStyle name="원_방카수정목표배분기준및목표액송부(040506)_TM신청서(최종)-마지부(1229)" xfId="1800"/>
    <cellStyle name="원_방카수정목표배분기준및목표액송부(040506)_보장자산증대방안" xfId="1801"/>
    <cellStyle name="원_방카수정목표배분기준및목표액송부(040506)_신상품재검토(20040417)" xfId="1802"/>
    <cellStyle name="원_방카수정목표배분기준및목표액송부(040506)_업체선정평가표(장기tm-20051201)-장원제(최종)" xfId="1803"/>
    <cellStyle name="원_방카수정목표배분기준및목표액송부(040506)_인수지침관련의견" xfId="1804"/>
    <cellStyle name="원_방카수정목표배분기준및목표액송부(040506)_장기TM대리점지원및관리규정(20051216-발송용)" xfId="1805"/>
    <cellStyle name="원_방카수정목표배분기준및목표액송부(040506)_통신판매가이드라인정리(최종)" xfId="1806"/>
    <cellStyle name="원_방카수정목표배분기준및목표액송부(040506)_하이라이프다이렉트수수료안(20060522)" xfId="1807"/>
    <cellStyle name="원_방카수정목표배분기준및목표액송부(040506)_해외연수실시안(20071220)-7차-공지용" xfId="1808"/>
    <cellStyle name="원_방카수정목표배분기준및목표액송부(040506)_해외연수실시안(20080130)-후꾸오까-차수조정" xfId="1809"/>
    <cellStyle name="원_방카슈랑스본부+지점달성율현황(12.06)11월" xfId="1810"/>
    <cellStyle name="원_배움운영매뉴얼" xfId="1811"/>
    <cellStyle name="원_법지부(1.28)" xfId="1812"/>
    <cellStyle name="원_법지부(1.28)_3063932006021309511403280445_FY'06년 자동차보험 매출계획 기획실송부 요약" xfId="1813"/>
    <cellStyle name="원_법지부(1.28)_3063932006021314282903120496_FY'06년 자동차보험 매출계획 기획실송부 요약" xfId="1814"/>
    <cellStyle name="원_법지부(1.28)_306393200701221041450656000468420013_FY07 매출계획 작성양식" xfId="1815"/>
    <cellStyle name="원_법지부(1.28)_306393200701221329200203007251260027_FY07 매출계획 작성양식" xfId="1816"/>
    <cellStyle name="원_법지부(1.28)_306393200701250903550250090628260030_FY07 매출계획 작성양식" xfId="1817"/>
    <cellStyle name="원_법지부(1.28)_7-9월설치분집행(1018)" xfId="1818"/>
    <cellStyle name="원_법지부(1.28)_FY'06년 자동차보험 매출계획 5(안)-1" xfId="1819"/>
    <cellStyle name="원_법지부(1.28)_FY'06년 자동차보험 매출계획 5(안)-2" xfId="1820"/>
    <cellStyle name="원_법지부(1.28)_FY'06년 자동차보험 매출계획 기획실송부 요약" xfId="1821"/>
    <cellStyle name="원_법지부(1.28)_FY07 매출계획 작성양식(최종송부)" xfId="1822"/>
    <cellStyle name="원_법지부(1.28)_PLACARD" xfId="1823"/>
    <cellStyle name="원_법지부(1.28)_TM대리점활성화방안(0928)" xfId="1824"/>
    <cellStyle name="원_법지부(1.28)_TM대리점활성화방안(0930)-1" xfId="1825"/>
    <cellStyle name="원_법지부(1.28)_TM신상품개발검토의견(20060327)" xfId="1826"/>
    <cellStyle name="원_법지부(1.28)_TM신청서(최종)-마지부(1229)" xfId="1827"/>
    <cellStyle name="원_법지부(1.28)_tm활성화(예산수정)" xfId="1828"/>
    <cellStyle name="원_법지부(1.28)_마지부승인(0512 -5차)" xfId="1829"/>
    <cellStyle name="원_법지부(1.28)_업체선정평가표(장기tm-20051201)-장원제(최종)" xfId="1830"/>
    <cellStyle name="원_법지부(1.28)_인수지침관련의견" xfId="1831"/>
    <cellStyle name="원_법지부(1.28)_장기TM대리점지원및관리규정(20051216-발송용)" xfId="1832"/>
    <cellStyle name="원_법지부(1.28)_장기TM활성화방안(11월-결재예산보완본)-최종판" xfId="1833"/>
    <cellStyle name="원_법지부(1.28)_참석자명단(대리점)" xfId="1834"/>
    <cellStyle name="원_별첨자료" xfId="1835"/>
    <cellStyle name="원_보장자산증대방안" xfId="1836"/>
    <cellStyle name="원_본부별" xfId="1837"/>
    <cellStyle name="원_본부별합격" xfId="1838"/>
    <cellStyle name="원_본부장간담회11월-0" xfId="1839"/>
    <cellStyle name="원_부문별월별매출계획(070330기획실)" xfId="1840"/>
    <cellStyle name="원_부서장회의(02.12)" xfId="1841"/>
    <cellStyle name="원_부장님요청" xfId="1842"/>
    <cellStyle name="원_부장님요청_3063932006021309511403280445_FY'06년 자동차보험 매출계획 기획실송부 요약" xfId="1843"/>
    <cellStyle name="원_부장님요청_3063932006021314282903120496_FY'06년 자동차보험 매출계획 기획실송부 요약" xfId="1844"/>
    <cellStyle name="원_부장님요청_306393200701221041450656000468420013_FY07 매출계획 작성양식" xfId="1845"/>
    <cellStyle name="원_부장님요청_306393200701221329200203007251260027_FY07 매출계획 작성양식" xfId="1846"/>
    <cellStyle name="원_부장님요청_306393200701250903550250090628260030_FY07 매출계획 작성양식" xfId="1847"/>
    <cellStyle name="원_부장님요청_7-9월설치분집행(1018)" xfId="1848"/>
    <cellStyle name="원_부장님요청_Feedback-일반활성화FY'07.2분기-품의" xfId="1849"/>
    <cellStyle name="원_부장님요청_FY'06년 자동차보험 매출계획 5(안)-1" xfId="1850"/>
    <cellStyle name="원_부장님요청_FY'06년 자동차보험 매출계획 5(안)-2" xfId="1851"/>
    <cellStyle name="원_부장님요청_FY'06년 자동차보험 매출계획 기획실송부 요약" xfId="1852"/>
    <cellStyle name="원_부장님요청_FY07 매출계획 작성양식(최종송부)" xfId="1853"/>
    <cellStyle name="원_부장님요청_TM-FY'07.중간피드백-6" xfId="1854"/>
    <cellStyle name="원_부장님요청_TM대리점활성화방안(0928)" xfId="1855"/>
    <cellStyle name="원_부장님요청_TM대리점활성화방안(0930)-1" xfId="1856"/>
    <cellStyle name="원_부장님요청_TM신상품개발검토의견(20060327)" xfId="1857"/>
    <cellStyle name="원_부장님요청_TM신청서(최종)-마지부(1229)" xfId="1858"/>
    <cellStyle name="원_부장님요청_부문별월별매출계획(070330기획실)" xfId="1859"/>
    <cellStyle name="원_부장님요청_신상품재검토(20040417)" xfId="1860"/>
    <cellStyle name="원_부장님요청_업체선정평가표(장기tm-20051201)-장원제(최종)" xfId="1861"/>
    <cellStyle name="원_부장님요청_인수지침관련의견" xfId="1862"/>
    <cellStyle name="원_부장님요청_장기TM대리점지원및관리규정(20051216-발송용)" xfId="1863"/>
    <cellStyle name="원_부장님요청_장기보험목표달성방안(070903-2)" xfId="1864"/>
    <cellStyle name="원_부장님요청_장기특성별실적_조정후(가안)" xfId="1865"/>
    <cellStyle name="원_부장님요청_통신판매가이드라인정리(최종)" xfId="1866"/>
    <cellStyle name="원_부장님요청_하이라이프다이렉트수수료안(20060522)" xfId="1867"/>
    <cellStyle name="원_비계수평가3분기메인(1)" xfId="1868"/>
    <cellStyle name="원_상위사월납기준비교(03.10" xfId="1869"/>
    <cellStyle name="원_상위사월납기준비교(03.10_Feedback-일반활성화FY'07.2분기-품의" xfId="1870"/>
    <cellStyle name="원_상위사월납기준비교(03.10_FY'06장기보험매출계획(유지율)" xfId="1871"/>
    <cellStyle name="원_상위사월납기준비교(03.10_FY'07 매출추정(0130)-3차(목표문구)" xfId="1872"/>
    <cellStyle name="원_상위사월납기준비교(03.10_FY'07점포영업전략(070403)" xfId="1873"/>
    <cellStyle name="원_상위사월납기준비교(03.10_보장자산증대방안" xfId="1874"/>
    <cellStyle name="원_설문집계양식" xfId="1875"/>
    <cellStyle name="원_세부추진+계획(1차보고용)" xfId="1876"/>
    <cellStyle name="원_세부추진+계획(1차보고용)_3083072006010511200705150661_TM신청서(최종)" xfId="1877"/>
    <cellStyle name="원_세부추진+계획(1차보고용)_7-9월설치분집행(1018)" xfId="1878"/>
    <cellStyle name="원_세부추진+계획(1차보고용)_Feedback-일반활성화FY'07.2분기-품의" xfId="1879"/>
    <cellStyle name="원_세부추진+계획(1차보고용)_TM-FY'07.중간피드백-6" xfId="1880"/>
    <cellStyle name="원_세부추진+계획(1차보고용)_TM대리점활성화방안(0928)" xfId="1881"/>
    <cellStyle name="원_세부추진+계획(1차보고용)_TM대리점활성화방안(0930)-1" xfId="1882"/>
    <cellStyle name="원_세부추진+계획(1차보고용)_TM신상품개발검토의견(20060327)" xfId="1883"/>
    <cellStyle name="원_세부추진+계획(1차보고용)_TM현황(051223)일반" xfId="1884"/>
    <cellStyle name="원_세부추진+계획(1차보고용)_부문별월별매출계획(070330기획실)" xfId="1885"/>
    <cellStyle name="원_세부추진+계획(1차보고용)_신상품재검토(20040417)" xfId="1886"/>
    <cellStyle name="원_세부추진+계획(1차보고용)_업체선정평가표(장기tm-20051201)-장원제(최종)" xfId="1887"/>
    <cellStyle name="원_세부추진+계획(1차보고용)_업추비개선(초안)" xfId="1888"/>
    <cellStyle name="원_세부추진+계획(1차보고용)_유지율개선실시사항(050901)" xfId="1889"/>
    <cellStyle name="원_세부추진+계획(1차보고용)_인수지침관련의견" xfId="1890"/>
    <cellStyle name="원_세부추진+계획(1차보고용)_일반보험보고(0801)-3" xfId="1891"/>
    <cellStyle name="원_세부추진+계획(1차보고용)_장기TM관리업무지침안(보완-0105)" xfId="1892"/>
    <cellStyle name="원_세부추진+계획(1차보고용)_장기TM관리지침별첨(최종-0614)" xfId="1893"/>
    <cellStyle name="원_세부추진+계획(1차보고용)_장기TM대리점지원및관리규정(20051216-발송용)" xfId="1894"/>
    <cellStyle name="원_세부추진+계획(1차보고용)_장기TM대리점지원및관리규정(200512-발송)" xfId="1895"/>
    <cellStyle name="원_세부추진+계획(1차보고용)_장기보험목표달성방안(070903-2)" xfId="1896"/>
    <cellStyle name="원_세부추진+계획(1차보고용)_장기특성별실적_조정후(가안)" xfId="1897"/>
    <cellStyle name="원_세부추진+계획(1차보고용)_통신판매가이드라인정리(최종)" xfId="1898"/>
    <cellStyle name="원_세부추진+계획(1차보고용)_프리스타일(수당업)" xfId="1899"/>
    <cellStyle name="원_세부추진+계획(1차보고용)_하이라이프다이렉트수수료안(20060522)" xfId="1900"/>
    <cellStyle name="원_세부추진+계획(1차보고용)_해외여행보험활성화(060620-최종)" xfId="1901"/>
    <cellStyle name="원_세부추진+계획(1차보고용)_현대해상'05년우수대리점제안서(송부용최종1222)" xfId="1902"/>
    <cellStyle name="원_세부추진+계획(1차보고용)_현대해상'05년우수대리점제안서(송부용최종1222)_0703장기보험마감분석" xfId="1903"/>
    <cellStyle name="원_세부추진+계획(1차보고용)_현대해상'05년우수대리점제안서(송부용최종1222)_7-9월설치분집행(1018)" xfId="1904"/>
    <cellStyle name="원_세부추진+계획(1차보고용)_현대해상'05년우수대리점제안서(송부용최종1222)_Feedback-일반활성화FY'07.2분기-품의" xfId="1905"/>
    <cellStyle name="원_세부추진+계획(1차보고용)_현대해상'05년우수대리점제안서(송부용최종1222)_FY'07점포영업전략(070403)" xfId="1906"/>
    <cellStyle name="원_세부추진+계획(1차보고용)_현대해상'05년우수대리점제안서(송부용최종1222)_TM-FY'07.중간피드백-6" xfId="1907"/>
    <cellStyle name="원_세부추진+계획(1차보고용)_현대해상'05년우수대리점제안서(송부용최종1222)_TM대리점활성화방안(0928)" xfId="1908"/>
    <cellStyle name="원_세부추진+계획(1차보고용)_현대해상'05년우수대리점제안서(송부용최종1222)_TM대리점활성화방안(0930)-1" xfId="1909"/>
    <cellStyle name="원_세부추진+계획(1차보고용)_현대해상'05년우수대리점제안서(송부용최종1222)_TM신상품개발검토의견(20060327)" xfId="1910"/>
    <cellStyle name="원_세부추진+계획(1차보고용)_현대해상'05년우수대리점제안서(송부용최종1222)_TM신청서(최종)-마지부(1229)" xfId="1911"/>
    <cellStyle name="원_세부추진+계획(1차보고용)_현대해상'05년우수대리점제안서(송부용최종1222)_보장자산증대방안" xfId="1912"/>
    <cellStyle name="원_세부추진+계획(1차보고용)_현대해상'05년우수대리점제안서(송부용최종1222)_신상품재검토(20040417)" xfId="1913"/>
    <cellStyle name="원_세부추진+계획(1차보고용)_현대해상'05년우수대리점제안서(송부용최종1222)_업체선정평가표(장기tm-20051201)-장원제(최종)" xfId="1914"/>
    <cellStyle name="원_세부추진+계획(1차보고용)_현대해상'05년우수대리점제안서(송부용최종1222)_유지율개선실시사항(050901)" xfId="1915"/>
    <cellStyle name="원_세부추진+계획(1차보고용)_현대해상'05년우수대리점제안서(송부용최종1222)_인수지침관련의견" xfId="1916"/>
    <cellStyle name="원_세부추진+계획(1차보고용)_현대해상'05년우수대리점제안서(송부용최종1222)_일반보험보고(0801)-3" xfId="1917"/>
    <cellStyle name="원_세부추진+계획(1차보고용)_현대해상'05년우수대리점제안서(송부용최종1222)_장기TM관리업무지침안(보완-0105)" xfId="1918"/>
    <cellStyle name="원_세부추진+계획(1차보고용)_현대해상'05년우수대리점제안서(송부용최종1222)_장기TM관리지침별첨(최종-0614)" xfId="1919"/>
    <cellStyle name="원_세부추진+계획(1차보고용)_현대해상'05년우수대리점제안서(송부용최종1222)_장기TM대리점지원및관리규정(20051216-발송용)" xfId="1920"/>
    <cellStyle name="원_세부추진+계획(1차보고용)_현대해상'05년우수대리점제안서(송부용최종1222)_통신판매가이드라인정리(최종)" xfId="1921"/>
    <cellStyle name="원_세부추진+계획(1차보고용)_현대해상'05년우수대리점제안서(송부용최종1222)_프리스타일(수당업)" xfId="1922"/>
    <cellStyle name="원_세부추진+계획(1차보고용)_현대해상'05년우수대리점제안서(송부용최종1222)_하이라이프다이렉트수수료안(20060522)" xfId="1923"/>
    <cellStyle name="원_세부추진+계획(1차보고용)_현대해상'05년우수대리점제안서(송부용최종1222)_해외여행보험활성화(060620-최종)" xfId="1924"/>
    <cellStyle name="원_세부추진+계획(1차보고용)_현대해상'05년우수대리점제안서(송부용최종1222)_해외연수실시안(20071220)-7차-공지용" xfId="1925"/>
    <cellStyle name="원_세부추진+계획(1차보고용)_현대해상'05년우수대리점제안서(송부용최종1222)_해외연수실시안(20080130)-후꾸오까-차수조정" xfId="1926"/>
    <cellStyle name="원_세부추진+계획(1차보고용)_현장간담회 결과보고" xfId="1927"/>
    <cellStyle name="원_소장입문9907" xfId="1928"/>
    <cellStyle name="원_소장입문9907_융자실무(채권관리) 향상과정(12.01)" xfId="1929"/>
    <cellStyle name="원_손익점수(강북)" xfId="1930"/>
    <cellStyle name="원_수리분석요청판매플랜(안)" xfId="1931"/>
    <cellStyle name="원_수정본" xfId="1932"/>
    <cellStyle name="원_시장개척활성화과정(집합)" xfId="1933"/>
    <cellStyle name="원_신상품재검토(20040417)" xfId="1934"/>
    <cellStyle name="원_신인도입,육성,교육(금부가 하래)" xfId="1935"/>
    <cellStyle name="원_업계월납추이" xfId="1936"/>
    <cellStyle name="원_업계월납추이_3063932006021309511403280445_FY'06년 자동차보험 매출계획 기획실송부 요약" xfId="1937"/>
    <cellStyle name="원_업계월납추이_3063932006021314282903120496_FY'06년 자동차보험 매출계획 기획실송부 요약" xfId="1938"/>
    <cellStyle name="원_업계월납추이_306393200701221041450656000468420013_FY07 매출계획 작성양식" xfId="1939"/>
    <cellStyle name="원_업계월납추이_306393200701221329200203007251260027_FY07 매출계획 작성양식" xfId="1940"/>
    <cellStyle name="원_업계월납추이_306393200701250903550250090628260030_FY07 매출계획 작성양식" xfId="1941"/>
    <cellStyle name="원_업계월납추이_7-9월설치분집행(1018)" xfId="1942"/>
    <cellStyle name="원_업계월납추이_Feedback-일반활성화FY'07.2분기-품의" xfId="1943"/>
    <cellStyle name="원_업계월납추이_FY'06년 자동차보험 매출계획 5(안)-1" xfId="1944"/>
    <cellStyle name="원_업계월납추이_FY'06년 자동차보험 매출계획 5(안)-2" xfId="1945"/>
    <cellStyle name="원_업계월납추이_FY'06년 자동차보험 매출계획 기획실송부 요약" xfId="1946"/>
    <cellStyle name="원_업계월납추이_FY07 매출계획 작성양식(최종송부)" xfId="1947"/>
    <cellStyle name="원_업계월납추이_TM-FY'07.중간피드백-6" xfId="1948"/>
    <cellStyle name="원_업계월납추이_TM대리점활성화방안(0928)" xfId="1949"/>
    <cellStyle name="원_업계월납추이_TM대리점활성화방안(0930)-1" xfId="1950"/>
    <cellStyle name="원_업계월납추이_TM신상품개발검토의견(20060327)" xfId="1951"/>
    <cellStyle name="원_업계월납추이_TM신청서(최종)-마지부(1229)" xfId="1952"/>
    <cellStyle name="원_업계월납추이_부문별월별매출계획(070330기획실)" xfId="1953"/>
    <cellStyle name="원_업계월납추이_신상품재검토(20040417)" xfId="1954"/>
    <cellStyle name="원_업계월납추이_업체선정평가표(장기tm-20051201)-장원제(최종)" xfId="1955"/>
    <cellStyle name="원_업계월납추이_인수지침관련의견" xfId="1956"/>
    <cellStyle name="원_업계월납추이_장기TM대리점지원및관리규정(20051216-발송용)" xfId="1957"/>
    <cellStyle name="원_업계월납추이_장기보험목표달성방안(070903-2)" xfId="1958"/>
    <cellStyle name="원_업계월납추이_장기특성별실적_조정후(가안)" xfId="1959"/>
    <cellStyle name="원_업계월납추이_통신판매가이드라인정리(최종)" xfId="1960"/>
    <cellStyle name="원_업계월납추이_하이라이프다이렉트수수료안(20060522)" xfId="1961"/>
    <cellStyle name="원_업계장기신계속현황" xfId="1962"/>
    <cellStyle name="원_업계지표현황" xfId="1963"/>
    <cellStyle name="원_업계지표현황_Feedback-일반활성화FY'07.2분기-품의" xfId="1964"/>
    <cellStyle name="원_업계지표현황_FY'06장기보험매출계획(유지율)" xfId="1965"/>
    <cellStyle name="원_업계지표현황_FY'07점포영업전략(070403)" xfId="1966"/>
    <cellStyle name="원_업계지표현황_보장자산증대방안" xfId="1967"/>
    <cellStyle name="원_업무기술서(2005.4.1자 점포변동관련)" xfId="1968"/>
    <cellStyle name="원_업무보고2004" xfId="1969"/>
    <cellStyle name="원_업추비개선(초안)" xfId="1970"/>
    <cellStyle name="원_연간마감현황" xfId="1971"/>
    <cellStyle name="원_영업가족 영업소별 합격현황(03.05~)" xfId="1972"/>
    <cellStyle name="원_영업가족 영업소별 합격현황(03.05~)_Feedback-일반활성화FY'07.2분기-품의" xfId="1973"/>
    <cellStyle name="원_영업가족 영업소별 합격현황(03.05~)_FY'06장기보험매출계획(유지율)" xfId="1974"/>
    <cellStyle name="원_영업가족 영업소별 합격현황(03.05~)_FY'07점포영업전략(070403)" xfId="1975"/>
    <cellStyle name="원_영업가족 영업소별 합격현황(03.05~)_보장자산증대방안" xfId="1976"/>
    <cellStyle name="원_영업가족+영업소별+합격현황(03.05~)" xfId="1977"/>
    <cellStyle name="원_영업가족+영업소별+합격현황(03.05~)_Feedback-일반활성화FY'07.2분기-품의" xfId="1978"/>
    <cellStyle name="원_영업가족+영업소별+합격현황(03.05~)_FY'06장기보험매출계획(유지율)" xfId="1979"/>
    <cellStyle name="원_영업가족+영업소별+합격현황(03.05~)_FY'07점포영업전략(070403)" xfId="1980"/>
    <cellStyle name="원_영업가족+영업소별+합격현황(03.05~)_보장자산증대방안" xfId="1981"/>
    <cellStyle name="원_영업가족+영업소별+합격현황+03+11+17(03.05~)" xfId="1982"/>
    <cellStyle name="원_영업가족+영업소별+합격현황+03+11+17(03.05~)_3063932006021309511403280445_FY'06년 자동차보험 매출계획 기획실송부 요약" xfId="1983"/>
    <cellStyle name="원_영업가족+영업소별+합격현황+03+11+17(03.05~)_3063932006021314282903120496_FY'06년 자동차보험 매출계획 기획실송부 요약" xfId="1984"/>
    <cellStyle name="원_영업가족+영업소별+합격현황+03+11+17(03.05~)_306393200701221041450656000468420013_FY07 매출계획 작성양식" xfId="1985"/>
    <cellStyle name="원_영업가족+영업소별+합격현황+03+11+17(03.05~)_306393200701221329200203007251260027_FY07 매출계획 작성양식" xfId="1986"/>
    <cellStyle name="원_영업가족+영업소별+합격현황+03+11+17(03.05~)_306393200701250903550250090628260030_FY07 매출계획 작성양식" xfId="1987"/>
    <cellStyle name="원_영업가족+영업소별+합격현황+03+11+17(03.05~)_7-9월설치분집행(1018)" xfId="1988"/>
    <cellStyle name="원_영업가족+영업소별+합격현황+03+11+17(03.05~)_Feedback-일반활성화FY'07.2분기-품의" xfId="1989"/>
    <cellStyle name="원_영업가족+영업소별+합격현황+03+11+17(03.05~)_FY'06년 자동차보험 매출계획 5(안)-1" xfId="1990"/>
    <cellStyle name="원_영업가족+영업소별+합격현황+03+11+17(03.05~)_FY'06년 자동차보험 매출계획 5(안)-2" xfId="1991"/>
    <cellStyle name="원_영업가족+영업소별+합격현황+03+11+17(03.05~)_FY'06년 자동차보험 매출계획 기획실송부 요약" xfId="1992"/>
    <cellStyle name="원_영업가족+영업소별+합격현황+03+11+17(03.05~)_FY07 매출계획 작성양식(최종송부)" xfId="1993"/>
    <cellStyle name="원_영업가족+영업소별+합격현황+03+11+17(03.05~)_TM-FY'07.중간피드백-6" xfId="1994"/>
    <cellStyle name="원_영업가족+영업소별+합격현황+03+11+17(03.05~)_TM대리점활성화방안(0928)" xfId="1995"/>
    <cellStyle name="원_영업가족+영업소별+합격현황+03+11+17(03.05~)_TM대리점활성화방안(0930)-1" xfId="1996"/>
    <cellStyle name="원_영업가족+영업소별+합격현황+03+11+17(03.05~)_TM신상품개발검토의견(20060327)" xfId="1997"/>
    <cellStyle name="원_영업가족+영업소별+합격현황+03+11+17(03.05~)_TM신청서(최종)-마지부(1229)" xfId="1998"/>
    <cellStyle name="원_영업가족+영업소별+합격현황+03+11+17(03.05~)_부문별월별매출계획(070330기획실)" xfId="1999"/>
    <cellStyle name="원_영업가족+영업소별+합격현황+03+11+17(03.05~)_신상품재검토(20040417)" xfId="2000"/>
    <cellStyle name="원_영업가족+영업소별+합격현황+03+11+17(03.05~)_업체선정평가표(장기tm-20051201)-장원제(최종)" xfId="2001"/>
    <cellStyle name="원_영업가족+영업소별+합격현황+03+11+17(03.05~)_인수지침관련의견" xfId="2002"/>
    <cellStyle name="원_영업가족+영업소별+합격현황+03+11+17(03.05~)_장기TM대리점지원및관리규정(20051216-발송용)" xfId="2003"/>
    <cellStyle name="원_영업가족+영업소별+합격현황+03+11+17(03.05~)_장기보험목표달성방안(070903-2)" xfId="2004"/>
    <cellStyle name="원_영업가족+영업소별+합격현황+03+11+17(03.05~)_장기특성별실적_조정후(가안)" xfId="2005"/>
    <cellStyle name="원_영업가족+영업소별+합격현황+03+11+17(03.05~)_통신판매가이드라인정리(최종)" xfId="2006"/>
    <cellStyle name="원_영업가족+영업소별+합격현황+03+11+17(03.05~)_하이라이프다이렉트수수료안(20060522)" xfId="2007"/>
    <cellStyle name="원_영업가족별 자동차실적추이7월(723)" xfId="2008"/>
    <cellStyle name="원_영업소팀장회의030703" xfId="2009"/>
    <cellStyle name="원_영업소팀장회의030722" xfId="2010"/>
    <cellStyle name="원_영업소팀장회의030811" xfId="2011"/>
    <cellStyle name="원_영업소평가 변경 (24분기)" xfId="2012"/>
    <cellStyle name="원_예산시뮬" xfId="2013"/>
    <cellStyle name="원_우수대리점본부보고(북부)" xfId="2014"/>
    <cellStyle name="원_우수대리점본부보고(서강)" xfId="2015"/>
    <cellStyle name="원_우수대리점본부보고(서강)_3058752004021610345903850617_타사유치 진행현황-본부보고용" xfId="2016"/>
    <cellStyle name="원_우수대리점본부보고(서강)_우수대리점본부보고(서강)" xfId="2017"/>
    <cellStyle name="원_우수대리점본부보고(서강)_우수대리점본부보고(서강)_1" xfId="2018"/>
    <cellStyle name="원_우수대리점본부보고(서강)_우수대리점본부보고(은평)" xfId="2019"/>
    <cellStyle name="원_우수대리점본부보고(서강)_우수대리점본부보고(일산)" xfId="2020"/>
    <cellStyle name="원_우수대리점본부보고(서강)_우수대리점유치(0219)" xfId="2021"/>
    <cellStyle name="원_우수대리점유치현황(북부)" xfId="2022"/>
    <cellStyle name="원_울산중앙" xfId="2023"/>
    <cellStyle name="원_월별(인쇄편집용) - FY2005 事業計劃" xfId="2024"/>
    <cellStyle name="원_월보" xfId="2025"/>
    <cellStyle name="원_월보_3063932006021309511403280445_FY'06년 자동차보험 매출계획 기획실송부 요약" xfId="2026"/>
    <cellStyle name="원_월보_3063932006021314282903120496_FY'06년 자동차보험 매출계획 기획실송부 요약" xfId="2027"/>
    <cellStyle name="원_월보_306393200701221041450656000468420013_FY07 매출계획 작성양식" xfId="2028"/>
    <cellStyle name="원_월보_306393200701221329200203007251260027_FY07 매출계획 작성양식" xfId="2029"/>
    <cellStyle name="원_월보_306393200701250903550250090628260030_FY07 매출계획 작성양식" xfId="2030"/>
    <cellStyle name="원_월보_7-9월설치분집행(1018)" xfId="2031"/>
    <cellStyle name="원_월보_FY'06년 자동차보험 매출계획 5(안)-1" xfId="2032"/>
    <cellStyle name="원_월보_FY'06년 자동차보험 매출계획 5(안)-2" xfId="2033"/>
    <cellStyle name="원_월보_FY'06년 자동차보험 매출계획 기획실송부 요약" xfId="2034"/>
    <cellStyle name="원_월보_FY07 매출계획 작성양식(최종송부)" xfId="2035"/>
    <cellStyle name="원_월보_PLACARD" xfId="2036"/>
    <cellStyle name="원_월보_TM대리점활성화방안(0928)" xfId="2037"/>
    <cellStyle name="원_월보_TM대리점활성화방안(0930)-1" xfId="2038"/>
    <cellStyle name="원_월보_TM신상품개발검토의견(20060327)" xfId="2039"/>
    <cellStyle name="원_월보_TM신청서(최종)-마지부(1229)" xfId="2040"/>
    <cellStyle name="원_월보_tm활성화(예산수정)" xfId="2041"/>
    <cellStyle name="원_월보_마지부승인(0512 -5차)" xfId="2042"/>
    <cellStyle name="원_월보_업체선정평가표(장기tm-20051201)-장원제(최종)" xfId="2043"/>
    <cellStyle name="원_월보_유지율개선실시사항(050901)" xfId="2044"/>
    <cellStyle name="원_월보_인수지침관련의견" xfId="2045"/>
    <cellStyle name="원_월보_일반보험보고(0801)-3" xfId="2046"/>
    <cellStyle name="원_월보_장기TM관리업무지침안(보완-0105)" xfId="2047"/>
    <cellStyle name="원_월보_장기TM관리지침별첨(최종-0614)" xfId="2048"/>
    <cellStyle name="원_월보_장기TM대리점지원및관리규정(20051216-발송용)" xfId="2049"/>
    <cellStyle name="원_월보_장기TM활성화방안(11월-결재예산보완본)-최종판" xfId="2050"/>
    <cellStyle name="원_월보_참석자명단(대리점)" xfId="2051"/>
    <cellStyle name="원_월보_해외여행보험활성화(060620-최종)" xfId="2052"/>
    <cellStyle name="원_유지율개선실시사항(050901)" xfId="2053"/>
    <cellStyle name="원_육성인원" xfId="2054"/>
    <cellStyle name="원_육성현황(김미연)" xfId="2055"/>
    <cellStyle name="원_육성현황(김미연)_030714소장회의" xfId="2056"/>
    <cellStyle name="원_육성현황(김미연)_03일사분기실적현황" xfId="2057"/>
    <cellStyle name="원_육성현황(김미연)_10월 예상 GRADE1013  " xfId="2058"/>
    <cellStyle name="원_육성현황(김미연)_11월 GRADE예상1101" xfId="2059"/>
    <cellStyle name="원_육성현황(김미연)_2분기 조직부문예상902" xfId="2060"/>
    <cellStyle name="원_육성현황(김미연)_3분기예상실적1014" xfId="2061"/>
    <cellStyle name="원_육성현황(김미연)_610타사유치현황" xfId="2062"/>
    <cellStyle name="원_육성현황(김미연)_610타사유치현황_RC관리율(분기별)926" xfId="2063"/>
    <cellStyle name="원_육성현황(김미연)_6월10일본부장회의자료" xfId="2064"/>
    <cellStyle name="원_육성현황(김미연)_7월16일본부장회의" xfId="2065"/>
    <cellStyle name="원_육성현황(김미연)_7월실적현황일천만원87" xfId="2066"/>
    <cellStyle name="원_육성현황(김미연)_7월아침에해야할일" xfId="2067"/>
    <cellStyle name="원_육성현황(김미연)_8월부보율(성무현)" xfId="2068"/>
    <cellStyle name="원_육성현황(김미연)_9월GRADE예상98보고" xfId="2069"/>
    <cellStyle name="원_육성현황(김미연)_9월GRADE재작성915" xfId="2070"/>
    <cellStyle name="원_육성현황(김미연)_매출계획7월확정분88" xfId="2071"/>
    <cellStyle name="원_육성현황(김미연)_영업가족별 자동차실적추이7월(723)" xfId="2072"/>
    <cellStyle name="원_육성현황(김미연)_자동차유입실적갱신520" xfId="2073"/>
    <cellStyle name="원_육성현황(김미연)_자동차유입실적갱신520_RC관리율(분기별)926" xfId="2074"/>
    <cellStyle name="원_육성현황(김미연)_팀장회의530" xfId="2075"/>
    <cellStyle name="원_융자실무(채권관리) 향상과정(12.01)" xfId="2076"/>
    <cellStyle name="원_이사님급" xfId="2077"/>
    <cellStyle name="원_이탈고객그룹_060928(양동춘GJN)" xfId="2078"/>
    <cellStyle name="원_인센티브34(본부장)" xfId="2079"/>
    <cellStyle name="원_인수지침관련의견" xfId="2080"/>
    <cellStyle name="원_일반 매출보고 案 (0312)" xfId="2081"/>
    <cellStyle name="원_일반보험-11월마감보고회의부속자료" xfId="2082"/>
    <cellStyle name="원_일반보험보고(0801)-3" xfId="2083"/>
    <cellStyle name="원_일본연수계획(안)041216" xfId="2084"/>
    <cellStyle name="원_임원강의의뢰" xfId="2085"/>
    <cellStyle name="원_임원안내용" xfId="2086"/>
    <cellStyle name="원_임원평가자료" xfId="2087"/>
    <cellStyle name="원_임원회의 양식05년1월" xfId="2088"/>
    <cellStyle name="원_임원회의(04.10.4)수정" xfId="2089"/>
    <cellStyle name="원_임원회의(05.4.4)최종" xfId="2090"/>
    <cellStyle name="원_임원회의(05.5.30)수정3" xfId="2091"/>
    <cellStyle name="원_임원회의(05.8.8)수정" xfId="2092"/>
    <cellStyle name="원_임원회의(05.9.26)" xfId="2093"/>
    <cellStyle name="원_임원회의(05.9.5)" xfId="2094"/>
    <cellStyle name="원_임원회의(06.3.6)3.6" xfId="2095"/>
    <cellStyle name="원_임원회의11월(기업보험총괄)" xfId="2096"/>
    <cellStyle name="원_임원회의참고자료" xfId="2097"/>
    <cellStyle name="원_임원회의참고자료(최종)" xfId="2098"/>
    <cellStyle name="원_임원회의참고자료(최종)_3063932006021309511403280445_FY'06년 자동차보험 매출계획 기획실송부 요약" xfId="2099"/>
    <cellStyle name="원_임원회의참고자료(최종)_3063932006021314282903120496_FY'06년 자동차보험 매출계획 기획실송부 요약" xfId="2100"/>
    <cellStyle name="원_임원회의참고자료(최종)_306393200701221041450656000468420013_FY07 매출계획 작성양식" xfId="2101"/>
    <cellStyle name="원_임원회의참고자료(최종)_306393200701221329200203007251260027_FY07 매출계획 작성양식" xfId="2102"/>
    <cellStyle name="원_임원회의참고자료(최종)_306393200701250903550250090628260030_FY07 매출계획 작성양식" xfId="2103"/>
    <cellStyle name="원_임원회의참고자료(최종)_7-9월설치분집행(1018)" xfId="2104"/>
    <cellStyle name="원_임원회의참고자료(최종)_Feedback-일반활성화FY'07.2분기-품의" xfId="2105"/>
    <cellStyle name="원_임원회의참고자료(최종)_FY'06년 자동차보험 매출계획 5(안)-1" xfId="2106"/>
    <cellStyle name="원_임원회의참고자료(최종)_FY'06년 자동차보험 매출계획 5(안)-2" xfId="2107"/>
    <cellStyle name="원_임원회의참고자료(최종)_FY'06년 자동차보험 매출계획 기획실송부 요약" xfId="2108"/>
    <cellStyle name="원_임원회의참고자료(최종)_FY07 매출계획 작성양식(최종송부)" xfId="2109"/>
    <cellStyle name="원_임원회의참고자료(최종)_TM-FY'07.중간피드백-6" xfId="2110"/>
    <cellStyle name="원_임원회의참고자료(최종)_TM대리점활성화방안(0928)" xfId="2111"/>
    <cellStyle name="원_임원회의참고자료(최종)_TM대리점활성화방안(0930)-1" xfId="2112"/>
    <cellStyle name="원_임원회의참고자료(최종)_TM신상품개발검토의견(20060327)" xfId="2113"/>
    <cellStyle name="원_임원회의참고자료(최종)_TM신청서(최종)-마지부(1229)" xfId="2114"/>
    <cellStyle name="원_임원회의참고자료(최종)_부문별월별매출계획(070330기획실)" xfId="2115"/>
    <cellStyle name="원_임원회의참고자료(최종)_신상품재검토(20040417)" xfId="2116"/>
    <cellStyle name="원_임원회의참고자료(최종)_업체선정평가표(장기tm-20051201)-장원제(최종)" xfId="2117"/>
    <cellStyle name="원_임원회의참고자료(최종)_인수지침관련의견" xfId="2118"/>
    <cellStyle name="원_임원회의참고자료(최종)_장기TM대리점지원및관리규정(20051216-발송용)" xfId="2119"/>
    <cellStyle name="원_임원회의참고자료(최종)_장기보험목표달성방안(070903-2)" xfId="2120"/>
    <cellStyle name="원_임원회의참고자료(최종)_장기특성별실적_조정후(가안)" xfId="2121"/>
    <cellStyle name="원_임원회의참고자료(최종)_통신판매가이드라인정리(최종)" xfId="2122"/>
    <cellStyle name="원_임원회의참고자료(최종)_하이라이프다이렉트수수료안(20060522)" xfId="2123"/>
    <cellStyle name="원_임원회의참고자료_1" xfId="2124"/>
    <cellStyle name="원_임원회의참고자료_3063932006021309511403280445_FY'06년 자동차보험 매출계획 기획실송부 요약" xfId="2125"/>
    <cellStyle name="원_임원회의참고자료_3063932006021314282903120496_FY'06년 자동차보험 매출계획 기획실송부 요약" xfId="2126"/>
    <cellStyle name="원_임원회의참고자료_306393200701221041450656000468420013_FY07 매출계획 작성양식" xfId="2127"/>
    <cellStyle name="원_임원회의참고자료_306393200701221329200203007251260027_FY07 매출계획 작성양식" xfId="2128"/>
    <cellStyle name="원_임원회의참고자료_306393200701250903550250090628260030_FY07 매출계획 작성양식" xfId="2129"/>
    <cellStyle name="원_임원회의참고자료_7-9월설치분집행(1018)" xfId="2130"/>
    <cellStyle name="원_임원회의참고자료_FY'06년 자동차보험 매출계획 5(안)-1" xfId="2131"/>
    <cellStyle name="원_임원회의참고자료_FY'06년 자동차보험 매출계획 5(안)-2" xfId="2132"/>
    <cellStyle name="원_임원회의참고자료_FY'06년 자동차보험 매출계획 기획실송부 요약" xfId="2133"/>
    <cellStyle name="원_임원회의참고자료_FY07 매출계획 작성양식(최종송부)" xfId="2134"/>
    <cellStyle name="원_임원회의참고자료_PLACARD" xfId="2135"/>
    <cellStyle name="원_임원회의참고자료_TM대리점활성화방안(0928)" xfId="2136"/>
    <cellStyle name="원_임원회의참고자료_TM대리점활성화방안(0930)-1" xfId="2137"/>
    <cellStyle name="원_임원회의참고자료_TM신상품개발검토의견(20060327)" xfId="2138"/>
    <cellStyle name="원_임원회의참고자료_TM신청서(최종)-마지부(1229)" xfId="2139"/>
    <cellStyle name="원_임원회의참고자료_tm활성화(예산수정)" xfId="2140"/>
    <cellStyle name="원_임원회의참고자료_마지부승인(0512 -5차)" xfId="2141"/>
    <cellStyle name="원_임원회의참고자료_업체선정평가표(장기tm-20051201)-장원제(최종)" xfId="2142"/>
    <cellStyle name="원_임원회의참고자료_인수지침관련의견" xfId="2143"/>
    <cellStyle name="원_임원회의참고자료_장기TM대리점지원및관리규정(20051216-발송용)" xfId="2144"/>
    <cellStyle name="원_임원회의참고자료_장기TM활성화방안(11월-결재예산보완본)-최종판" xfId="2145"/>
    <cellStyle name="원_임원회의참고자료_참석자명단(대리점)" xfId="2146"/>
    <cellStyle name="원_자동차(발송용)" xfId="2147"/>
    <cellStyle name="원_자동차(발송용)_7-9월설치분집행(1018)" xfId="2148"/>
    <cellStyle name="원_자동차(발송용)_Feedback-일반활성화FY'07.2분기-품의" xfId="2149"/>
    <cellStyle name="원_자동차(발송용)_TM-FY'07.중간피드백-6" xfId="2150"/>
    <cellStyle name="원_자동차(발송용)_TM대리점활성화방안(0928)" xfId="2151"/>
    <cellStyle name="원_자동차(발송용)_TM대리점활성화방안(0930)-1" xfId="2152"/>
    <cellStyle name="원_자동차(발송용)_TM신상품개발검토의견(20060327)" xfId="2153"/>
    <cellStyle name="원_자동차(발송용)_TM신청서(최종)-마지부(1229)" xfId="2154"/>
    <cellStyle name="원_자동차(발송용)_부문별월별매출계획(070330기획실)" xfId="2155"/>
    <cellStyle name="원_자동차(발송용)_신상품재검토(20040417)" xfId="2156"/>
    <cellStyle name="원_자동차(발송용)_업체선정평가표(장기tm-20051201)-장원제(최종)" xfId="2157"/>
    <cellStyle name="원_자동차(발송용)_업추비개선(초안)" xfId="2158"/>
    <cellStyle name="원_자동차(발송용)_인수지침관련의견" xfId="2159"/>
    <cellStyle name="원_자동차(발송용)_장기TM대리점지원및관리규정(20051216-발송용)" xfId="2160"/>
    <cellStyle name="원_자동차(발송용)_장기보험목표달성방안(070903-2)" xfId="2161"/>
    <cellStyle name="원_자동차(발송용)_장기특성별실적_조정후(가안)" xfId="2162"/>
    <cellStyle name="원_자동차(발송용)_통신판매가이드라인정리(최종)" xfId="2163"/>
    <cellStyle name="원_자동차(발송용)_하이라이프다이렉트수수료안(20060522)" xfId="2164"/>
    <cellStyle name="원_자동차(발송용)_현장간담회 결과보고" xfId="2165"/>
    <cellStyle name="원_자동차갱신율" xfId="2166"/>
    <cellStyle name="원_자동차갱신율(0406)" xfId="2167"/>
    <cellStyle name="원_자동차마감실적(9월2차)" xfId="2168"/>
    <cellStyle name="원_자동차부진" xfId="2169"/>
    <cellStyle name="원_장기TM관리업무지침안(보완-0105)" xfId="2170"/>
    <cellStyle name="원_장기TM관리지침별첨(최종-0614)" xfId="2171"/>
    <cellStyle name="원_장기TM대리점지원및관리규정(20051216-발송용)" xfId="2172"/>
    <cellStyle name="원_장기TM대리점지원및관리규정(200512-발송)" xfId="2173"/>
    <cellStyle name="원_장기TM활성화방안(11월-결재예산보완본)-최종판" xfId="2174"/>
    <cellStyle name="원_장기마감실적(8월4차)" xfId="2175"/>
    <cellStyle name="원_장기목표" xfId="2176"/>
    <cellStyle name="원_장기보험 위험손해율( 2006.10월 )및 유지율 현황자료" xfId="2177"/>
    <cellStyle name="원_장기보험 위험손해율( 2006.11월 )및 유지율 현황자료" xfId="2178"/>
    <cellStyle name="원_장기보험 위험손해율( 2006.12월 )및 유지율 현황자료" xfId="2179"/>
    <cellStyle name="원_장기보험 위험손해율( 2006.5월 )및 유지율 현황자료" xfId="2180"/>
    <cellStyle name="원_장기보험 위험손해율( 2006.6월 )및 유지율 현황자료" xfId="2181"/>
    <cellStyle name="원_장기보험 위험손해율( 2006.7월 )및 유지율 현황자료" xfId="2182"/>
    <cellStyle name="원_장기보험 위험손해율( 2006.8월 )및 유지율 현황자료" xfId="2183"/>
    <cellStyle name="원_장기보험 위험손해율( 2006.9월 )및 유지율 현황자료" xfId="2184"/>
    <cellStyle name="원_장기보험 위험손해율( 2007.10월 ) 현황자료" xfId="2185"/>
    <cellStyle name="원_장기보험 위험손해율( 2007.1월 )및 유지율 현황자료" xfId="2186"/>
    <cellStyle name="원_장기보험 위험손해율( 2007.2월 )및 유지율 현황자료" xfId="2187"/>
    <cellStyle name="원_장기보험 위험손해율( 2007.3월 ) 현황자료" xfId="2188"/>
    <cellStyle name="원_장기보험 위험손해율( 2007.4월 ) 현황자료" xfId="2189"/>
    <cellStyle name="원_장기보험 위험손해율( 2007.5월 ) 현황자료" xfId="2190"/>
    <cellStyle name="원_장기보험 위험손해율( 2007.6월 ) 현황자료" xfId="2191"/>
    <cellStyle name="원_장기보험 위험손해율( 2007.7월 ) 현황자료" xfId="2192"/>
    <cellStyle name="원_장기보험 위험손해율( 2007.8월 ) 현황자료" xfId="2193"/>
    <cellStyle name="원_장기보험 위험손해율( 2007.9월 ) 현황자료" xfId="2194"/>
    <cellStyle name="원_장기보험+위험손해율(+2006.4월+)및+유지율+현황자료" xfId="2195"/>
    <cellStyle name="원_장기보험매출계획검토(060904)본부장회의" xfId="2196"/>
    <cellStyle name="원_장기보험목표달성방안(070903-2)" xfId="2197"/>
    <cellStyle name="원_장기보험추가목표부여검토(0609)" xfId="2198"/>
    <cellStyle name="원_장기부활캠페인" xfId="2199"/>
    <cellStyle name="원_장기시상안(3월)수정" xfId="2200"/>
    <cellStyle name="원_장기실효_0107체결현황" xfId="2201"/>
    <cellStyle name="원_장기실효_1205체결현황" xfId="2202"/>
    <cellStyle name="원_장기유지율(0406)" xfId="2203"/>
    <cellStyle name="원_장기특성별실적_조정후(가안)" xfId="2204"/>
    <cellStyle name="원_저축성노조협의(040426)" xfId="2205"/>
    <cellStyle name="원_저축성문제" xfId="2206"/>
    <cellStyle name="원_저축성문제_3063932006021309511403280445_FY'06년 자동차보험 매출계획 기획실송부 요약" xfId="2207"/>
    <cellStyle name="원_저축성문제_3063932006021314282903120496_FY'06년 자동차보험 매출계획 기획실송부 요약" xfId="2208"/>
    <cellStyle name="원_저축성문제_306393200701221041450656000468420013_FY07 매출계획 작성양식" xfId="2209"/>
    <cellStyle name="원_저축성문제_306393200701221329200203007251260027_FY07 매출계획 작성양식" xfId="2210"/>
    <cellStyle name="원_저축성문제_306393200701250903550250090628260030_FY07 매출계획 작성양식" xfId="2211"/>
    <cellStyle name="원_저축성문제_7-9월설치분집행(1018)" xfId="2212"/>
    <cellStyle name="원_저축성문제_Feedback-일반활성화FY'07.2분기-품의" xfId="2213"/>
    <cellStyle name="원_저축성문제_FY'06년 자동차보험 매출계획 5(안)-1" xfId="2214"/>
    <cellStyle name="원_저축성문제_FY'06년 자동차보험 매출계획 5(안)-2" xfId="2215"/>
    <cellStyle name="원_저축성문제_FY'06년 자동차보험 매출계획 기획실송부 요약" xfId="2216"/>
    <cellStyle name="원_저축성문제_FY07 매출계획 작성양식(최종송부)" xfId="2217"/>
    <cellStyle name="원_저축성문제_TM-FY'07.중간피드백-6" xfId="2218"/>
    <cellStyle name="원_저축성문제_TM대리점활성화방안(0928)" xfId="2219"/>
    <cellStyle name="원_저축성문제_TM대리점활성화방안(0930)-1" xfId="2220"/>
    <cellStyle name="원_저축성문제_TM신상품개발검토의견(20060327)" xfId="2221"/>
    <cellStyle name="원_저축성문제_TM신청서(최종)-마지부(1229)" xfId="2222"/>
    <cellStyle name="원_저축성문제_부문별월별매출계획(070330기획실)" xfId="2223"/>
    <cellStyle name="원_저축성문제_신상품재검토(20040417)" xfId="2224"/>
    <cellStyle name="원_저축성문제_업체선정평가표(장기tm-20051201)-장원제(최종)" xfId="2225"/>
    <cellStyle name="원_저축성문제_인수지침관련의견" xfId="2226"/>
    <cellStyle name="원_저축성문제_장기TM대리점지원및관리규정(20051216-발송용)" xfId="2227"/>
    <cellStyle name="원_저축성문제_장기보험목표달성방안(070903-2)" xfId="2228"/>
    <cellStyle name="원_저축성문제_장기특성별실적_조정후(가안)" xfId="2229"/>
    <cellStyle name="원_저축성문제_통신판매가이드라인정리(최종)" xfId="2230"/>
    <cellStyle name="원_저축성문제_하이라이프다이렉트수수료안(20060522)" xfId="2231"/>
    <cellStyle name="원_저축성보험대책회의(031219)" xfId="2232"/>
    <cellStyle name="원_전년대비합격자" xfId="2233"/>
    <cellStyle name="원_전년대비합격자_Feedback-일반활성화FY'07.2분기-품의" xfId="2234"/>
    <cellStyle name="원_전년대비합격자_FY'06장기보험매출계획(유지율)" xfId="2235"/>
    <cellStyle name="원_전년대비합격자_FY'07점포영업전략(070403)" xfId="2236"/>
    <cellStyle name="원_전년대비합격자_보장자산증대방안" xfId="2237"/>
    <cellStyle name="원_전략경영기본과정품의" xfId="2238"/>
    <cellStyle name="원_전략경영향상과정" xfId="2239"/>
    <cellStyle name="원_점포변동에따른 경상비 배정기준" xfId="2240"/>
    <cellStyle name="원_점포변동에따른 업추비 배정기준" xfId="2241"/>
    <cellStyle name="원_점포변동에따른 예산배정 기준" xfId="2242"/>
    <cellStyle name="원_점포지원기준(전산,빔)결재용04.2.17" xfId="2243"/>
    <cellStyle name="원_점포평가반영" xfId="2244"/>
    <cellStyle name="원_점포평가반영_우수대리점본부보고(서강)" xfId="2245"/>
    <cellStyle name="원_점포평가반영_우수대리점유치(0219)" xfId="2246"/>
    <cellStyle name="원_정리" xfId="2247"/>
    <cellStyle name="원_정리_0703장기보험마감분석" xfId="2248"/>
    <cellStyle name="원_정리_7-9월설치분집행(1018)" xfId="2249"/>
    <cellStyle name="원_정리_Feedback-일반활성화FY'07.2분기-품의" xfId="2250"/>
    <cellStyle name="원_정리_FY'07점포영업전략(070403)" xfId="2251"/>
    <cellStyle name="원_정리_TM-FY'07.중간피드백-6" xfId="2252"/>
    <cellStyle name="원_정리_TM대리점활성화방안(0928)" xfId="2253"/>
    <cellStyle name="원_정리_TM대리점활성화방안(0930)-1" xfId="2254"/>
    <cellStyle name="원_정리_TM신상품개발검토의견(20060327)" xfId="2255"/>
    <cellStyle name="원_정리_TM신청서(최종)-마지부(1229)" xfId="2256"/>
    <cellStyle name="원_정리_보장자산증대방안" xfId="2257"/>
    <cellStyle name="원_정리_신상품재검토(20040417)" xfId="2258"/>
    <cellStyle name="원_정리_업체선정평가표(장기tm-20051201)-장원제(최종)" xfId="2259"/>
    <cellStyle name="원_정리_인수지침관련의견" xfId="2260"/>
    <cellStyle name="원_정리_장기TM대리점지원및관리규정(20051216-발송용)" xfId="2261"/>
    <cellStyle name="원_정리_통신판매가이드라인정리(최종)" xfId="2262"/>
    <cellStyle name="원_정리_하이라이프다이렉트수수료안(20060522)" xfId="2263"/>
    <cellStyle name="원_정리_해외연수실시안(20071220)-7차-공지용" xfId="2264"/>
    <cellStyle name="원_정리_해외연수실시안(20080130)-후꾸오까-차수조정" xfId="2265"/>
    <cellStyle name="원_조직육성변동입력(홍진경71완료)" xfId="2266"/>
    <cellStyle name="원_조직육성변동입력(홍진경71완료)_030714소장회의" xfId="2267"/>
    <cellStyle name="원_조직육성변동입력(홍진경71완료)_03일사분기실적현황" xfId="2268"/>
    <cellStyle name="원_조직육성변동입력(홍진경71완료)_7월16일본부장회의" xfId="2269"/>
    <cellStyle name="원_조직육성변동입력(홍진경71완료)_7월아침에해야할일" xfId="2270"/>
    <cellStyle name="원_조직육성변동입력(홍진경71완료)_8월부보율(성무현)" xfId="2271"/>
    <cellStyle name="원_조편성표" xfId="2272"/>
    <cellStyle name="원_중부본부및지점영업전략방안" xfId="2273"/>
    <cellStyle name="원_질의응답0110" xfId="2274"/>
    <cellStyle name="원_질의응답0110_3063932006021309511403280445_FY'06년 자동차보험 매출계획 기획실송부 요약" xfId="2275"/>
    <cellStyle name="원_질의응답0110_3063932006021314282903120496_FY'06년 자동차보험 매출계획 기획실송부 요약" xfId="2276"/>
    <cellStyle name="원_질의응답0110_306393200701221041450656000468420013_FY07 매출계획 작성양식" xfId="2277"/>
    <cellStyle name="원_질의응답0110_306393200701221329200203007251260027_FY07 매출계획 작성양식" xfId="2278"/>
    <cellStyle name="원_질의응답0110_306393200701250903550250090628260030_FY07 매출계획 작성양식" xfId="2279"/>
    <cellStyle name="원_질의응답0110_7-9월설치분집행(1018)" xfId="2280"/>
    <cellStyle name="원_질의응답0110_FY'06년 자동차보험 매출계획 5(안)-1" xfId="2281"/>
    <cellStyle name="원_질의응답0110_FY'06년 자동차보험 매출계획 5(안)-2" xfId="2282"/>
    <cellStyle name="원_질의응답0110_FY'06년 자동차보험 매출계획 기획실송부 요약" xfId="2283"/>
    <cellStyle name="원_질의응답0110_FY07 매출계획 작성양식(최종송부)" xfId="2284"/>
    <cellStyle name="원_질의응답0110_PLACARD" xfId="2285"/>
    <cellStyle name="원_질의응답0110_TM대리점활성화방안(0928)" xfId="2286"/>
    <cellStyle name="원_질의응답0110_TM대리점활성화방안(0930)-1" xfId="2287"/>
    <cellStyle name="원_질의응답0110_TM신상품개발검토의견(20060327)" xfId="2288"/>
    <cellStyle name="원_질의응답0110_TM신청서(최종)-마지부(1229)" xfId="2289"/>
    <cellStyle name="원_질의응답0110_tm활성화(예산수정)" xfId="2290"/>
    <cellStyle name="원_질의응답0110_마지부승인(0512 -5차)" xfId="2291"/>
    <cellStyle name="원_질의응답0110_업체선정평가표(장기tm-20051201)-장원제(최종)" xfId="2292"/>
    <cellStyle name="원_질의응답0110_인수지침관련의견" xfId="2293"/>
    <cellStyle name="원_질의응답0110_장기TM대리점지원및관리규정(20051216-발송용)" xfId="2294"/>
    <cellStyle name="원_질의응답0110_장기TM활성화방안(11월-결재예산보완본)-최종판" xfId="2295"/>
    <cellStyle name="원_질의응답0110_참석자명단(대리점)" xfId="2296"/>
    <cellStyle name="원_질의응답-육성" xfId="2297"/>
    <cellStyle name="원_질의응답-육성_3063932006021309511403280445_FY'06년 자동차보험 매출계획 기획실송부 요약" xfId="2298"/>
    <cellStyle name="원_질의응답-육성_3063932006021314282903120496_FY'06년 자동차보험 매출계획 기획실송부 요약" xfId="2299"/>
    <cellStyle name="원_질의응답-육성_306393200701221041450656000468420013_FY07 매출계획 작성양식" xfId="2300"/>
    <cellStyle name="원_질의응답-육성_306393200701221329200203007251260027_FY07 매출계획 작성양식" xfId="2301"/>
    <cellStyle name="원_질의응답-육성_306393200701250903550250090628260030_FY07 매출계획 작성양식" xfId="2302"/>
    <cellStyle name="원_질의응답-육성_7-9월설치분집행(1018)" xfId="2303"/>
    <cellStyle name="원_질의응답-육성_FY'06년 자동차보험 매출계획 5(안)-1" xfId="2304"/>
    <cellStyle name="원_질의응답-육성_FY'06년 자동차보험 매출계획 5(안)-2" xfId="2305"/>
    <cellStyle name="원_질의응답-육성_FY'06년 자동차보험 매출계획 기획실송부 요약" xfId="2306"/>
    <cellStyle name="원_질의응답-육성_FY07 매출계획 작성양식(최종송부)" xfId="2307"/>
    <cellStyle name="원_질의응답-육성_PLACARD" xfId="2308"/>
    <cellStyle name="원_질의응답-육성_TM대리점활성화방안(0928)" xfId="2309"/>
    <cellStyle name="원_질의응답-육성_TM대리점활성화방안(0930)-1" xfId="2310"/>
    <cellStyle name="원_질의응답-육성_TM신상품개발검토의견(20060327)" xfId="2311"/>
    <cellStyle name="원_질의응답-육성_TM신청서(최종)-마지부(1229)" xfId="2312"/>
    <cellStyle name="원_질의응답-육성_tm활성화(예산수정)" xfId="2313"/>
    <cellStyle name="원_질의응답-육성_마지부승인(0512 -5차)" xfId="2314"/>
    <cellStyle name="원_질의응답-육성_업체선정평가표(장기tm-20051201)-장원제(최종)" xfId="2315"/>
    <cellStyle name="원_질의응답-육성_인수지침관련의견" xfId="2316"/>
    <cellStyle name="원_질의응답-육성_장기TM대리점지원및관리규정(20051216-발송용)" xfId="2317"/>
    <cellStyle name="원_질의응답-육성_장기TM활성화방안(11월-결재예산보완본)-최종판" xfId="2318"/>
    <cellStyle name="원_질의응답-육성_참석자명단(대리점)" xfId="2319"/>
    <cellStyle name="원_집행2003" xfId="2320"/>
    <cellStyle name="원_참석자명단(대리점)" xfId="2321"/>
    <cellStyle name="원_총체적장기분석" xfId="2322"/>
    <cellStyle name="원_타사 주요계약 현황(12월)" xfId="2323"/>
    <cellStyle name="원_타사 주요계약 현황(12월)_7-9월설치분집행(1018)" xfId="2324"/>
    <cellStyle name="원_타사 주요계약 현황(12월)_PLACARD" xfId="2325"/>
    <cellStyle name="원_타사 주요계약 현황(12월)_TM대리점활성화방안(0928)" xfId="2326"/>
    <cellStyle name="원_타사 주요계약 현황(12월)_TM대리점활성화방안(0930)-1" xfId="2327"/>
    <cellStyle name="원_타사 주요계약 현황(12월)_TM신상품개발검토의견(20060327)" xfId="2328"/>
    <cellStyle name="원_타사 주요계약 현황(12월)_TM신청서(최종)-마지부(1229)" xfId="2329"/>
    <cellStyle name="원_타사 주요계약 현황(12월)_tm활성화(예산수정)" xfId="2330"/>
    <cellStyle name="원_타사 주요계약 현황(12월)_마지부승인(0512 -5차)" xfId="2331"/>
    <cellStyle name="원_타사 주요계약 현황(12월)_업체선정평가표(장기tm-20051201)-장원제(최종)" xfId="2332"/>
    <cellStyle name="원_타사 주요계약 현황(12월)_인수지침관련의견" xfId="2333"/>
    <cellStyle name="원_타사 주요계약 현황(12월)_장기TM대리점지원및관리규정(20051216-발송용)" xfId="2334"/>
    <cellStyle name="원_타사 주요계약 현황(12월)_장기TM활성화방안(11월-결재예산보완본)-최종판" xfId="2335"/>
    <cellStyle name="원_타사 주요계약 현황(12월)_참석자명단(대리점)" xfId="2336"/>
    <cellStyle name="원_타사 주요계약 현황(1월)" xfId="2337"/>
    <cellStyle name="원_타사 주요계약 현황(3월)" xfId="2338"/>
    <cellStyle name="원_타사 주요계약 현황(6월)" xfId="2339"/>
    <cellStyle name="원_타사유치실적(04.4~8월)보고" xfId="2340"/>
    <cellStyle name="원_타사유치현황(본부계)" xfId="2341"/>
    <cellStyle name="원_타사유치현황(본부계)수정" xfId="2342"/>
    <cellStyle name="원_통신판매가이드라인정리(최종)" xfId="2343"/>
    <cellStyle name="원_통합보험BOOM-UP실천방안" xfId="2344"/>
    <cellStyle name="원_통합보험BOOM-UP실천방안_0703장기보험마감분석" xfId="2345"/>
    <cellStyle name="원_통합보험BOOM-UP실천방안_7-9월설치분집행(1018)" xfId="2346"/>
    <cellStyle name="원_통합보험BOOM-UP실천방안_Feedback-일반활성화FY'07.2분기-품의" xfId="2347"/>
    <cellStyle name="원_통합보험BOOM-UP실천방안_FY'07점포영업전략(070403)" xfId="2348"/>
    <cellStyle name="원_통합보험BOOM-UP실천방안_TM-FY'07.중간피드백-6" xfId="2349"/>
    <cellStyle name="원_통합보험BOOM-UP실천방안_TM대리점활성화방안(0928)" xfId="2350"/>
    <cellStyle name="원_통합보험BOOM-UP실천방안_TM대리점활성화방안(0930)-1" xfId="2351"/>
    <cellStyle name="원_통합보험BOOM-UP실천방안_TM신상품개발검토의견(20060327)" xfId="2352"/>
    <cellStyle name="원_통합보험BOOM-UP실천방안_TM신청서(최종)-마지부(1229)" xfId="2353"/>
    <cellStyle name="원_통합보험BOOM-UP실천방안_보장자산증대방안" xfId="2354"/>
    <cellStyle name="원_통합보험BOOM-UP실천방안_신상품재검토(20040417)" xfId="2355"/>
    <cellStyle name="원_통합보험BOOM-UP실천방안_업체선정평가표(장기tm-20051201)-장원제(최종)" xfId="2356"/>
    <cellStyle name="원_통합보험BOOM-UP실천방안_유지율개선실시사항(050901)" xfId="2357"/>
    <cellStyle name="원_통합보험BOOM-UP실천방안_인수지침관련의견" xfId="2358"/>
    <cellStyle name="원_통합보험BOOM-UP실천방안_일반보험보고(0801)-3" xfId="2359"/>
    <cellStyle name="원_통합보험BOOM-UP실천방안_장기TM관리업무지침안(보완-0105)" xfId="2360"/>
    <cellStyle name="원_통합보험BOOM-UP실천방안_장기TM관리지침별첨(최종-0614)" xfId="2361"/>
    <cellStyle name="원_통합보험BOOM-UP실천방안_장기TM대리점지원및관리규정(20051216-발송용)" xfId="2362"/>
    <cellStyle name="원_통합보험BOOM-UP실천방안_통신판매가이드라인정리(최종)" xfId="2363"/>
    <cellStyle name="원_통합보험BOOM-UP실천방안_하이라이프다이렉트수수료안(20060522)" xfId="2364"/>
    <cellStyle name="원_통합보험BOOM-UP실천방안_해외여행보험활성화(060620-최종)" xfId="2365"/>
    <cellStyle name="원_통합보험BOOM-UP실천방안_해외연수실시안(20071220)-7차-공지용" xfId="2366"/>
    <cellStyle name="원_통합보험BOOM-UP실천방안_해외연수실시안(20080130)-후꾸오까-차수조정" xfId="2367"/>
    <cellStyle name="원_통합보험비례수당지급기준변경안(060222)" xfId="2368"/>
    <cellStyle name="원_통합형보험마케팅정책회의자료(050418)" xfId="2369"/>
    <cellStyle name="원_통합형보험마케팅정책회의자료(050418)_0703장기보험마감분석" xfId="2370"/>
    <cellStyle name="원_통합형보험마케팅정책회의자료(050418)_7-9월설치분집행(1018)" xfId="2371"/>
    <cellStyle name="원_통합형보험마케팅정책회의자료(050418)_Feedback-일반활성화FY'07.2분기-품의" xfId="2372"/>
    <cellStyle name="원_통합형보험마케팅정책회의자료(050418)_FY'07점포영업전략(070403)" xfId="2373"/>
    <cellStyle name="원_통합형보험마케팅정책회의자료(050418)_TM-FY'07.중간피드백-6" xfId="2374"/>
    <cellStyle name="원_통합형보험마케팅정책회의자료(050418)_TM대리점활성화방안(0928)" xfId="2375"/>
    <cellStyle name="원_통합형보험마케팅정책회의자료(050418)_TM대리점활성화방안(0930)-1" xfId="2376"/>
    <cellStyle name="원_통합형보험마케팅정책회의자료(050418)_TM신상품개발검토의견(20060327)" xfId="2377"/>
    <cellStyle name="원_통합형보험마케팅정책회의자료(050418)_TM신청서(최종)-마지부(1229)" xfId="2378"/>
    <cellStyle name="원_통합형보험마케팅정책회의자료(050418)_보장자산증대방안" xfId="2379"/>
    <cellStyle name="원_통합형보험마케팅정책회의자료(050418)_신상품재검토(20040417)" xfId="2380"/>
    <cellStyle name="원_통합형보험마케팅정책회의자료(050418)_업체선정평가표(장기tm-20051201)-장원제(최종)" xfId="2381"/>
    <cellStyle name="원_통합형보험마케팅정책회의자료(050418)_유지율개선실시사항(050901)" xfId="2382"/>
    <cellStyle name="원_통합형보험마케팅정책회의자료(050418)_인수지침관련의견" xfId="2383"/>
    <cellStyle name="원_통합형보험마케팅정책회의자료(050418)_일반보험보고(0801)-3" xfId="2384"/>
    <cellStyle name="원_통합형보험마케팅정책회의자료(050418)_장기TM관리업무지침안(보완-0105)" xfId="2385"/>
    <cellStyle name="원_통합형보험마케팅정책회의자료(050418)_장기TM관리지침별첨(최종-0614)" xfId="2386"/>
    <cellStyle name="원_통합형보험마케팅정책회의자료(050418)_장기TM대리점지원및관리규정(20051216-발송용)" xfId="2387"/>
    <cellStyle name="원_통합형보험마케팅정책회의자료(050418)_통신판매가이드라인정리(최종)" xfId="2388"/>
    <cellStyle name="원_통합형보험마케팅정책회의자료(050418)_하이라이프다이렉트수수료안(20060522)" xfId="2389"/>
    <cellStyle name="원_통합형보험마케팅정책회의자료(050418)_해외여행보험활성화(060620-최종)" xfId="2390"/>
    <cellStyle name="원_통합형보험마케팅정책회의자료(050418)_해외연수실시안(20071220)-7차-공지용" xfId="2391"/>
    <cellStyle name="원_통합형보험마케팅정책회의자료(050418)_해외연수실시안(20080130)-후꾸오까-차수조정" xfId="2392"/>
    <cellStyle name="원_통합형보험영업지원제도운영안(040625)" xfId="2393"/>
    <cellStyle name="원_통합형보험영업지원제도운영안(040625)_0703장기보험마감분석" xfId="2394"/>
    <cellStyle name="원_통합형보험영업지원제도운영안(040625)_7-9월설치분집행(1018)" xfId="2395"/>
    <cellStyle name="원_통합형보험영업지원제도운영안(040625)_Feedback-일반활성화FY'07.2분기-품의" xfId="2396"/>
    <cellStyle name="원_통합형보험영업지원제도운영안(040625)_FY'07점포영업전략(070403)" xfId="2397"/>
    <cellStyle name="원_통합형보험영업지원제도운영안(040625)_TM-FY'07.중간피드백-6" xfId="2398"/>
    <cellStyle name="원_통합형보험영업지원제도운영안(040625)_TM대리점활성화방안(0928)" xfId="2399"/>
    <cellStyle name="원_통합형보험영업지원제도운영안(040625)_TM대리점활성화방안(0930)-1" xfId="2400"/>
    <cellStyle name="원_통합형보험영업지원제도운영안(040625)_TM신상품개발검토의견(20060327)" xfId="2401"/>
    <cellStyle name="원_통합형보험영업지원제도운영안(040625)_TM신청서(최종)-마지부(1229)" xfId="2402"/>
    <cellStyle name="원_통합형보험영업지원제도운영안(040625)_보장자산증대방안" xfId="2403"/>
    <cellStyle name="원_통합형보험영업지원제도운영안(040625)_신상품재검토(20040417)" xfId="2404"/>
    <cellStyle name="원_통합형보험영업지원제도운영안(040625)_업체선정평가표(장기tm-20051201)-장원제(최종)" xfId="2405"/>
    <cellStyle name="원_통합형보험영업지원제도운영안(040625)_인수지침관련의견" xfId="2406"/>
    <cellStyle name="원_통합형보험영업지원제도운영안(040625)_장기TM대리점지원및관리규정(20051216-발송용)" xfId="2407"/>
    <cellStyle name="원_통합형보험영업지원제도운영안(040625)_통신판매가이드라인정리(최종)" xfId="2408"/>
    <cellStyle name="원_통합형보험영업지원제도운영안(040625)_하이라이프다이렉트수수료안(20060522)" xfId="2409"/>
    <cellStyle name="원_통합형보험영업지원제도운영안(040625)_해외연수실시안(20071220)-7차-공지용" xfId="2410"/>
    <cellStyle name="원_통합형보험영업지원제도운영안(040625)_해외연수실시안(20080130)-후꾸오까-차수조정" xfId="2411"/>
    <cellStyle name="원_퇴직보험 매출계획" xfId="2412"/>
    <cellStyle name="원_퇴직보험(연금)추가목표배분기준(발송용)-마케팅" xfId="2413"/>
    <cellStyle name="원_트레이너 운영안91222)" xfId="2414"/>
    <cellStyle name="원_트레이너 운영지침(안)(1230)보고" xfId="2415"/>
    <cellStyle name="원_트레이너 운영지침(안)(1231)-붙임" xfId="2416"/>
    <cellStyle name="원_팀활성화변경품의(이권도팀장님작업분0712)" xfId="2417"/>
    <cellStyle name="원_팀활성화변경품의(이권도팀장님작업분0712)_영업소팀장회의030811" xfId="2418"/>
    <cellStyle name="원_퍼스티수료부진회의" xfId="2419"/>
    <cellStyle name="원_평가본부발송(5.7)" xfId="2420"/>
    <cellStyle name="원_평가품의서(단위별)" xfId="2421"/>
    <cellStyle name="원_품의서양식" xfId="2422"/>
    <cellStyle name="원_프리스타일(수당업)" xfId="2423"/>
    <cellStyle name="원_하반기checkup마감(04.9.13)수정" xfId="2424"/>
    <cellStyle name="원_하반기checkup마감(04.9.13)최종" xfId="2425"/>
    <cellStyle name="원_하이라이프다이렉트수수료안(20060522)" xfId="2426"/>
    <cellStyle name="원_하절기극복 자동차보험 목표달성방안(6-8월)" xfId="2427"/>
    <cellStyle name="원_한마음과정명단" xfId="2428"/>
    <cellStyle name="원_한마음과정명단_030714소장회의" xfId="2429"/>
    <cellStyle name="원_한마음과정명단_03일사분기실적현황" xfId="2430"/>
    <cellStyle name="원_한마음과정명단_7월16일본부장회의" xfId="2431"/>
    <cellStyle name="원_한마음과정명단_7월아침에해야할일" xfId="2432"/>
    <cellStyle name="원_한마음과정명단_8월부보율(성무현)" xfId="2433"/>
    <cellStyle name="원_합격예상" xfId="2434"/>
    <cellStyle name="원_합격자" xfId="2435"/>
    <cellStyle name="원_합격자_Feedback-일반활성화FY'07.2분기-품의" xfId="2436"/>
    <cellStyle name="원_합격자_FY'06장기보험매출계획(유지율)" xfId="2437"/>
    <cellStyle name="원_합격자_FY'07점포영업전략(070403)" xfId="2438"/>
    <cellStyle name="원_합격자_보장자산증대방안" xfId="2439"/>
    <cellStyle name="원_합계차이" xfId="2440"/>
    <cellStyle name="원_해외여행보험활성화(060620-최종)" xfId="2441"/>
    <cellStyle name="원_해외연수실시안(20071220)-7차-공지용" xfId="2442"/>
    <cellStyle name="원_해외연수실시안(20080130)-후꾸오까-차수조정" xfId="2443"/>
    <cellStyle name="원_현장간담회 결과보고" xfId="2444"/>
    <cellStyle name="원_회의자료(04.10.21)" xfId="2445"/>
    <cellStyle name="원_회의자료(04.11.5)11월실적" xfId="2446"/>
    <cellStyle name="지정되지 않음" xfId="2447"/>
    <cellStyle name="콤마 [0]" xfId="2448"/>
    <cellStyle name="콤마_" xfId="2449"/>
    <cellStyle name="표준" xfId="0" builtinId="0"/>
    <cellStyle name="표준 2" xfId="2450"/>
    <cellStyle name="표준 2 2" xfId="2451"/>
    <cellStyle name="표준 2 5 2 2" xfId="2460"/>
    <cellStyle name="표준 3" xfId="2452"/>
    <cellStyle name="표준 4" xfId="2453"/>
    <cellStyle name="표준 5" xfId="2454"/>
    <cellStyle name="표준 6" xfId="2457"/>
    <cellStyle name="표준 6 2" xfId="2465"/>
    <cellStyle name="표준 6 2 2" xfId="2472"/>
    <cellStyle name="표준 6 2 2 2" xfId="2480"/>
    <cellStyle name="표준 6 2 2 2 2" xfId="2487"/>
    <cellStyle name="표준 6 2 2 2 2 2" xfId="2492"/>
    <cellStyle name="표준 6 3" xfId="2466"/>
    <cellStyle name="표준 6 3 2" xfId="2475"/>
    <cellStyle name="표준 6 3 2 2" xfId="2477"/>
    <cellStyle name="표준 6 3 2 2 2" xfId="2491"/>
    <cellStyle name="표준 6 3 2 2 2 2" xfId="2495"/>
    <cellStyle name="표준 6 4" xfId="2469"/>
    <cellStyle name="표준 6 4 2" xfId="2479"/>
    <cellStyle name="표준 6 4 2 2" xfId="2490"/>
    <cellStyle name="표준 6 4 2 2 2" xfId="2494"/>
    <cellStyle name="표준 6 4 3" xfId="2482"/>
    <cellStyle name="표준 6 4 4" xfId="2484"/>
    <cellStyle name="표준 6 5" xfId="2488"/>
    <cellStyle name="표준 6 6" xfId="2489"/>
    <cellStyle name="표준 6 6 2" xfId="2493"/>
    <cellStyle name="표준_손생보지급율제안서" xfId="2455"/>
  </cellStyles>
  <dxfs count="0"/>
  <tableStyles count="0" defaultTableStyle="TableStyleMedium2" defaultPivotStyle="PivotStyleLight16"/>
  <colors>
    <mruColors>
      <color rgb="FF0066FF"/>
      <color rgb="FF0000FF"/>
      <color rgb="FF0099FF"/>
      <color rgb="FFFFFF66"/>
      <color rgb="FFFFFF99"/>
      <color rgb="FFFF99FF"/>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2"/>
  <sheetViews>
    <sheetView tabSelected="1" zoomScaleNormal="100" workbookViewId="0">
      <selection activeCell="F11" sqref="F11:G11"/>
    </sheetView>
  </sheetViews>
  <sheetFormatPr defaultRowHeight="16.5"/>
  <cols>
    <col min="1" max="1" width="1" customWidth="1"/>
    <col min="2" max="11" width="12.875" customWidth="1"/>
  </cols>
  <sheetData>
    <row r="1" spans="1:12" ht="51" customHeight="1" thickBot="1">
      <c r="A1" s="81"/>
      <c r="B1" s="81"/>
      <c r="C1" s="81"/>
      <c r="D1" s="81"/>
      <c r="E1" s="81"/>
      <c r="F1" s="81"/>
      <c r="G1" s="81"/>
      <c r="H1" s="81"/>
      <c r="I1" s="81"/>
      <c r="J1" s="81"/>
      <c r="K1" s="81"/>
      <c r="L1" s="81"/>
    </row>
    <row r="2" spans="1:12" ht="36.75" customHeight="1" thickBot="1">
      <c r="A2" s="81"/>
      <c r="B2" s="1136" t="s">
        <v>8</v>
      </c>
      <c r="C2" s="1136"/>
      <c r="D2" s="1136"/>
      <c r="E2" s="1136"/>
      <c r="F2" s="1136"/>
      <c r="G2" s="1136"/>
      <c r="H2" s="1136"/>
      <c r="I2" s="1136"/>
      <c r="J2" s="1136"/>
      <c r="K2" s="1136"/>
      <c r="L2" s="81"/>
    </row>
    <row r="3" spans="1:12" ht="32.25" thickTop="1">
      <c r="A3" s="81"/>
      <c r="B3" s="82"/>
      <c r="C3" s="81"/>
      <c r="D3" s="81"/>
      <c r="E3" s="81"/>
      <c r="F3" s="81"/>
      <c r="G3" s="81"/>
      <c r="H3" s="81"/>
      <c r="I3" s="81"/>
      <c r="J3" s="81"/>
      <c r="K3" s="81"/>
      <c r="L3" s="81"/>
    </row>
    <row r="4" spans="1:12" ht="26.25">
      <c r="A4" s="81"/>
      <c r="B4" s="81"/>
      <c r="C4" s="81"/>
      <c r="D4" s="81"/>
      <c r="E4" s="81"/>
      <c r="F4" s="81"/>
      <c r="G4" s="81"/>
      <c r="H4" s="81"/>
      <c r="I4" s="81"/>
      <c r="J4" s="81"/>
      <c r="K4" s="81"/>
      <c r="L4" s="81"/>
    </row>
    <row r="5" spans="1:12" ht="26.25">
      <c r="A5" s="81"/>
      <c r="B5" s="83"/>
      <c r="C5" s="84"/>
      <c r="D5" s="85"/>
      <c r="E5" s="81"/>
      <c r="F5" s="81"/>
      <c r="G5" s="81"/>
      <c r="H5" s="81"/>
      <c r="I5" s="81"/>
      <c r="J5" s="81"/>
      <c r="K5" s="81"/>
      <c r="L5" s="81"/>
    </row>
    <row r="6" spans="1:12" ht="26.25">
      <c r="A6" s="81"/>
      <c r="B6" s="83"/>
      <c r="C6" s="84"/>
      <c r="D6" s="85"/>
      <c r="E6" s="81"/>
      <c r="F6" s="81"/>
      <c r="G6" s="81"/>
      <c r="H6" s="81"/>
      <c r="I6" s="86"/>
      <c r="J6" s="81"/>
      <c r="K6" s="81"/>
      <c r="L6" s="81"/>
    </row>
    <row r="7" spans="1:12" ht="26.25">
      <c r="A7" s="81"/>
      <c r="B7" s="81"/>
      <c r="C7" s="81"/>
      <c r="D7" s="81"/>
      <c r="E7" s="81"/>
      <c r="F7" s="81"/>
      <c r="G7" s="81"/>
      <c r="H7" s="81"/>
      <c r="I7" s="81"/>
      <c r="J7" s="81"/>
      <c r="K7" s="81"/>
      <c r="L7" s="81"/>
    </row>
    <row r="8" spans="1:12" ht="26.25">
      <c r="A8" s="81"/>
      <c r="B8" s="81"/>
      <c r="C8" s="81"/>
      <c r="D8" s="81"/>
      <c r="E8" s="81"/>
      <c r="F8" s="81"/>
      <c r="G8" s="81"/>
      <c r="H8" s="81"/>
      <c r="I8" s="81"/>
      <c r="J8" s="81"/>
      <c r="K8" s="81"/>
      <c r="L8" s="81"/>
    </row>
    <row r="9" spans="1:12" ht="26.25">
      <c r="A9" s="81"/>
      <c r="B9" s="81"/>
      <c r="C9" s="81"/>
      <c r="D9" s="81"/>
      <c r="E9" s="81"/>
      <c r="F9" s="81"/>
      <c r="G9" s="81"/>
      <c r="H9" s="81"/>
      <c r="I9" s="81"/>
      <c r="J9" s="81"/>
      <c r="K9" s="81"/>
      <c r="L9" s="81"/>
    </row>
    <row r="10" spans="1:12" ht="26.25">
      <c r="A10" s="81"/>
      <c r="B10" s="81"/>
      <c r="C10" s="81"/>
      <c r="D10" s="81"/>
      <c r="E10" s="81"/>
      <c r="F10" s="81"/>
      <c r="G10" s="81"/>
      <c r="H10" s="81"/>
      <c r="I10" s="81"/>
      <c r="J10" s="81"/>
      <c r="K10" s="81"/>
      <c r="L10" s="81"/>
    </row>
    <row r="11" spans="1:12" ht="26.25">
      <c r="A11" s="81"/>
      <c r="B11" s="81"/>
      <c r="C11" s="81"/>
      <c r="D11" s="81"/>
      <c r="E11" s="81"/>
      <c r="F11" s="1137" t="s">
        <v>1493</v>
      </c>
      <c r="G11" s="1137"/>
      <c r="H11" s="81"/>
      <c r="I11" s="81"/>
      <c r="J11" s="81"/>
      <c r="K11" s="81"/>
      <c r="L11" s="81"/>
    </row>
    <row r="12" spans="1:12" ht="26.25">
      <c r="A12" s="81"/>
      <c r="B12" s="81"/>
      <c r="C12" s="81"/>
      <c r="D12" s="81"/>
      <c r="E12" s="81"/>
      <c r="F12" s="81"/>
      <c r="G12" s="81"/>
      <c r="H12" s="81"/>
      <c r="I12" s="81"/>
      <c r="J12" s="81"/>
      <c r="K12" s="81"/>
      <c r="L12" s="81"/>
    </row>
    <row r="13" spans="1:12" ht="26.25">
      <c r="A13" s="81"/>
      <c r="B13" s="81"/>
      <c r="C13" s="81"/>
      <c r="D13" s="81"/>
      <c r="E13" s="81"/>
      <c r="F13" s="81"/>
      <c r="G13" s="81"/>
      <c r="H13" s="81"/>
      <c r="I13" s="81"/>
      <c r="J13" s="81"/>
      <c r="K13" s="81"/>
      <c r="L13" s="81"/>
    </row>
    <row r="14" spans="1:12" ht="26.25">
      <c r="A14" s="81"/>
      <c r="B14" s="81"/>
      <c r="C14" s="81"/>
      <c r="D14" s="81"/>
      <c r="E14" s="81"/>
      <c r="F14" s="81"/>
      <c r="G14" s="81"/>
      <c r="H14" s="81"/>
      <c r="I14" s="81"/>
      <c r="J14" s="81"/>
      <c r="K14" s="81"/>
      <c r="L14" s="81"/>
    </row>
    <row r="15" spans="1:12" ht="26.25">
      <c r="A15" s="81"/>
      <c r="B15" s="81"/>
      <c r="C15" s="81"/>
      <c r="D15" s="81"/>
      <c r="E15" s="81"/>
      <c r="F15" s="81"/>
      <c r="G15" s="81"/>
      <c r="H15" s="81"/>
      <c r="I15" s="81"/>
      <c r="J15" s="81"/>
      <c r="K15" s="81"/>
      <c r="L15" s="81"/>
    </row>
    <row r="16" spans="1:12" ht="26.25">
      <c r="A16" s="81"/>
      <c r="B16" s="81"/>
      <c r="C16" s="81"/>
      <c r="D16" s="81"/>
      <c r="E16" s="81"/>
      <c r="F16" s="81"/>
      <c r="G16" s="81"/>
      <c r="H16" s="81"/>
      <c r="I16" s="81"/>
      <c r="J16" s="81"/>
      <c r="K16" s="81"/>
      <c r="L16" s="81"/>
    </row>
    <row r="17" spans="1:12" ht="32.25" thickBot="1">
      <c r="A17" s="81"/>
      <c r="B17" s="81"/>
      <c r="C17" s="81"/>
      <c r="D17" s="81"/>
      <c r="E17" s="81"/>
      <c r="F17" s="1138" t="s">
        <v>9</v>
      </c>
      <c r="G17" s="1138"/>
      <c r="H17" s="81"/>
      <c r="I17" s="81"/>
      <c r="J17" s="81"/>
      <c r="K17" s="81"/>
      <c r="L17" s="81"/>
    </row>
    <row r="18" spans="1:12" ht="27" thickTop="1">
      <c r="A18" s="81"/>
      <c r="B18" s="81"/>
      <c r="C18" s="81"/>
      <c r="D18" s="81"/>
      <c r="E18" s="81"/>
      <c r="F18" s="81"/>
      <c r="G18" s="81"/>
      <c r="H18" s="81"/>
      <c r="I18" s="81"/>
      <c r="J18" s="81"/>
      <c r="K18" s="81"/>
      <c r="L18" s="81"/>
    </row>
    <row r="19" spans="1:12" ht="26.25">
      <c r="A19" s="81"/>
      <c r="B19" s="81"/>
      <c r="C19" s="81"/>
      <c r="D19" s="81"/>
      <c r="E19" s="81"/>
      <c r="F19" s="81"/>
      <c r="G19" s="81"/>
      <c r="H19" s="81"/>
      <c r="I19" s="81"/>
      <c r="J19" s="81"/>
      <c r="K19" s="81"/>
      <c r="L19" s="81"/>
    </row>
    <row r="20" spans="1:12" ht="26.25">
      <c r="A20" s="81"/>
      <c r="B20" s="81"/>
      <c r="C20" s="81"/>
      <c r="D20" s="81"/>
      <c r="E20" s="81"/>
      <c r="F20" s="81"/>
      <c r="G20" s="81"/>
      <c r="H20" s="81"/>
      <c r="I20" s="81"/>
      <c r="J20" s="81"/>
      <c r="K20" s="81"/>
      <c r="L20" s="81"/>
    </row>
    <row r="21" spans="1:12" ht="26.25">
      <c r="A21" s="81"/>
      <c r="B21" s="81"/>
      <c r="C21" s="81"/>
      <c r="D21" s="81"/>
      <c r="E21" s="81"/>
      <c r="F21" s="81"/>
      <c r="G21" s="81"/>
      <c r="H21" s="81"/>
      <c r="I21" s="81"/>
      <c r="J21" s="81"/>
      <c r="K21" s="81"/>
      <c r="L21" s="81"/>
    </row>
    <row r="22" spans="1:12" ht="26.25">
      <c r="A22" s="81"/>
      <c r="B22" s="81"/>
      <c r="C22" s="81"/>
      <c r="D22" s="81"/>
      <c r="E22" s="81"/>
      <c r="F22" s="81"/>
      <c r="G22" s="81"/>
      <c r="H22" s="81"/>
      <c r="I22" s="81"/>
      <c r="J22" s="81"/>
      <c r="K22" s="81"/>
      <c r="L22" s="81"/>
    </row>
  </sheetData>
  <mergeCells count="3">
    <mergeCell ref="B2:K2"/>
    <mergeCell ref="F11:G11"/>
    <mergeCell ref="F17:G17"/>
  </mergeCells>
  <phoneticPr fontId="34" type="noConversion"/>
  <pageMargins left="0.31496062992125984" right="0.31496062992125984" top="0.31496062992125984" bottom="0.31496062992125984"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26"/>
  <sheetViews>
    <sheetView zoomScaleNormal="100" workbookViewId="0">
      <selection activeCell="B1" sqref="B1:O1"/>
    </sheetView>
  </sheetViews>
  <sheetFormatPr defaultRowHeight="18" customHeight="1"/>
  <cols>
    <col min="1" max="1" width="1" style="7" customWidth="1"/>
    <col min="2" max="16384" width="9" style="7"/>
  </cols>
  <sheetData>
    <row r="1" spans="1:15" ht="30" customHeight="1" thickBot="1">
      <c r="A1" s="6"/>
      <c r="B1" s="1139" t="s">
        <v>1717</v>
      </c>
      <c r="C1" s="1139"/>
      <c r="D1" s="1139"/>
      <c r="E1" s="1139"/>
      <c r="F1" s="1139"/>
      <c r="G1" s="1139"/>
      <c r="H1" s="1139"/>
      <c r="I1" s="1139"/>
      <c r="J1" s="1139"/>
      <c r="K1" s="1139"/>
      <c r="L1" s="1139"/>
      <c r="M1" s="1139"/>
      <c r="N1" s="1139"/>
      <c r="O1" s="1139"/>
    </row>
    <row r="2" spans="1:15" ht="18" customHeight="1" thickTop="1" thickBot="1">
      <c r="A2" s="5"/>
      <c r="B2" s="37"/>
      <c r="C2" s="37"/>
      <c r="D2" s="5"/>
      <c r="E2" s="5"/>
      <c r="F2" s="6"/>
      <c r="G2" s="6"/>
      <c r="H2" s="6"/>
      <c r="I2" s="6"/>
      <c r="J2" s="6"/>
      <c r="K2" s="5"/>
      <c r="L2" s="5"/>
      <c r="M2" s="5"/>
      <c r="N2" s="5"/>
      <c r="O2" s="5"/>
    </row>
    <row r="3" spans="1:15" s="100" customFormat="1" ht="18" customHeight="1">
      <c r="A3" s="95"/>
      <c r="B3" s="96" t="s">
        <v>10</v>
      </c>
      <c r="C3" s="97"/>
      <c r="D3" s="97"/>
      <c r="E3" s="97"/>
      <c r="F3" s="97"/>
      <c r="G3" s="98"/>
      <c r="H3" s="98"/>
      <c r="I3" s="98"/>
      <c r="J3" s="98"/>
      <c r="K3" s="98"/>
      <c r="L3" s="98"/>
      <c r="M3" s="98"/>
      <c r="N3" s="98"/>
      <c r="O3" s="99"/>
    </row>
    <row r="4" spans="1:15" ht="18" customHeight="1">
      <c r="A4" s="6"/>
      <c r="B4" s="87" t="s">
        <v>11</v>
      </c>
      <c r="C4" s="88"/>
      <c r="D4" s="88"/>
      <c r="E4" s="88"/>
      <c r="F4" s="88"/>
      <c r="G4" s="89"/>
      <c r="H4" s="89"/>
      <c r="I4" s="89"/>
      <c r="J4" s="89"/>
      <c r="K4" s="89"/>
      <c r="L4" s="89"/>
      <c r="M4" s="89"/>
      <c r="N4" s="89"/>
      <c r="O4" s="90"/>
    </row>
    <row r="5" spans="1:15" ht="18" customHeight="1">
      <c r="A5" s="6"/>
      <c r="B5" s="87" t="s">
        <v>38</v>
      </c>
      <c r="C5" s="88"/>
      <c r="D5" s="88"/>
      <c r="E5" s="88"/>
      <c r="F5" s="88"/>
      <c r="G5" s="89"/>
      <c r="H5" s="89"/>
      <c r="I5" s="89"/>
      <c r="J5" s="89"/>
      <c r="K5" s="89"/>
      <c r="L5" s="89"/>
      <c r="M5" s="89"/>
      <c r="N5" s="89"/>
      <c r="O5" s="90"/>
    </row>
    <row r="6" spans="1:15" ht="18" customHeight="1">
      <c r="A6" s="6"/>
      <c r="B6" s="223" t="s">
        <v>35</v>
      </c>
      <c r="C6" s="88"/>
      <c r="D6" s="88"/>
      <c r="E6" s="88"/>
      <c r="F6" s="88"/>
      <c r="G6" s="89"/>
      <c r="H6" s="89"/>
      <c r="I6" s="89"/>
      <c r="J6" s="89"/>
      <c r="K6" s="89"/>
      <c r="L6" s="89"/>
      <c r="M6" s="89"/>
      <c r="N6" s="89"/>
      <c r="O6" s="90"/>
    </row>
    <row r="7" spans="1:15" ht="18" customHeight="1">
      <c r="A7" s="6"/>
      <c r="B7" s="87"/>
      <c r="C7" s="88"/>
      <c r="D7" s="88"/>
      <c r="E7" s="88"/>
      <c r="F7" s="88"/>
      <c r="G7" s="89"/>
      <c r="H7" s="89"/>
      <c r="I7" s="89"/>
      <c r="J7" s="89"/>
      <c r="K7" s="89"/>
      <c r="L7" s="89"/>
      <c r="M7" s="89"/>
      <c r="N7" s="89"/>
      <c r="O7" s="90"/>
    </row>
    <row r="8" spans="1:15" s="100" customFormat="1" ht="18" customHeight="1">
      <c r="A8" s="95"/>
      <c r="B8" s="101" t="s">
        <v>12</v>
      </c>
      <c r="C8" s="102"/>
      <c r="D8" s="102"/>
      <c r="E8" s="102"/>
      <c r="F8" s="102"/>
      <c r="G8" s="103"/>
      <c r="H8" s="103"/>
      <c r="I8" s="103"/>
      <c r="J8" s="103"/>
      <c r="K8" s="103"/>
      <c r="L8" s="103"/>
      <c r="M8" s="103"/>
      <c r="N8" s="103"/>
      <c r="O8" s="104"/>
    </row>
    <row r="9" spans="1:15" ht="18" customHeight="1">
      <c r="A9" s="6"/>
      <c r="B9" s="87" t="s">
        <v>13</v>
      </c>
      <c r="C9" s="88"/>
      <c r="D9" s="88"/>
      <c r="E9" s="88"/>
      <c r="F9" s="88"/>
      <c r="G9" s="89"/>
      <c r="H9" s="89"/>
      <c r="I9" s="89"/>
      <c r="J9" s="89"/>
      <c r="K9" s="89"/>
      <c r="L9" s="89"/>
      <c r="M9" s="89"/>
      <c r="N9" s="89"/>
      <c r="O9" s="90"/>
    </row>
    <row r="10" spans="1:15" ht="18" customHeight="1">
      <c r="A10" s="6"/>
      <c r="B10" s="223" t="s">
        <v>68</v>
      </c>
      <c r="C10" s="88"/>
      <c r="D10" s="88"/>
      <c r="E10" s="88"/>
      <c r="F10" s="88"/>
      <c r="G10" s="89"/>
      <c r="H10" s="89"/>
      <c r="I10" s="89"/>
      <c r="J10" s="89"/>
      <c r="K10" s="89"/>
      <c r="L10" s="89"/>
      <c r="M10" s="89"/>
      <c r="N10" s="89"/>
      <c r="O10" s="90"/>
    </row>
    <row r="11" spans="1:15" ht="18" customHeight="1">
      <c r="A11" s="6"/>
      <c r="B11" s="87" t="s">
        <v>69</v>
      </c>
      <c r="C11" s="88"/>
      <c r="D11" s="88"/>
      <c r="E11" s="88"/>
      <c r="F11" s="88"/>
      <c r="G11" s="89"/>
      <c r="H11" s="89"/>
      <c r="I11" s="89"/>
      <c r="J11" s="89"/>
      <c r="K11" s="89"/>
      <c r="L11" s="89"/>
      <c r="M11" s="89"/>
      <c r="N11" s="89"/>
      <c r="O11" s="90"/>
    </row>
    <row r="12" spans="1:15" ht="18" customHeight="1">
      <c r="A12" s="6"/>
      <c r="B12" s="223" t="s">
        <v>36</v>
      </c>
      <c r="C12" s="88"/>
      <c r="D12" s="88"/>
      <c r="E12" s="88"/>
      <c r="F12" s="88"/>
      <c r="G12" s="89"/>
      <c r="H12" s="89"/>
      <c r="I12" s="89"/>
      <c r="J12" s="89"/>
      <c r="K12" s="89"/>
      <c r="L12" s="89"/>
      <c r="M12" s="89"/>
      <c r="N12" s="89"/>
      <c r="O12" s="90"/>
    </row>
    <row r="13" spans="1:15" ht="18" customHeight="1">
      <c r="A13" s="6"/>
      <c r="B13" s="87" t="s">
        <v>14</v>
      </c>
      <c r="C13" s="88"/>
      <c r="D13" s="88"/>
      <c r="E13" s="88"/>
      <c r="F13" s="88"/>
      <c r="G13" s="89"/>
      <c r="H13" s="89"/>
      <c r="I13" s="89"/>
      <c r="J13" s="89"/>
      <c r="K13" s="89"/>
      <c r="L13" s="89"/>
      <c r="M13" s="89"/>
      <c r="N13" s="89"/>
      <c r="O13" s="90"/>
    </row>
    <row r="14" spans="1:15" ht="18" customHeight="1">
      <c r="A14" s="6"/>
      <c r="B14" s="87"/>
      <c r="C14" s="88"/>
      <c r="D14" s="88"/>
      <c r="E14" s="88"/>
      <c r="F14" s="88"/>
      <c r="G14" s="89"/>
      <c r="H14" s="89"/>
      <c r="I14" s="89"/>
      <c r="J14" s="89"/>
      <c r="K14" s="89"/>
      <c r="L14" s="89"/>
      <c r="M14" s="89"/>
      <c r="N14" s="89"/>
      <c r="O14" s="90"/>
    </row>
    <row r="15" spans="1:15" s="100" customFormat="1" ht="18" customHeight="1">
      <c r="A15" s="95"/>
      <c r="B15" s="101" t="s">
        <v>15</v>
      </c>
      <c r="C15" s="102"/>
      <c r="D15" s="102"/>
      <c r="E15" s="102"/>
      <c r="F15" s="102"/>
      <c r="G15" s="103"/>
      <c r="H15" s="103"/>
      <c r="I15" s="103"/>
      <c r="J15" s="103"/>
      <c r="K15" s="103"/>
      <c r="L15" s="103"/>
      <c r="M15" s="103"/>
      <c r="N15" s="103"/>
      <c r="O15" s="104"/>
    </row>
    <row r="16" spans="1:15" ht="18" customHeight="1">
      <c r="A16" s="6"/>
      <c r="B16" s="87" t="s">
        <v>16</v>
      </c>
      <c r="C16" s="88"/>
      <c r="D16" s="88"/>
      <c r="E16" s="88"/>
      <c r="F16" s="88"/>
      <c r="G16" s="89"/>
      <c r="H16" s="89"/>
      <c r="I16" s="89"/>
      <c r="J16" s="89"/>
      <c r="K16" s="89"/>
      <c r="L16" s="89"/>
      <c r="M16" s="89"/>
      <c r="N16" s="89"/>
      <c r="O16" s="90"/>
    </row>
    <row r="17" spans="1:15" ht="18" customHeight="1">
      <c r="A17" s="6"/>
      <c r="B17" s="87" t="s">
        <v>22</v>
      </c>
      <c r="C17" s="88"/>
      <c r="D17" s="88"/>
      <c r="E17" s="88"/>
      <c r="F17" s="88"/>
      <c r="G17" s="89"/>
      <c r="H17" s="89"/>
      <c r="I17" s="89"/>
      <c r="J17" s="89"/>
      <c r="K17" s="89"/>
      <c r="L17" s="89"/>
      <c r="M17" s="89"/>
      <c r="N17" s="89"/>
      <c r="O17" s="90"/>
    </row>
    <row r="18" spans="1:15" ht="18" customHeight="1">
      <c r="A18" s="6"/>
      <c r="B18" s="87" t="s">
        <v>17</v>
      </c>
      <c r="C18" s="88"/>
      <c r="D18" s="88"/>
      <c r="E18" s="88"/>
      <c r="F18" s="88"/>
      <c r="G18" s="89"/>
      <c r="H18" s="89"/>
      <c r="I18" s="89"/>
      <c r="J18" s="89"/>
      <c r="K18" s="89"/>
      <c r="L18" s="89"/>
      <c r="M18" s="89"/>
      <c r="N18" s="89"/>
      <c r="O18" s="90"/>
    </row>
    <row r="19" spans="1:15" ht="18" customHeight="1">
      <c r="A19" s="6"/>
      <c r="B19" s="87"/>
      <c r="C19" s="88"/>
      <c r="D19" s="88"/>
      <c r="E19" s="88"/>
      <c r="F19" s="88"/>
      <c r="G19" s="89"/>
      <c r="H19" s="89"/>
      <c r="I19" s="89"/>
      <c r="J19" s="89"/>
      <c r="K19" s="89"/>
      <c r="L19" s="89"/>
      <c r="M19" s="89"/>
      <c r="N19" s="89"/>
      <c r="O19" s="90"/>
    </row>
    <row r="20" spans="1:15" s="100" customFormat="1" ht="18" customHeight="1">
      <c r="A20" s="95"/>
      <c r="B20" s="101" t="s">
        <v>18</v>
      </c>
      <c r="C20" s="102"/>
      <c r="D20" s="102"/>
      <c r="E20" s="102"/>
      <c r="F20" s="102"/>
      <c r="G20" s="103"/>
      <c r="H20" s="103"/>
      <c r="I20" s="103"/>
      <c r="J20" s="103"/>
      <c r="K20" s="103"/>
      <c r="L20" s="103"/>
      <c r="M20" s="103"/>
      <c r="N20" s="103"/>
      <c r="O20" s="104"/>
    </row>
    <row r="21" spans="1:15" ht="18" customHeight="1">
      <c r="A21" s="6"/>
      <c r="B21" s="87" t="s">
        <v>19</v>
      </c>
      <c r="C21" s="88"/>
      <c r="D21" s="88"/>
      <c r="E21" s="88"/>
      <c r="F21" s="88"/>
      <c r="G21" s="89"/>
      <c r="H21" s="89"/>
      <c r="I21" s="89"/>
      <c r="J21" s="89"/>
      <c r="K21" s="89"/>
      <c r="L21" s="89"/>
      <c r="M21" s="89"/>
      <c r="N21" s="89"/>
      <c r="O21" s="90"/>
    </row>
    <row r="22" spans="1:15" ht="18" customHeight="1">
      <c r="A22" s="6"/>
      <c r="B22" s="87" t="s">
        <v>20</v>
      </c>
      <c r="C22" s="88"/>
      <c r="D22" s="88"/>
      <c r="E22" s="88"/>
      <c r="F22" s="88"/>
      <c r="G22" s="89"/>
      <c r="H22" s="89"/>
      <c r="I22" s="89"/>
      <c r="J22" s="89"/>
      <c r="K22" s="89"/>
      <c r="L22" s="89"/>
      <c r="M22" s="89"/>
      <c r="N22" s="89"/>
      <c r="O22" s="90"/>
    </row>
    <row r="23" spans="1:15" ht="18" customHeight="1">
      <c r="A23" s="6"/>
      <c r="B23" s="223" t="s">
        <v>37</v>
      </c>
      <c r="C23" s="88"/>
      <c r="D23" s="88"/>
      <c r="E23" s="88"/>
      <c r="F23" s="88"/>
      <c r="G23" s="89"/>
      <c r="H23" s="89"/>
      <c r="I23" s="89"/>
      <c r="J23" s="89"/>
      <c r="K23" s="89"/>
      <c r="L23" s="89"/>
      <c r="M23" s="89"/>
      <c r="N23" s="89"/>
      <c r="O23" s="90"/>
    </row>
    <row r="24" spans="1:15" ht="18" customHeight="1">
      <c r="A24" s="6"/>
      <c r="B24" s="87" t="s">
        <v>368</v>
      </c>
      <c r="C24" s="88"/>
      <c r="D24" s="88"/>
      <c r="E24" s="88"/>
      <c r="F24" s="88"/>
      <c r="G24" s="89"/>
      <c r="H24" s="89"/>
      <c r="I24" s="89"/>
      <c r="J24" s="89"/>
      <c r="K24" s="89"/>
      <c r="L24" s="89"/>
      <c r="M24" s="89"/>
      <c r="N24" s="89"/>
      <c r="O24" s="90"/>
    </row>
    <row r="25" spans="1:15" ht="18" customHeight="1">
      <c r="A25" s="6"/>
      <c r="B25" s="87" t="s">
        <v>23</v>
      </c>
      <c r="C25" s="88"/>
      <c r="D25" s="88"/>
      <c r="E25" s="88"/>
      <c r="F25" s="88"/>
      <c r="G25" s="89"/>
      <c r="H25" s="89"/>
      <c r="I25" s="89"/>
      <c r="J25" s="89"/>
      <c r="K25" s="89"/>
      <c r="L25" s="89"/>
      <c r="M25" s="89"/>
      <c r="N25" s="89"/>
      <c r="O25" s="90"/>
    </row>
    <row r="26" spans="1:15" ht="18" customHeight="1" thickBot="1">
      <c r="A26" s="6"/>
      <c r="B26" s="91" t="s">
        <v>21</v>
      </c>
      <c r="C26" s="92"/>
      <c r="D26" s="92"/>
      <c r="E26" s="92"/>
      <c r="F26" s="92"/>
      <c r="G26" s="93"/>
      <c r="H26" s="93"/>
      <c r="I26" s="93"/>
      <c r="J26" s="93"/>
      <c r="K26" s="93"/>
      <c r="L26" s="93"/>
      <c r="M26" s="93"/>
      <c r="N26" s="93"/>
      <c r="O26" s="94"/>
    </row>
  </sheetData>
  <mergeCells count="1">
    <mergeCell ref="B1:O1"/>
  </mergeCells>
  <phoneticPr fontId="34" type="noConversion"/>
  <pageMargins left="0.31496062992125984" right="0.31496062992125984" top="0.31496062992125984" bottom="0.31496062992125984"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R5"/>
  <sheetViews>
    <sheetView zoomScaleNormal="100" workbookViewId="0">
      <selection activeCell="E13" sqref="E13"/>
    </sheetView>
  </sheetViews>
  <sheetFormatPr defaultRowHeight="18" customHeight="1"/>
  <cols>
    <col min="1" max="1" width="1" style="226" customWidth="1"/>
    <col min="2" max="8" width="9" style="226"/>
    <col min="9" max="14" width="9" style="226" customWidth="1"/>
    <col min="15" max="17" width="9" style="226"/>
    <col min="18" max="18" width="17" style="226" customWidth="1"/>
    <col min="19" max="16384" width="9" style="226"/>
  </cols>
  <sheetData>
    <row r="1" spans="2:18" customFormat="1" ht="30" customHeight="1" thickBot="1">
      <c r="B1" s="1140" t="s">
        <v>803</v>
      </c>
      <c r="C1" s="1140"/>
      <c r="D1" s="1140"/>
      <c r="E1" s="1140"/>
      <c r="F1" s="1140"/>
      <c r="G1" s="1140"/>
      <c r="H1" s="1140"/>
      <c r="I1" s="1140"/>
      <c r="J1" s="1140"/>
      <c r="K1" s="1140"/>
      <c r="L1" s="1140"/>
      <c r="M1" s="1140"/>
      <c r="N1" s="1140"/>
      <c r="O1" s="1140"/>
      <c r="P1" s="1140"/>
      <c r="Q1" s="1140"/>
      <c r="R1" s="1140"/>
    </row>
    <row r="2" spans="2:18" ht="18" customHeight="1" thickTop="1"/>
    <row r="3" spans="2:18" ht="18" customHeight="1">
      <c r="B3" s="363" t="s">
        <v>314</v>
      </c>
    </row>
    <row r="4" spans="2:18" ht="18" customHeight="1">
      <c r="B4" s="363" t="s">
        <v>620</v>
      </c>
    </row>
    <row r="5" spans="2:18" ht="18" customHeight="1">
      <c r="B5" s="363"/>
    </row>
  </sheetData>
  <mergeCells count="1">
    <mergeCell ref="B1:R1"/>
  </mergeCells>
  <phoneticPr fontId="99" type="noConversion"/>
  <printOptions horizontalCentered="1"/>
  <pageMargins left="0.31496062992125984" right="0.31496062992125984" top="0.31496062992125984" bottom="0.19685039370078741" header="0" footer="0"/>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S8"/>
  <sheetViews>
    <sheetView zoomScaleNormal="100" workbookViewId="0">
      <selection activeCell="B1" sqref="B1:R1"/>
    </sheetView>
  </sheetViews>
  <sheetFormatPr defaultRowHeight="18" customHeight="1"/>
  <cols>
    <col min="1" max="1" width="1" style="226" customWidth="1"/>
    <col min="2" max="8" width="9" style="226"/>
    <col min="9" max="14" width="9" style="226" customWidth="1"/>
    <col min="15" max="17" width="9" style="226"/>
    <col min="18" max="18" width="17" style="226" customWidth="1"/>
    <col min="19" max="16384" width="9" style="226"/>
  </cols>
  <sheetData>
    <row r="1" spans="2:19" customFormat="1" ht="30" customHeight="1" thickBot="1">
      <c r="B1" s="1140" t="s">
        <v>1718</v>
      </c>
      <c r="C1" s="1140"/>
      <c r="D1" s="1140"/>
      <c r="E1" s="1140"/>
      <c r="F1" s="1140"/>
      <c r="G1" s="1140"/>
      <c r="H1" s="1140"/>
      <c r="I1" s="1140"/>
      <c r="J1" s="1140"/>
      <c r="K1" s="1140"/>
      <c r="L1" s="1140"/>
      <c r="M1" s="1140"/>
      <c r="N1" s="1140"/>
      <c r="O1" s="1140"/>
      <c r="P1" s="1140"/>
      <c r="Q1" s="1140"/>
      <c r="R1" s="1140"/>
    </row>
    <row r="2" spans="2:19" ht="18" customHeight="1" thickTop="1"/>
    <row r="3" spans="2:19" ht="18" customHeight="1">
      <c r="B3" s="363" t="s">
        <v>908</v>
      </c>
    </row>
    <row r="4" spans="2:19" ht="18" customHeight="1">
      <c r="B4" s="363" t="s">
        <v>1719</v>
      </c>
    </row>
    <row r="5" spans="2:19" ht="18" customHeight="1" thickBot="1">
      <c r="B5" s="363"/>
    </row>
    <row r="6" spans="2:19" ht="18" customHeight="1">
      <c r="B6" s="1141" t="s">
        <v>909</v>
      </c>
      <c r="C6" s="1142"/>
      <c r="D6" s="1142" t="s">
        <v>910</v>
      </c>
      <c r="E6" s="1142"/>
      <c r="F6" s="1142"/>
      <c r="G6" s="1142" t="s">
        <v>911</v>
      </c>
      <c r="H6" s="1142"/>
      <c r="I6" s="1142" t="s">
        <v>912</v>
      </c>
      <c r="J6" s="1142"/>
      <c r="K6" s="1142"/>
      <c r="L6" s="1142"/>
      <c r="M6" s="1142"/>
      <c r="N6" s="1142" t="s">
        <v>913</v>
      </c>
      <c r="O6" s="1142"/>
      <c r="P6" s="1142"/>
      <c r="Q6" s="1142"/>
      <c r="R6" s="1143"/>
    </row>
    <row r="7" spans="2:19" s="965" customFormat="1" ht="18" customHeight="1">
      <c r="B7" s="1150" t="s">
        <v>1757</v>
      </c>
      <c r="C7" s="1151"/>
      <c r="D7" s="1154" t="s">
        <v>1749</v>
      </c>
      <c r="E7" s="1154"/>
      <c r="F7" s="1154"/>
      <c r="G7" s="1155" t="s">
        <v>1750</v>
      </c>
      <c r="H7" s="1155"/>
      <c r="I7" s="1156" t="s">
        <v>1751</v>
      </c>
      <c r="J7" s="1157"/>
      <c r="K7" s="1157"/>
      <c r="L7" s="1157"/>
      <c r="M7" s="1158"/>
      <c r="N7" s="1157" t="s">
        <v>1752</v>
      </c>
      <c r="O7" s="1157"/>
      <c r="P7" s="1157"/>
      <c r="Q7" s="1157"/>
      <c r="R7" s="1159"/>
      <c r="S7" s="964"/>
    </row>
    <row r="8" spans="2:19" s="965" customFormat="1" ht="18" customHeight="1" thickBot="1">
      <c r="B8" s="1152"/>
      <c r="C8" s="1153"/>
      <c r="D8" s="1144" t="s">
        <v>1753</v>
      </c>
      <c r="E8" s="1144"/>
      <c r="F8" s="1144"/>
      <c r="G8" s="1145" t="s">
        <v>1754</v>
      </c>
      <c r="H8" s="1145"/>
      <c r="I8" s="1146" t="s">
        <v>1755</v>
      </c>
      <c r="J8" s="1147"/>
      <c r="K8" s="1147"/>
      <c r="L8" s="1147"/>
      <c r="M8" s="1148"/>
      <c r="N8" s="1146" t="s">
        <v>1756</v>
      </c>
      <c r="O8" s="1147"/>
      <c r="P8" s="1147"/>
      <c r="Q8" s="1147"/>
      <c r="R8" s="1149"/>
      <c r="S8" s="964"/>
    </row>
  </sheetData>
  <mergeCells count="15">
    <mergeCell ref="D8:F8"/>
    <mergeCell ref="G8:H8"/>
    <mergeCell ref="I8:M8"/>
    <mergeCell ref="N8:R8"/>
    <mergeCell ref="B7:C8"/>
    <mergeCell ref="D7:F7"/>
    <mergeCell ref="G7:H7"/>
    <mergeCell ref="I7:M7"/>
    <mergeCell ref="N7:R7"/>
    <mergeCell ref="B1:R1"/>
    <mergeCell ref="B6:C6"/>
    <mergeCell ref="D6:F6"/>
    <mergeCell ref="G6:H6"/>
    <mergeCell ref="I6:M6"/>
    <mergeCell ref="N6:R6"/>
  </mergeCells>
  <phoneticPr fontId="99" type="noConversion"/>
  <printOptions horizontalCentered="1"/>
  <pageMargins left="0.31496062992125984" right="0.31496062992125984" top="0.31496062992125984" bottom="0.19685039370078741" header="0" footer="0"/>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P28"/>
  <sheetViews>
    <sheetView zoomScaleNormal="100" workbookViewId="0">
      <pane ySplit="1" topLeftCell="A2" activePane="bottomLeft" state="frozen"/>
      <selection pane="bottomLeft"/>
    </sheetView>
  </sheetViews>
  <sheetFormatPr defaultRowHeight="16.5"/>
  <cols>
    <col min="1" max="1" width="1" style="147" customWidth="1"/>
    <col min="2" max="3" width="10.625" style="147" customWidth="1"/>
    <col min="4" max="4" width="10.25" style="147" customWidth="1"/>
    <col min="5" max="5" width="8" style="147" customWidth="1"/>
    <col min="6" max="9" width="10.25" style="147" customWidth="1"/>
    <col min="10" max="15" width="10.625" style="147" customWidth="1"/>
    <col min="16" max="16384" width="9" style="147"/>
  </cols>
  <sheetData>
    <row r="1" spans="1:16" s="692" customFormat="1" ht="30" customHeight="1" thickBot="1">
      <c r="A1" s="691"/>
      <c r="B1" s="1140" t="s">
        <v>1758</v>
      </c>
      <c r="C1" s="1140"/>
      <c r="D1" s="1140"/>
      <c r="E1" s="1140"/>
      <c r="F1" s="1140"/>
      <c r="G1" s="1140"/>
      <c r="H1" s="1140"/>
      <c r="I1" s="1140"/>
      <c r="J1" s="1140"/>
      <c r="K1" s="1140"/>
      <c r="L1" s="1140"/>
      <c r="M1" s="1140"/>
      <c r="N1" s="1140"/>
      <c r="O1" s="1140"/>
    </row>
    <row r="2" spans="1:16" s="73" customFormat="1" ht="18" customHeight="1" thickTop="1">
      <c r="B2" s="67"/>
      <c r="C2" s="67"/>
      <c r="D2" s="68"/>
      <c r="E2" s="68"/>
      <c r="F2" s="69"/>
      <c r="G2" s="69"/>
      <c r="H2" s="69"/>
      <c r="I2" s="69"/>
      <c r="J2" s="69"/>
      <c r="K2" s="68"/>
      <c r="L2" s="68"/>
      <c r="M2" s="68"/>
      <c r="N2" s="68"/>
      <c r="O2" s="68"/>
    </row>
    <row r="3" spans="1:16" s="73" customFormat="1" ht="18" customHeight="1" thickBot="1">
      <c r="B3" s="70" t="s">
        <v>1759</v>
      </c>
      <c r="C3" s="68"/>
      <c r="D3" s="68"/>
      <c r="E3" s="68"/>
      <c r="F3" s="69"/>
      <c r="G3" s="69"/>
      <c r="H3" s="69"/>
      <c r="I3" s="69"/>
      <c r="J3" s="69"/>
      <c r="K3" s="69"/>
      <c r="L3" s="69"/>
      <c r="M3" s="69"/>
      <c r="N3" s="69"/>
      <c r="O3" s="69"/>
    </row>
    <row r="4" spans="1:16" s="73" customFormat="1" ht="18" customHeight="1">
      <c r="B4" s="1165" t="s">
        <v>1760</v>
      </c>
      <c r="C4" s="1166"/>
      <c r="D4" s="1166" t="s">
        <v>1761</v>
      </c>
      <c r="E4" s="1166"/>
      <c r="F4" s="1166"/>
      <c r="G4" s="1166"/>
      <c r="H4" s="1166"/>
      <c r="I4" s="1166"/>
      <c r="J4" s="1166" t="s">
        <v>1762</v>
      </c>
      <c r="K4" s="1166"/>
      <c r="L4" s="1166"/>
      <c r="M4" s="1166"/>
      <c r="N4" s="1166"/>
      <c r="O4" s="1167"/>
    </row>
    <row r="5" spans="1:16" s="73" customFormat="1" ht="18" customHeight="1">
      <c r="B5" s="1168" t="s">
        <v>1763</v>
      </c>
      <c r="C5" s="1169"/>
      <c r="D5" s="1170" t="s">
        <v>1764</v>
      </c>
      <c r="E5" s="1170"/>
      <c r="F5" s="1170"/>
      <c r="G5" s="1170"/>
      <c r="H5" s="1170"/>
      <c r="I5" s="1170"/>
      <c r="J5" s="1170" t="s">
        <v>1765</v>
      </c>
      <c r="K5" s="1170"/>
      <c r="L5" s="1170"/>
      <c r="M5" s="1170"/>
      <c r="N5" s="1170"/>
      <c r="O5" s="1171"/>
    </row>
    <row r="6" spans="1:16" s="73" customFormat="1" ht="18" customHeight="1">
      <c r="B6" s="1168"/>
      <c r="C6" s="1169"/>
      <c r="D6" s="1170"/>
      <c r="E6" s="1170"/>
      <c r="F6" s="1170"/>
      <c r="G6" s="1170"/>
      <c r="H6" s="1170"/>
      <c r="I6" s="1170"/>
      <c r="J6" s="1088" t="s">
        <v>1766</v>
      </c>
      <c r="K6" s="1088" t="s">
        <v>73</v>
      </c>
      <c r="L6" s="1088" t="s">
        <v>1767</v>
      </c>
      <c r="M6" s="1088" t="s">
        <v>1768</v>
      </c>
      <c r="N6" s="1088" t="s">
        <v>76</v>
      </c>
      <c r="O6" s="693" t="s">
        <v>1769</v>
      </c>
    </row>
    <row r="7" spans="1:16" s="73" customFormat="1" ht="18" customHeight="1">
      <c r="B7" s="1168"/>
      <c r="C7" s="1169"/>
      <c r="D7" s="1170"/>
      <c r="E7" s="1170"/>
      <c r="F7" s="1170"/>
      <c r="G7" s="1170"/>
      <c r="H7" s="1170"/>
      <c r="I7" s="1170"/>
      <c r="J7" s="1088" t="s">
        <v>1770</v>
      </c>
      <c r="K7" s="1089">
        <v>12</v>
      </c>
      <c r="L7" s="1089">
        <v>4</v>
      </c>
      <c r="M7" s="1089">
        <v>2</v>
      </c>
      <c r="N7" s="1089">
        <v>1</v>
      </c>
      <c r="O7" s="1090">
        <v>1</v>
      </c>
    </row>
    <row r="8" spans="1:16" s="73" customFormat="1" ht="18" customHeight="1" thickBot="1">
      <c r="B8" s="1160" t="s">
        <v>1771</v>
      </c>
      <c r="C8" s="1161"/>
      <c r="D8" s="1172" t="s">
        <v>1772</v>
      </c>
      <c r="E8" s="1172"/>
      <c r="F8" s="1172"/>
      <c r="G8" s="1172"/>
      <c r="H8" s="1172"/>
      <c r="I8" s="1172"/>
      <c r="J8" s="1172"/>
      <c r="K8" s="1172"/>
      <c r="L8" s="1172"/>
      <c r="M8" s="1172"/>
      <c r="N8" s="1172"/>
      <c r="O8" s="1173"/>
    </row>
    <row r="9" spans="1:16" s="73" customFormat="1" ht="18" customHeight="1">
      <c r="B9" s="143"/>
      <c r="C9" s="142"/>
      <c r="D9" s="142"/>
      <c r="E9" s="142"/>
      <c r="F9" s="142"/>
      <c r="G9" s="143"/>
      <c r="H9" s="143"/>
      <c r="I9" s="143"/>
      <c r="J9" s="143"/>
      <c r="K9" s="143"/>
      <c r="L9" s="143"/>
      <c r="M9" s="143"/>
      <c r="N9" s="143"/>
      <c r="O9" s="143"/>
    </row>
    <row r="10" spans="1:16" s="73" customFormat="1" ht="18" customHeight="1" thickBot="1">
      <c r="B10" s="52" t="s">
        <v>1773</v>
      </c>
      <c r="C10" s="68"/>
      <c r="D10" s="68"/>
      <c r="E10" s="68"/>
      <c r="F10" s="69"/>
      <c r="G10" s="69"/>
      <c r="H10" s="69"/>
      <c r="I10" s="69"/>
      <c r="J10" s="69"/>
      <c r="K10" s="69"/>
      <c r="L10" s="69"/>
      <c r="M10" s="69"/>
      <c r="N10" s="69"/>
      <c r="O10" s="69"/>
    </row>
    <row r="11" spans="1:16" s="73" customFormat="1" ht="18" customHeight="1">
      <c r="B11" s="1165" t="s">
        <v>1760</v>
      </c>
      <c r="C11" s="1166"/>
      <c r="D11" s="1174" t="s">
        <v>1761</v>
      </c>
      <c r="E11" s="1175"/>
      <c r="F11" s="1175"/>
      <c r="G11" s="1175"/>
      <c r="H11" s="1175"/>
      <c r="I11" s="1175"/>
      <c r="J11" s="1175"/>
      <c r="K11" s="1175"/>
      <c r="L11" s="1175"/>
      <c r="M11" s="1175"/>
      <c r="N11" s="1175"/>
      <c r="O11" s="1176"/>
    </row>
    <row r="12" spans="1:16" s="73" customFormat="1" ht="18" customHeight="1" thickBot="1">
      <c r="B12" s="1160" t="s">
        <v>1774</v>
      </c>
      <c r="C12" s="1161"/>
      <c r="D12" s="1162" t="s">
        <v>1775</v>
      </c>
      <c r="E12" s="1163"/>
      <c r="F12" s="1163"/>
      <c r="G12" s="1163"/>
      <c r="H12" s="1163"/>
      <c r="I12" s="1163"/>
      <c r="J12" s="1163"/>
      <c r="K12" s="1163"/>
      <c r="L12" s="1163"/>
      <c r="M12" s="1163"/>
      <c r="N12" s="1163"/>
      <c r="O12" s="1164"/>
    </row>
    <row r="13" spans="1:16" s="73" customFormat="1" ht="18" customHeight="1">
      <c r="B13" s="69"/>
      <c r="C13" s="68"/>
      <c r="D13" s="68"/>
      <c r="E13" s="68"/>
      <c r="F13" s="68"/>
      <c r="G13" s="69"/>
      <c r="H13" s="69"/>
      <c r="I13" s="69"/>
      <c r="J13" s="69"/>
      <c r="K13" s="69"/>
      <c r="L13" s="69"/>
      <c r="M13" s="69"/>
      <c r="N13" s="69"/>
      <c r="O13" s="69"/>
    </row>
    <row r="14" spans="1:16" s="73" customFormat="1" ht="18" customHeight="1" thickBot="1">
      <c r="B14" s="70" t="s">
        <v>1776</v>
      </c>
      <c r="C14" s="68"/>
      <c r="D14" s="68"/>
      <c r="E14" s="694"/>
      <c r="F14" s="69"/>
      <c r="G14" s="69"/>
      <c r="H14" s="69"/>
      <c r="I14" s="69"/>
      <c r="J14" s="69"/>
      <c r="K14" s="68"/>
      <c r="L14" s="68"/>
      <c r="M14" s="68"/>
      <c r="N14" s="68"/>
      <c r="O14" s="68"/>
    </row>
    <row r="15" spans="1:16" s="73" customFormat="1" ht="18" customHeight="1" thickBot="1">
      <c r="B15" s="1177" t="s">
        <v>1760</v>
      </c>
      <c r="C15" s="1178"/>
      <c r="D15" s="1179" t="s">
        <v>1777</v>
      </c>
      <c r="E15" s="1180"/>
      <c r="F15" s="1180"/>
      <c r="G15" s="1180"/>
      <c r="H15" s="1180"/>
      <c r="I15" s="1180"/>
      <c r="J15" s="1179" t="s">
        <v>1762</v>
      </c>
      <c r="K15" s="1180"/>
      <c r="L15" s="1180"/>
      <c r="M15" s="1180"/>
      <c r="N15" s="1180"/>
      <c r="O15" s="1181"/>
    </row>
    <row r="16" spans="1:16" s="68" customFormat="1" ht="18" customHeight="1">
      <c r="B16" s="1182" t="s">
        <v>1778</v>
      </c>
      <c r="C16" s="1183"/>
      <c r="D16" s="1188" t="s">
        <v>1779</v>
      </c>
      <c r="E16" s="1188"/>
      <c r="F16" s="1188"/>
      <c r="G16" s="1188"/>
      <c r="H16" s="1188"/>
      <c r="I16" s="1188"/>
      <c r="J16" s="1189" t="s">
        <v>1780</v>
      </c>
      <c r="K16" s="1189"/>
      <c r="L16" s="1189"/>
      <c r="M16" s="1189"/>
      <c r="N16" s="1189"/>
      <c r="O16" s="1190"/>
      <c r="P16" s="142"/>
    </row>
    <row r="17" spans="2:16" s="68" customFormat="1" ht="18" customHeight="1">
      <c r="B17" s="1184"/>
      <c r="C17" s="1185"/>
      <c r="D17" s="1185" t="s">
        <v>1781</v>
      </c>
      <c r="E17" s="1185"/>
      <c r="F17" s="1085" t="s">
        <v>809</v>
      </c>
      <c r="G17" s="1085" t="s">
        <v>1782</v>
      </c>
      <c r="H17" s="1085" t="s">
        <v>1783</v>
      </c>
      <c r="I17" s="1085" t="s">
        <v>1784</v>
      </c>
      <c r="J17" s="1191"/>
      <c r="K17" s="1191"/>
      <c r="L17" s="1191"/>
      <c r="M17" s="1191"/>
      <c r="N17" s="1191"/>
      <c r="O17" s="1192"/>
      <c r="P17" s="142"/>
    </row>
    <row r="18" spans="2:16" s="68" customFormat="1" ht="18" customHeight="1">
      <c r="B18" s="1184"/>
      <c r="C18" s="1185"/>
      <c r="D18" s="1185" t="s">
        <v>1785</v>
      </c>
      <c r="E18" s="1185"/>
      <c r="F18" s="339">
        <v>0.05</v>
      </c>
      <c r="G18" s="339">
        <v>0.04</v>
      </c>
      <c r="H18" s="339">
        <v>0.04</v>
      </c>
      <c r="I18" s="1195" t="s">
        <v>1786</v>
      </c>
      <c r="J18" s="1191"/>
      <c r="K18" s="1191"/>
      <c r="L18" s="1191"/>
      <c r="M18" s="1191"/>
      <c r="N18" s="1191"/>
      <c r="O18" s="1192"/>
      <c r="P18" s="142"/>
    </row>
    <row r="19" spans="2:16" s="68" customFormat="1" ht="18" customHeight="1">
      <c r="B19" s="1184"/>
      <c r="C19" s="1185"/>
      <c r="D19" s="1185" t="s">
        <v>71</v>
      </c>
      <c r="E19" s="1185"/>
      <c r="F19" s="339">
        <v>0.03</v>
      </c>
      <c r="G19" s="339">
        <v>0.03</v>
      </c>
      <c r="H19" s="339">
        <v>0.03</v>
      </c>
      <c r="I19" s="1195"/>
      <c r="J19" s="1191"/>
      <c r="K19" s="1191"/>
      <c r="L19" s="1191"/>
      <c r="M19" s="1191"/>
      <c r="N19" s="1191"/>
      <c r="O19" s="1192"/>
      <c r="P19" s="142"/>
    </row>
    <row r="20" spans="2:16" s="68" customFormat="1" ht="18" customHeight="1" thickBot="1">
      <c r="B20" s="1186"/>
      <c r="C20" s="1187"/>
      <c r="D20" s="1187" t="s">
        <v>72</v>
      </c>
      <c r="E20" s="1187"/>
      <c r="F20" s="985">
        <v>0.02</v>
      </c>
      <c r="G20" s="985">
        <v>0.02</v>
      </c>
      <c r="H20" s="985">
        <v>0.02</v>
      </c>
      <c r="I20" s="1196"/>
      <c r="J20" s="1193"/>
      <c r="K20" s="1193"/>
      <c r="L20" s="1193"/>
      <c r="M20" s="1193"/>
      <c r="N20" s="1193"/>
      <c r="O20" s="1194"/>
      <c r="P20" s="142"/>
    </row>
    <row r="21" spans="2:16" s="73" customFormat="1" ht="18" customHeight="1" thickBot="1">
      <c r="B21" s="1201" t="s">
        <v>1787</v>
      </c>
      <c r="C21" s="1202"/>
      <c r="D21" s="1207" t="s">
        <v>1788</v>
      </c>
      <c r="E21" s="1207"/>
      <c r="F21" s="1207"/>
      <c r="G21" s="1207"/>
      <c r="H21" s="1207"/>
      <c r="I21" s="1207"/>
      <c r="J21" s="1210" t="s">
        <v>1789</v>
      </c>
      <c r="K21" s="1210"/>
      <c r="L21" s="1210"/>
      <c r="M21" s="1210"/>
      <c r="N21" s="1210"/>
      <c r="O21" s="1211"/>
    </row>
    <row r="22" spans="2:16" s="73" customFormat="1" ht="18" customHeight="1">
      <c r="B22" s="1203"/>
      <c r="C22" s="1204"/>
      <c r="D22" s="1208"/>
      <c r="E22" s="1208"/>
      <c r="F22" s="1208"/>
      <c r="G22" s="1208"/>
      <c r="H22" s="1208"/>
      <c r="I22" s="1208"/>
      <c r="J22" s="1088" t="s">
        <v>1771</v>
      </c>
      <c r="K22" s="1088" t="s">
        <v>1790</v>
      </c>
      <c r="L22" s="1110" t="s">
        <v>1791</v>
      </c>
      <c r="M22" s="432" t="s">
        <v>1792</v>
      </c>
      <c r="N22" s="1105" t="s">
        <v>1793</v>
      </c>
      <c r="O22" s="1088" t="s">
        <v>1794</v>
      </c>
    </row>
    <row r="23" spans="2:16" s="73" customFormat="1" ht="18" customHeight="1" thickBot="1">
      <c r="B23" s="1205"/>
      <c r="C23" s="1206"/>
      <c r="D23" s="1209"/>
      <c r="E23" s="1209"/>
      <c r="F23" s="1209"/>
      <c r="G23" s="1209"/>
      <c r="H23" s="1209"/>
      <c r="I23" s="1209"/>
      <c r="J23" s="1087" t="s">
        <v>41</v>
      </c>
      <c r="K23" s="667">
        <v>0.3</v>
      </c>
      <c r="L23" s="668">
        <v>0.25</v>
      </c>
      <c r="M23" s="480">
        <v>0.2</v>
      </c>
      <c r="N23" s="1129">
        <v>0.15</v>
      </c>
      <c r="O23" s="667">
        <v>0.1</v>
      </c>
    </row>
    <row r="24" spans="2:16" s="73" customFormat="1" ht="21" customHeight="1">
      <c r="B24" s="1212" t="s">
        <v>1795</v>
      </c>
      <c r="C24" s="1213"/>
      <c r="D24" s="1188" t="s">
        <v>1796</v>
      </c>
      <c r="E24" s="1188"/>
      <c r="F24" s="1188"/>
      <c r="G24" s="1188"/>
      <c r="H24" s="1188"/>
      <c r="I24" s="1188"/>
      <c r="J24" s="1218"/>
      <c r="K24" s="1219" t="s">
        <v>1797</v>
      </c>
      <c r="L24" s="1219"/>
      <c r="M24" s="1219"/>
      <c r="N24" s="1219"/>
      <c r="O24" s="1220"/>
    </row>
    <row r="25" spans="2:16" s="1034" customFormat="1" ht="18" customHeight="1">
      <c r="B25" s="1214"/>
      <c r="C25" s="1215"/>
      <c r="D25" s="1223" t="s">
        <v>1782</v>
      </c>
      <c r="E25" s="1223" t="s">
        <v>1798</v>
      </c>
      <c r="F25" s="1223" t="s">
        <v>809</v>
      </c>
      <c r="G25" s="1223"/>
      <c r="H25" s="1223"/>
      <c r="I25" s="1223"/>
      <c r="J25" s="1223"/>
      <c r="K25" s="1219"/>
      <c r="L25" s="1219"/>
      <c r="M25" s="1219"/>
      <c r="N25" s="1219"/>
      <c r="O25" s="1220"/>
    </row>
    <row r="26" spans="2:16" s="1034" customFormat="1" ht="18" customHeight="1" thickBot="1">
      <c r="B26" s="1214"/>
      <c r="C26" s="1215"/>
      <c r="D26" s="1223"/>
      <c r="E26" s="1223"/>
      <c r="F26" s="1197" t="s">
        <v>1799</v>
      </c>
      <c r="G26" s="1198"/>
      <c r="H26" s="1198"/>
      <c r="I26" s="1198"/>
      <c r="J26" s="1198"/>
      <c r="K26" s="1219"/>
      <c r="L26" s="1219"/>
      <c r="M26" s="1219"/>
      <c r="N26" s="1219"/>
      <c r="O26" s="1220"/>
    </row>
    <row r="27" spans="2:16" s="1034" customFormat="1" ht="18" customHeight="1">
      <c r="B27" s="1214"/>
      <c r="C27" s="1215"/>
      <c r="D27" s="1199">
        <v>0.8</v>
      </c>
      <c r="E27" s="1199">
        <v>0.5</v>
      </c>
      <c r="F27" s="1035" t="s">
        <v>1771</v>
      </c>
      <c r="G27" s="1035" t="s">
        <v>1800</v>
      </c>
      <c r="H27" s="1035" t="s">
        <v>1792</v>
      </c>
      <c r="I27" s="432" t="s">
        <v>1801</v>
      </c>
      <c r="J27" s="1035" t="s">
        <v>1802</v>
      </c>
      <c r="K27" s="1219"/>
      <c r="L27" s="1219"/>
      <c r="M27" s="1219"/>
      <c r="N27" s="1219"/>
      <c r="O27" s="1220"/>
    </row>
    <row r="28" spans="2:16" ht="17.25" thickBot="1">
      <c r="B28" s="1216"/>
      <c r="C28" s="1217"/>
      <c r="D28" s="1200"/>
      <c r="E28" s="1200"/>
      <c r="F28" s="1036" t="s">
        <v>41</v>
      </c>
      <c r="G28" s="1037">
        <v>0.56999999999999995</v>
      </c>
      <c r="H28" s="1037">
        <v>0.55000000000000004</v>
      </c>
      <c r="I28" s="480">
        <v>0.53</v>
      </c>
      <c r="J28" s="1037">
        <v>0.5</v>
      </c>
      <c r="K28" s="1221"/>
      <c r="L28" s="1221"/>
      <c r="M28" s="1221"/>
      <c r="N28" s="1221"/>
      <c r="O28" s="1222"/>
    </row>
  </sheetData>
  <mergeCells count="37">
    <mergeCell ref="F26:J26"/>
    <mergeCell ref="D27:D28"/>
    <mergeCell ref="E27:E28"/>
    <mergeCell ref="D20:E20"/>
    <mergeCell ref="B21:C23"/>
    <mergeCell ref="D21:I23"/>
    <mergeCell ref="J21:O21"/>
    <mergeCell ref="B24:C28"/>
    <mergeCell ref="D24:J24"/>
    <mergeCell ref="K24:O28"/>
    <mergeCell ref="D25:D26"/>
    <mergeCell ref="E25:E26"/>
    <mergeCell ref="F25:J25"/>
    <mergeCell ref="B15:C15"/>
    <mergeCell ref="D15:I15"/>
    <mergeCell ref="J15:O15"/>
    <mergeCell ref="B16:C20"/>
    <mergeCell ref="D16:I16"/>
    <mergeCell ref="J16:O20"/>
    <mergeCell ref="D17:E17"/>
    <mergeCell ref="D18:E18"/>
    <mergeCell ref="I18:I20"/>
    <mergeCell ref="D19:E19"/>
    <mergeCell ref="B12:C12"/>
    <mergeCell ref="D12:O12"/>
    <mergeCell ref="B1:O1"/>
    <mergeCell ref="B4:C4"/>
    <mergeCell ref="D4:I4"/>
    <mergeCell ref="J4:O4"/>
    <mergeCell ref="B5:C7"/>
    <mergeCell ref="D5:I7"/>
    <mergeCell ref="J5:O5"/>
    <mergeCell ref="B8:C8"/>
    <mergeCell ref="D8:I8"/>
    <mergeCell ref="J8:O8"/>
    <mergeCell ref="B11:C11"/>
    <mergeCell ref="D11:O11"/>
  </mergeCells>
  <phoneticPr fontId="99" type="noConversion"/>
  <printOptions horizontalCentered="1"/>
  <pageMargins left="0.31496062992125984" right="0.31496062992125984" top="0.31496062992125984" bottom="0.31496062992125984" header="0" footer="0"/>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1"/>
  <sheetViews>
    <sheetView zoomScaleNormal="100" workbookViewId="0"/>
  </sheetViews>
  <sheetFormatPr defaultColWidth="9.125" defaultRowHeight="18" customHeight="1"/>
  <cols>
    <col min="1" max="1" width="0.625" style="58" customWidth="1"/>
    <col min="2" max="2" width="5.625" style="58" customWidth="1"/>
    <col min="3" max="3" width="19.5" style="58" customWidth="1"/>
    <col min="4" max="4" width="10.375" style="58" customWidth="1"/>
    <col min="5" max="5" width="8.375" style="58" customWidth="1"/>
    <col min="6" max="6" width="8.625" style="58" customWidth="1"/>
    <col min="7" max="7" width="9.75" style="58" bestFit="1" customWidth="1"/>
    <col min="8" max="10" width="8.125" style="58" customWidth="1"/>
    <col min="11" max="11" width="10.5" style="58" bestFit="1" customWidth="1"/>
    <col min="12" max="26" width="8.625" style="58" customWidth="1"/>
    <col min="27" max="16384" width="9.125" style="58"/>
  </cols>
  <sheetData>
    <row r="1" spans="1:36" ht="30" customHeight="1" thickBot="1">
      <c r="B1" s="1271" t="s">
        <v>1803</v>
      </c>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row>
    <row r="2" spans="1:36" s="246" customFormat="1" ht="6" customHeight="1" thickTop="1">
      <c r="A2" s="68"/>
      <c r="B2" s="67"/>
      <c r="C2" s="67"/>
      <c r="D2" s="67"/>
      <c r="E2" s="67"/>
      <c r="F2" s="67"/>
      <c r="G2" s="67"/>
      <c r="H2" s="68"/>
      <c r="I2" s="68"/>
      <c r="J2" s="68"/>
      <c r="K2" s="67"/>
      <c r="L2" s="69"/>
      <c r="M2" s="68"/>
      <c r="N2" s="68"/>
      <c r="O2" s="68"/>
      <c r="P2" s="68"/>
      <c r="Q2" s="68"/>
      <c r="R2" s="68"/>
      <c r="S2" s="68"/>
      <c r="T2" s="68"/>
      <c r="U2" s="68"/>
      <c r="V2" s="68"/>
      <c r="W2" s="68"/>
      <c r="X2" s="68"/>
      <c r="Y2" s="68"/>
      <c r="Z2" s="68"/>
      <c r="AA2" s="68"/>
      <c r="AB2" s="68"/>
      <c r="AC2" s="68"/>
      <c r="AD2" s="68"/>
      <c r="AE2" s="68"/>
      <c r="AF2" s="68"/>
      <c r="AG2" s="68"/>
      <c r="AH2" s="68"/>
      <c r="AI2" s="68"/>
      <c r="AJ2" s="68"/>
    </row>
    <row r="3" spans="1:36" s="274" customFormat="1" ht="18" customHeight="1">
      <c r="B3" s="364" t="s">
        <v>1747</v>
      </c>
      <c r="C3" s="273"/>
      <c r="D3" s="273"/>
      <c r="E3" s="273"/>
      <c r="F3" s="273"/>
      <c r="L3" s="275"/>
    </row>
    <row r="4" spans="1:36" s="246" customFormat="1" ht="6" customHeight="1" thickBot="1">
      <c r="A4" s="68"/>
      <c r="B4" s="67"/>
      <c r="C4" s="67"/>
      <c r="D4" s="67"/>
      <c r="E4" s="67"/>
      <c r="F4" s="67"/>
      <c r="G4" s="67"/>
      <c r="H4" s="68"/>
      <c r="I4" s="68"/>
      <c r="J4" s="68"/>
      <c r="K4" s="67"/>
      <c r="L4" s="69"/>
      <c r="M4" s="68"/>
      <c r="N4" s="68"/>
      <c r="O4" s="68"/>
      <c r="P4" s="68"/>
      <c r="Q4" s="68"/>
      <c r="R4" s="68"/>
      <c r="S4" s="68"/>
      <c r="T4" s="68"/>
      <c r="U4" s="68"/>
      <c r="V4" s="68"/>
      <c r="W4" s="68"/>
      <c r="X4" s="68"/>
      <c r="Y4" s="68"/>
      <c r="Z4" s="68"/>
      <c r="AA4" s="68"/>
      <c r="AB4" s="68"/>
      <c r="AC4" s="68"/>
      <c r="AD4" s="68"/>
      <c r="AE4" s="68"/>
      <c r="AF4" s="68"/>
      <c r="AG4" s="68"/>
      <c r="AH4" s="68"/>
      <c r="AI4" s="68"/>
      <c r="AJ4" s="68"/>
    </row>
    <row r="5" spans="1:36" s="473" customFormat="1" ht="33" customHeight="1">
      <c r="B5" s="1272" t="s">
        <v>1804</v>
      </c>
      <c r="C5" s="1273"/>
      <c r="D5" s="1274"/>
      <c r="E5" s="1275" t="s">
        <v>1805</v>
      </c>
      <c r="F5" s="1277" t="s">
        <v>1806</v>
      </c>
      <c r="G5" s="1279" t="s">
        <v>1807</v>
      </c>
      <c r="H5" s="1281" t="s">
        <v>1808</v>
      </c>
      <c r="I5" s="1281"/>
      <c r="J5" s="1282"/>
      <c r="K5" s="762" t="s">
        <v>1809</v>
      </c>
      <c r="L5" s="1283" t="s">
        <v>1810</v>
      </c>
      <c r="M5" s="1284"/>
      <c r="N5" s="1285"/>
      <c r="O5" s="1286" t="s">
        <v>1811</v>
      </c>
      <c r="P5" s="1287"/>
      <c r="Q5" s="244">
        <v>0.93</v>
      </c>
      <c r="R5" s="1286" t="s">
        <v>1812</v>
      </c>
      <c r="S5" s="1287"/>
      <c r="T5" s="244">
        <v>0.86</v>
      </c>
      <c r="U5" s="1286" t="s">
        <v>1813</v>
      </c>
      <c r="V5" s="1287"/>
      <c r="W5" s="244">
        <v>0.83</v>
      </c>
      <c r="X5" s="1286" t="s">
        <v>1814</v>
      </c>
      <c r="Y5" s="1287"/>
      <c r="Z5" s="244">
        <v>0.75</v>
      </c>
      <c r="AA5" s="1288" t="s">
        <v>1815</v>
      </c>
      <c r="AB5" s="1289"/>
      <c r="AC5" s="244">
        <v>0.7</v>
      </c>
    </row>
    <row r="6" spans="1:36" s="473" customFormat="1" ht="24.75" thickBot="1">
      <c r="B6" s="1092" t="s">
        <v>1816</v>
      </c>
      <c r="C6" s="1109" t="s">
        <v>1817</v>
      </c>
      <c r="D6" s="446" t="s">
        <v>1818</v>
      </c>
      <c r="E6" s="1276"/>
      <c r="F6" s="1278"/>
      <c r="G6" s="1280"/>
      <c r="H6" s="475" t="s">
        <v>1819</v>
      </c>
      <c r="I6" s="475" t="s">
        <v>1820</v>
      </c>
      <c r="J6" s="476" t="s">
        <v>1821</v>
      </c>
      <c r="K6" s="695">
        <v>0.2</v>
      </c>
      <c r="L6" s="1125" t="s">
        <v>1822</v>
      </c>
      <c r="M6" s="1126" t="s">
        <v>1823</v>
      </c>
      <c r="N6" s="1127" t="s">
        <v>1824</v>
      </c>
      <c r="O6" s="1125" t="s">
        <v>1825</v>
      </c>
      <c r="P6" s="1126" t="s">
        <v>1826</v>
      </c>
      <c r="Q6" s="1127" t="s">
        <v>1827</v>
      </c>
      <c r="R6" s="1125" t="s">
        <v>1828</v>
      </c>
      <c r="S6" s="1126" t="s">
        <v>1829</v>
      </c>
      <c r="T6" s="1127" t="s">
        <v>1830</v>
      </c>
      <c r="U6" s="1125" t="s">
        <v>1831</v>
      </c>
      <c r="V6" s="1126" t="s">
        <v>1823</v>
      </c>
      <c r="W6" s="1127" t="s">
        <v>1832</v>
      </c>
      <c r="X6" s="1125" t="s">
        <v>1825</v>
      </c>
      <c r="Y6" s="1126" t="s">
        <v>1829</v>
      </c>
      <c r="Z6" s="1127" t="s">
        <v>1833</v>
      </c>
      <c r="AA6" s="1128" t="s">
        <v>1831</v>
      </c>
      <c r="AB6" s="1126" t="s">
        <v>1829</v>
      </c>
      <c r="AC6" s="1127" t="s">
        <v>1832</v>
      </c>
      <c r="AD6" s="292"/>
      <c r="AE6" s="292"/>
      <c r="AF6" s="292"/>
      <c r="AG6" s="292"/>
      <c r="AH6" s="292"/>
    </row>
    <row r="7" spans="1:36" ht="18" customHeight="1">
      <c r="B7" s="1258" t="s">
        <v>1834</v>
      </c>
      <c r="C7" s="1269" t="s">
        <v>1835</v>
      </c>
      <c r="D7" s="1270"/>
      <c r="E7" s="1243">
        <v>1000</v>
      </c>
      <c r="F7" s="1226">
        <f>E7*D8*12</f>
        <v>8160</v>
      </c>
      <c r="G7" s="1226">
        <f>F7*53%</f>
        <v>4324.8</v>
      </c>
      <c r="H7" s="1226">
        <f>F7*5%*12</f>
        <v>4896</v>
      </c>
      <c r="I7" s="1245">
        <f>F7*3%*12</f>
        <v>2937.6</v>
      </c>
      <c r="J7" s="1224">
        <f>F7*2%*12</f>
        <v>1958.4</v>
      </c>
      <c r="K7" s="1226">
        <f>F7*$K$6</f>
        <v>1632</v>
      </c>
      <c r="L7" s="499">
        <f>G7+(H7/12)+K7</f>
        <v>6364.8</v>
      </c>
      <c r="M7" s="500">
        <f>G7+H7+K7</f>
        <v>10852.8</v>
      </c>
      <c r="N7" s="464">
        <f>G7+H7+I7+J7+K7</f>
        <v>15748.8</v>
      </c>
      <c r="O7" s="499">
        <f>L7*$Q$5</f>
        <v>5919.2640000000001</v>
      </c>
      <c r="P7" s="500">
        <f>$M7*$Q$5</f>
        <v>10093.103999999999</v>
      </c>
      <c r="Q7" s="464">
        <f>N7*$Q$5</f>
        <v>14646.384</v>
      </c>
      <c r="R7" s="800">
        <f>L7*$T$5</f>
        <v>5473.7280000000001</v>
      </c>
      <c r="S7" s="801">
        <f>$M7*$T$5</f>
        <v>9333.4079999999994</v>
      </c>
      <c r="T7" s="802">
        <f>N7*$T$5</f>
        <v>13543.967999999999</v>
      </c>
      <c r="U7" s="499">
        <f>L7*$W$5</f>
        <v>5282.7839999999997</v>
      </c>
      <c r="V7" s="500">
        <f>$M7*$W$5</f>
        <v>9007.8239999999987</v>
      </c>
      <c r="W7" s="464">
        <f>N7*$W$5</f>
        <v>13071.503999999999</v>
      </c>
      <c r="X7" s="499">
        <f>L7*$Z$5</f>
        <v>4773.6000000000004</v>
      </c>
      <c r="Y7" s="500">
        <f>$M7*$Z$5</f>
        <v>8139.5999999999995</v>
      </c>
      <c r="Z7" s="464">
        <f>N7*$Z$5</f>
        <v>11811.599999999999</v>
      </c>
      <c r="AA7" s="501">
        <f>L7*$AC$5</f>
        <v>4455.3599999999997</v>
      </c>
      <c r="AB7" s="500">
        <f>$M7*$AC$5</f>
        <v>7596.9599999999991</v>
      </c>
      <c r="AC7" s="464">
        <f>N7*$AC$5</f>
        <v>11024.159999999998</v>
      </c>
      <c r="AD7" s="292"/>
      <c r="AE7" s="292"/>
      <c r="AF7" s="292"/>
      <c r="AG7" s="292"/>
      <c r="AH7" s="292"/>
      <c r="AI7" s="292"/>
    </row>
    <row r="8" spans="1:36" ht="18" customHeight="1">
      <c r="B8" s="1259"/>
      <c r="C8" s="334" t="s">
        <v>1836</v>
      </c>
      <c r="D8" s="109">
        <v>0.68</v>
      </c>
      <c r="E8" s="1244"/>
      <c r="F8" s="1227"/>
      <c r="G8" s="1227"/>
      <c r="H8" s="1227"/>
      <c r="I8" s="1232"/>
      <c r="J8" s="1225"/>
      <c r="K8" s="1227"/>
      <c r="L8" s="186">
        <f>L7/E7</f>
        <v>6.3647999999999998</v>
      </c>
      <c r="M8" s="189">
        <f>M7/E7</f>
        <v>10.852799999999998</v>
      </c>
      <c r="N8" s="188">
        <f>N7/E7</f>
        <v>15.748799999999999</v>
      </c>
      <c r="O8" s="186">
        <f>O7/E7</f>
        <v>5.9192640000000001</v>
      </c>
      <c r="P8" s="189">
        <f>P7/E7</f>
        <v>10.093103999999999</v>
      </c>
      <c r="Q8" s="188">
        <f>Q7/E7</f>
        <v>14.646383999999999</v>
      </c>
      <c r="R8" s="186">
        <f>R7/E7</f>
        <v>5.4737280000000004</v>
      </c>
      <c r="S8" s="189">
        <f>S7/E7</f>
        <v>9.3334079999999986</v>
      </c>
      <c r="T8" s="188">
        <f>T7/E7</f>
        <v>13.543968</v>
      </c>
      <c r="U8" s="186">
        <f>U7/E7</f>
        <v>5.2827839999999995</v>
      </c>
      <c r="V8" s="189">
        <f>V7/E7</f>
        <v>9.0078239999999994</v>
      </c>
      <c r="W8" s="188">
        <f>W7/E7</f>
        <v>13.071503999999999</v>
      </c>
      <c r="X8" s="186">
        <f>X7/E7</f>
        <v>4.7736000000000001</v>
      </c>
      <c r="Y8" s="189">
        <f>Y7/E7</f>
        <v>8.1395999999999997</v>
      </c>
      <c r="Z8" s="188">
        <f>Z7/E7</f>
        <v>11.811599999999999</v>
      </c>
      <c r="AA8" s="187">
        <f>AA7/E7</f>
        <v>4.4553599999999998</v>
      </c>
      <c r="AB8" s="189">
        <f>AB7/E7</f>
        <v>7.5969599999999993</v>
      </c>
      <c r="AC8" s="188">
        <f>AC7/E7</f>
        <v>11.024159999999998</v>
      </c>
      <c r="AD8" s="292"/>
      <c r="AE8" s="292"/>
      <c r="AF8" s="292"/>
      <c r="AG8" s="292"/>
      <c r="AH8" s="292"/>
      <c r="AI8" s="292"/>
    </row>
    <row r="9" spans="1:36" ht="18" customHeight="1">
      <c r="B9" s="1259"/>
      <c r="C9" s="1266" t="s">
        <v>1837</v>
      </c>
      <c r="D9" s="1267"/>
      <c r="E9" s="1244">
        <v>1000</v>
      </c>
      <c r="F9" s="1227">
        <f>E9*D10*12</f>
        <v>8640</v>
      </c>
      <c r="G9" s="1227">
        <f>F9*53%</f>
        <v>4579.2</v>
      </c>
      <c r="H9" s="1227">
        <f>F9*5%*12</f>
        <v>5184</v>
      </c>
      <c r="I9" s="1268">
        <f>F9*3%*12</f>
        <v>3110.3999999999996</v>
      </c>
      <c r="J9" s="1225">
        <f>F9*2%*12</f>
        <v>2073.6000000000004</v>
      </c>
      <c r="K9" s="1227">
        <f>F9*$K$6</f>
        <v>1728</v>
      </c>
      <c r="L9" s="463">
        <f>G9+(H9/12)+K9</f>
        <v>6739.2</v>
      </c>
      <c r="M9" s="671">
        <f>G9+H9+K9</f>
        <v>11491.2</v>
      </c>
      <c r="N9" s="466">
        <f>G9+H9+I9+J9+K9</f>
        <v>16675.2</v>
      </c>
      <c r="O9" s="463">
        <f>L9*$Q$5</f>
        <v>6267.4560000000001</v>
      </c>
      <c r="P9" s="671">
        <f>$M9*$Q$5</f>
        <v>10686.816000000001</v>
      </c>
      <c r="Q9" s="466">
        <f>N9*$Q$5</f>
        <v>15507.936000000002</v>
      </c>
      <c r="R9" s="803">
        <f>L9*$T$5</f>
        <v>5795.7119999999995</v>
      </c>
      <c r="S9" s="804">
        <f>$M9*$T$5</f>
        <v>9882.4320000000007</v>
      </c>
      <c r="T9" s="805">
        <f>N9*$T$5</f>
        <v>14340.672</v>
      </c>
      <c r="U9" s="463">
        <f>L9*$W$5</f>
        <v>5593.5359999999991</v>
      </c>
      <c r="V9" s="671">
        <f>$M9*$W$5</f>
        <v>9537.6959999999999</v>
      </c>
      <c r="W9" s="466">
        <f>N9*$W$5</f>
        <v>13840.415999999999</v>
      </c>
      <c r="X9" s="463">
        <f>L9*$Z$5</f>
        <v>5054.3999999999996</v>
      </c>
      <c r="Y9" s="671">
        <f>$M9*$Z$5</f>
        <v>8618.4000000000015</v>
      </c>
      <c r="Z9" s="466">
        <f>N9*$Z$5</f>
        <v>12506.400000000001</v>
      </c>
      <c r="AA9" s="465">
        <f>L9*$AC$5</f>
        <v>4717.4399999999996</v>
      </c>
      <c r="AB9" s="671">
        <f>$M9*$AC$5</f>
        <v>8043.84</v>
      </c>
      <c r="AC9" s="466">
        <f>N9*$AC$5</f>
        <v>11672.64</v>
      </c>
      <c r="AD9" s="292"/>
      <c r="AE9" s="292"/>
      <c r="AF9" s="292"/>
      <c r="AG9" s="292"/>
      <c r="AH9" s="292"/>
      <c r="AI9" s="292"/>
    </row>
    <row r="10" spans="1:36" ht="18" customHeight="1">
      <c r="B10" s="1259"/>
      <c r="C10" s="334" t="s">
        <v>1838</v>
      </c>
      <c r="D10" s="109">
        <v>0.72</v>
      </c>
      <c r="E10" s="1244"/>
      <c r="F10" s="1227"/>
      <c r="G10" s="1227"/>
      <c r="H10" s="1227"/>
      <c r="I10" s="1232"/>
      <c r="J10" s="1225"/>
      <c r="K10" s="1227"/>
      <c r="L10" s="186">
        <f>L9/E9</f>
        <v>6.7391999999999994</v>
      </c>
      <c r="M10" s="189">
        <f>M9/E9</f>
        <v>11.491200000000001</v>
      </c>
      <c r="N10" s="188">
        <f>N9/E9</f>
        <v>16.6752</v>
      </c>
      <c r="O10" s="186">
        <f>O9/E9</f>
        <v>6.2674560000000001</v>
      </c>
      <c r="P10" s="189">
        <f>P9/E9</f>
        <v>10.686816</v>
      </c>
      <c r="Q10" s="188">
        <f>Q9/E9</f>
        <v>15.507936000000001</v>
      </c>
      <c r="R10" s="186">
        <f>R9/E9</f>
        <v>5.795712</v>
      </c>
      <c r="S10" s="189">
        <f>S9/E9</f>
        <v>9.8824320000000014</v>
      </c>
      <c r="T10" s="188">
        <f>T9/E9</f>
        <v>14.340672</v>
      </c>
      <c r="U10" s="186">
        <f>U9/E9</f>
        <v>5.5935359999999994</v>
      </c>
      <c r="V10" s="189">
        <f>V9/E9</f>
        <v>9.5376960000000004</v>
      </c>
      <c r="W10" s="188">
        <f>W9/E9</f>
        <v>13.840415999999999</v>
      </c>
      <c r="X10" s="186">
        <f>X9/E9</f>
        <v>5.0543999999999993</v>
      </c>
      <c r="Y10" s="189">
        <f>Y9/E9</f>
        <v>8.6184000000000012</v>
      </c>
      <c r="Z10" s="188">
        <f>Z9/E9</f>
        <v>12.506400000000001</v>
      </c>
      <c r="AA10" s="187">
        <f>AA9/E9</f>
        <v>4.7174399999999999</v>
      </c>
      <c r="AB10" s="189">
        <f>AB9/E9</f>
        <v>8.0438399999999994</v>
      </c>
      <c r="AC10" s="188">
        <f>AC9/E9</f>
        <v>11.672639999999999</v>
      </c>
      <c r="AD10" s="292"/>
      <c r="AE10" s="292"/>
      <c r="AF10" s="292"/>
      <c r="AG10" s="292"/>
      <c r="AH10" s="292"/>
      <c r="AI10" s="292"/>
    </row>
    <row r="11" spans="1:36" ht="18" customHeight="1">
      <c r="B11" s="1259"/>
      <c r="C11" s="1264" t="s">
        <v>1839</v>
      </c>
      <c r="D11" s="1265"/>
      <c r="E11" s="1230">
        <v>1000</v>
      </c>
      <c r="F11" s="1232">
        <f>E11*D12*12</f>
        <v>8400</v>
      </c>
      <c r="G11" s="1232">
        <f>F11*53%</f>
        <v>4452</v>
      </c>
      <c r="H11" s="1232">
        <f>F11*5%*12</f>
        <v>5040</v>
      </c>
      <c r="I11" s="1234">
        <f>F11*3%*12</f>
        <v>3024</v>
      </c>
      <c r="J11" s="1236">
        <f>F11*2%*12</f>
        <v>2016</v>
      </c>
      <c r="K11" s="1232">
        <f>F11*$K$6</f>
        <v>1680</v>
      </c>
      <c r="L11" s="469">
        <f>G11+(H11/12)+K11</f>
        <v>6552</v>
      </c>
      <c r="M11" s="1095">
        <f>G11+H11+K11</f>
        <v>11172</v>
      </c>
      <c r="N11" s="1096">
        <f>G11+H11+I11+J11+K11</f>
        <v>16212</v>
      </c>
      <c r="O11" s="469">
        <f>L11*$Q$5</f>
        <v>6093.3600000000006</v>
      </c>
      <c r="P11" s="1095">
        <f>$M11*$Q$5</f>
        <v>10389.960000000001</v>
      </c>
      <c r="Q11" s="1096">
        <f>N11*$Q$5</f>
        <v>15077.160000000002</v>
      </c>
      <c r="R11" s="806">
        <f>L11*$T$5</f>
        <v>5634.72</v>
      </c>
      <c r="S11" s="807">
        <f>$M11*$T$5</f>
        <v>9607.92</v>
      </c>
      <c r="T11" s="808">
        <f>N11*$T$5</f>
        <v>13942.32</v>
      </c>
      <c r="U11" s="469">
        <f>L11*$W$5</f>
        <v>5438.16</v>
      </c>
      <c r="V11" s="1095">
        <f>$M11*$W$5</f>
        <v>9272.76</v>
      </c>
      <c r="W11" s="1096">
        <f>N11*$W$5</f>
        <v>13455.96</v>
      </c>
      <c r="X11" s="469">
        <f>L11*$Z$5</f>
        <v>4914</v>
      </c>
      <c r="Y11" s="1095">
        <f>$M11*$Z$5</f>
        <v>8379</v>
      </c>
      <c r="Z11" s="1096">
        <f>N11*$Z$5</f>
        <v>12159</v>
      </c>
      <c r="AA11" s="470">
        <f>L11*$AC$5</f>
        <v>4586.3999999999996</v>
      </c>
      <c r="AB11" s="1095">
        <f>$M11*$AC$5</f>
        <v>7820.4</v>
      </c>
      <c r="AC11" s="1096">
        <f>N11*$AC$5</f>
        <v>11348.4</v>
      </c>
      <c r="AD11" s="292"/>
      <c r="AE11" s="292"/>
      <c r="AF11" s="292"/>
      <c r="AG11" s="292"/>
      <c r="AH11" s="292"/>
      <c r="AI11" s="292"/>
    </row>
    <row r="12" spans="1:36" ht="18" customHeight="1" thickBot="1">
      <c r="B12" s="1260"/>
      <c r="C12" s="334" t="s">
        <v>1840</v>
      </c>
      <c r="D12" s="109">
        <v>0.7</v>
      </c>
      <c r="E12" s="1244"/>
      <c r="F12" s="1227"/>
      <c r="G12" s="1227"/>
      <c r="H12" s="1227"/>
      <c r="I12" s="1232"/>
      <c r="J12" s="1225"/>
      <c r="K12" s="1227"/>
      <c r="L12" s="186">
        <f>L11/E11</f>
        <v>6.5519999999999996</v>
      </c>
      <c r="M12" s="189">
        <f>M11/E11</f>
        <v>11.172000000000001</v>
      </c>
      <c r="N12" s="188">
        <f>N11/E11</f>
        <v>16.212</v>
      </c>
      <c r="O12" s="186">
        <f>O11/E11</f>
        <v>6.0933600000000006</v>
      </c>
      <c r="P12" s="189">
        <f>P11/E11</f>
        <v>10.38996</v>
      </c>
      <c r="Q12" s="188">
        <f>Q11/E11</f>
        <v>15.077160000000001</v>
      </c>
      <c r="R12" s="186">
        <f>R11/E11</f>
        <v>5.6347200000000006</v>
      </c>
      <c r="S12" s="189">
        <f>S11/E11</f>
        <v>9.60792</v>
      </c>
      <c r="T12" s="188">
        <f>T11/E11</f>
        <v>13.94232</v>
      </c>
      <c r="U12" s="186">
        <f>U11/E11</f>
        <v>5.4381599999999999</v>
      </c>
      <c r="V12" s="189">
        <f>V11/E11</f>
        <v>9.2727599999999999</v>
      </c>
      <c r="W12" s="188">
        <f>W11/E11</f>
        <v>13.455959999999999</v>
      </c>
      <c r="X12" s="186">
        <f>X11/E11</f>
        <v>4.9139999999999997</v>
      </c>
      <c r="Y12" s="189">
        <f>Y11/E11</f>
        <v>8.3789999999999996</v>
      </c>
      <c r="Z12" s="188">
        <f>Z11/E11</f>
        <v>12.159000000000001</v>
      </c>
      <c r="AA12" s="187">
        <f>AA11/E11</f>
        <v>4.5863999999999994</v>
      </c>
      <c r="AB12" s="189">
        <f>AB11/E11</f>
        <v>7.8203999999999994</v>
      </c>
      <c r="AC12" s="188">
        <f>AC11/E11</f>
        <v>11.3484</v>
      </c>
      <c r="AD12" s="292"/>
      <c r="AE12" s="292"/>
      <c r="AF12" s="292"/>
      <c r="AG12" s="292"/>
      <c r="AH12" s="292"/>
      <c r="AI12" s="292"/>
    </row>
    <row r="13" spans="1:36" s="524" customFormat="1" ht="18" customHeight="1">
      <c r="B13" s="1258" t="s">
        <v>1841</v>
      </c>
      <c r="C13" s="1261" t="s">
        <v>1842</v>
      </c>
      <c r="D13" s="1262"/>
      <c r="E13" s="1263">
        <v>1000</v>
      </c>
      <c r="F13" s="1245">
        <f>E13*D14*12</f>
        <v>2880</v>
      </c>
      <c r="G13" s="1245">
        <f>F13*80%</f>
        <v>2304</v>
      </c>
      <c r="H13" s="1245">
        <f>F13*4%*12</f>
        <v>1382.4</v>
      </c>
      <c r="I13" s="1245">
        <f>F13*3%*12</f>
        <v>1036.8</v>
      </c>
      <c r="J13" s="1245">
        <f>F13*2%*12</f>
        <v>691.2</v>
      </c>
      <c r="K13" s="1250">
        <f t="shared" ref="K13" si="0">F13*$K$6</f>
        <v>576</v>
      </c>
      <c r="L13" s="499">
        <f>G13+(H13/12)+K13</f>
        <v>2995.2</v>
      </c>
      <c r="M13" s="500">
        <f>G13+H13+K13</f>
        <v>4262.3999999999996</v>
      </c>
      <c r="N13" s="464">
        <f>G13+H13+I13+J13+K13</f>
        <v>5990.4</v>
      </c>
      <c r="O13" s="499">
        <f>L13*$Q$5</f>
        <v>2785.5360000000001</v>
      </c>
      <c r="P13" s="500">
        <f>$M13*$Q$5</f>
        <v>3964.0319999999997</v>
      </c>
      <c r="Q13" s="464">
        <f>N13*$Q$5</f>
        <v>5571.0720000000001</v>
      </c>
      <c r="R13" s="800">
        <f>L13*$T$5</f>
        <v>2575.8719999999998</v>
      </c>
      <c r="S13" s="801">
        <f>$M13*$T$5</f>
        <v>3665.6639999999998</v>
      </c>
      <c r="T13" s="802">
        <f>N13*$T$5</f>
        <v>5151.7439999999997</v>
      </c>
      <c r="U13" s="499">
        <f>L13*$W$5</f>
        <v>2486.0159999999996</v>
      </c>
      <c r="V13" s="500">
        <f>$M13*$W$5</f>
        <v>3537.7919999999995</v>
      </c>
      <c r="W13" s="464">
        <f>N13*$W$5</f>
        <v>4972.0319999999992</v>
      </c>
      <c r="X13" s="499">
        <f>L13*$Z$5</f>
        <v>2246.3999999999996</v>
      </c>
      <c r="Y13" s="500">
        <f>$M13*$Z$5</f>
        <v>3196.7999999999997</v>
      </c>
      <c r="Z13" s="464">
        <f>N13*$Z$5</f>
        <v>4492.7999999999993</v>
      </c>
      <c r="AA13" s="501">
        <f>L13*$AC$5</f>
        <v>2096.64</v>
      </c>
      <c r="AB13" s="500">
        <f>$M13*$AC$5</f>
        <v>2983.6799999999994</v>
      </c>
      <c r="AC13" s="464">
        <f>N13*$AC$5</f>
        <v>4193.28</v>
      </c>
      <c r="AD13" s="292"/>
      <c r="AE13" s="292"/>
      <c r="AF13" s="292"/>
      <c r="AG13" s="292"/>
      <c r="AH13" s="292"/>
    </row>
    <row r="14" spans="1:36" s="524" customFormat="1" ht="18" customHeight="1">
      <c r="B14" s="1259"/>
      <c r="C14" s="334" t="s">
        <v>1843</v>
      </c>
      <c r="D14" s="783">
        <v>0.24</v>
      </c>
      <c r="E14" s="1230"/>
      <c r="F14" s="1232"/>
      <c r="G14" s="1232"/>
      <c r="H14" s="1232"/>
      <c r="I14" s="1232"/>
      <c r="J14" s="1232"/>
      <c r="K14" s="1251"/>
      <c r="L14" s="186">
        <f>L13/E13</f>
        <v>2.9951999999999996</v>
      </c>
      <c r="M14" s="189">
        <f>M13/E13</f>
        <v>4.2623999999999995</v>
      </c>
      <c r="N14" s="188">
        <f>N13/E13</f>
        <v>5.9903999999999993</v>
      </c>
      <c r="O14" s="186">
        <f>O13/E13</f>
        <v>2.785536</v>
      </c>
      <c r="P14" s="189">
        <f>P13/E13</f>
        <v>3.9640319999999996</v>
      </c>
      <c r="Q14" s="188">
        <f>Q13/E13</f>
        <v>5.571072</v>
      </c>
      <c r="R14" s="186">
        <f>R13/E13</f>
        <v>2.5758719999999999</v>
      </c>
      <c r="S14" s="189">
        <f>S13/E13</f>
        <v>3.6656639999999996</v>
      </c>
      <c r="T14" s="188">
        <f>T13/E13</f>
        <v>5.1517439999999999</v>
      </c>
      <c r="U14" s="186">
        <f>U13/E13</f>
        <v>2.4860159999999998</v>
      </c>
      <c r="V14" s="189">
        <f>V13/E13</f>
        <v>3.5377919999999996</v>
      </c>
      <c r="W14" s="188">
        <f>W13/E13</f>
        <v>4.9720319999999996</v>
      </c>
      <c r="X14" s="186">
        <f>X13/E13</f>
        <v>2.2463999999999995</v>
      </c>
      <c r="Y14" s="189">
        <f>Y13/E13</f>
        <v>3.1967999999999996</v>
      </c>
      <c r="Z14" s="188">
        <f>Z13/E13</f>
        <v>4.492799999999999</v>
      </c>
      <c r="AA14" s="187">
        <f>AA13/E13</f>
        <v>2.0966399999999998</v>
      </c>
      <c r="AB14" s="189">
        <f>AB13/E13</f>
        <v>2.9836799999999992</v>
      </c>
      <c r="AC14" s="188">
        <f>AC13/E13</f>
        <v>4.1932799999999997</v>
      </c>
      <c r="AD14" s="292"/>
      <c r="AE14" s="292"/>
      <c r="AF14" s="292"/>
      <c r="AG14" s="292"/>
      <c r="AH14" s="292"/>
    </row>
    <row r="15" spans="1:36" s="524" customFormat="1" ht="18" customHeight="1">
      <c r="B15" s="1259"/>
      <c r="C15" s="1252" t="s">
        <v>1844</v>
      </c>
      <c r="D15" s="1253"/>
      <c r="E15" s="1254">
        <v>1000</v>
      </c>
      <c r="F15" s="1234">
        <f>E15*D16*12</f>
        <v>3060</v>
      </c>
      <c r="G15" s="1234">
        <f>F15*80%</f>
        <v>2448</v>
      </c>
      <c r="H15" s="1234">
        <f>F15*4%*12</f>
        <v>1468.8000000000002</v>
      </c>
      <c r="I15" s="1234">
        <f>F15*3%*12</f>
        <v>1101.5999999999999</v>
      </c>
      <c r="J15" s="1234">
        <f>F15*2%*12</f>
        <v>734.40000000000009</v>
      </c>
      <c r="K15" s="1256">
        <f t="shared" ref="K15" si="1">F15*$K$6</f>
        <v>612</v>
      </c>
      <c r="L15" s="469">
        <f>G15+(H15/12)+K15</f>
        <v>3182.4</v>
      </c>
      <c r="M15" s="1095">
        <f>G15+H15+K15</f>
        <v>4528.8</v>
      </c>
      <c r="N15" s="1096">
        <f>G15+H15+I15+J15+K15</f>
        <v>6364.7999999999993</v>
      </c>
      <c r="O15" s="469">
        <f>L15*$Q$5</f>
        <v>2959.6320000000001</v>
      </c>
      <c r="P15" s="1095">
        <f>$M15*$Q$5</f>
        <v>4211.7840000000006</v>
      </c>
      <c r="Q15" s="1096">
        <f>N15*$Q$5</f>
        <v>5919.2639999999992</v>
      </c>
      <c r="R15" s="806">
        <f>L15*$T$5</f>
        <v>2736.864</v>
      </c>
      <c r="S15" s="807">
        <f>$M15*$T$5</f>
        <v>3894.768</v>
      </c>
      <c r="T15" s="808">
        <f>N15*$T$5</f>
        <v>5473.7279999999992</v>
      </c>
      <c r="U15" s="469">
        <f>L15*$W$5</f>
        <v>2641.3919999999998</v>
      </c>
      <c r="V15" s="1095">
        <f>$M15*$W$5</f>
        <v>3758.904</v>
      </c>
      <c r="W15" s="1096">
        <f>N15*$W$5</f>
        <v>5282.7839999999987</v>
      </c>
      <c r="X15" s="469">
        <f>L15*$Z$5</f>
        <v>2386.8000000000002</v>
      </c>
      <c r="Y15" s="1095">
        <f>$M15*$Z$5</f>
        <v>3396.6000000000004</v>
      </c>
      <c r="Z15" s="1096">
        <f>N15*$Z$5</f>
        <v>4773.5999999999995</v>
      </c>
      <c r="AA15" s="470">
        <f>L15*$AC$5</f>
        <v>2227.6799999999998</v>
      </c>
      <c r="AB15" s="1095">
        <f>$M15*$AC$5</f>
        <v>3170.16</v>
      </c>
      <c r="AC15" s="1096">
        <f>N15*$AC$5</f>
        <v>4455.3599999999988</v>
      </c>
      <c r="AD15" s="292"/>
      <c r="AE15" s="292"/>
      <c r="AF15" s="292"/>
      <c r="AG15" s="292"/>
      <c r="AH15" s="292"/>
    </row>
    <row r="16" spans="1:36" s="524" customFormat="1" ht="18" customHeight="1" thickBot="1">
      <c r="B16" s="1260"/>
      <c r="C16" s="335" t="s">
        <v>1845</v>
      </c>
      <c r="D16" s="699">
        <v>0.255</v>
      </c>
      <c r="E16" s="1255"/>
      <c r="F16" s="1235"/>
      <c r="G16" s="1235"/>
      <c r="H16" s="1235"/>
      <c r="I16" s="1235"/>
      <c r="J16" s="1235"/>
      <c r="K16" s="1257"/>
      <c r="L16" s="174">
        <f>L15/E15</f>
        <v>3.1823999999999999</v>
      </c>
      <c r="M16" s="175">
        <f>M15/E15</f>
        <v>4.5288000000000004</v>
      </c>
      <c r="N16" s="176">
        <f>N15/E15</f>
        <v>6.3647999999999989</v>
      </c>
      <c r="O16" s="174">
        <f>O15/E15</f>
        <v>2.959632</v>
      </c>
      <c r="P16" s="175">
        <f>P15/E15</f>
        <v>4.2117840000000006</v>
      </c>
      <c r="Q16" s="176">
        <f>Q15/E15</f>
        <v>5.9192639999999992</v>
      </c>
      <c r="R16" s="174">
        <f>R15/E15</f>
        <v>2.7368640000000002</v>
      </c>
      <c r="S16" s="175">
        <f>S15/E15</f>
        <v>3.894768</v>
      </c>
      <c r="T16" s="176">
        <f>T15/E15</f>
        <v>5.4737279999999995</v>
      </c>
      <c r="U16" s="174">
        <f>U15/E15</f>
        <v>2.6413919999999997</v>
      </c>
      <c r="V16" s="175">
        <f>V15/E15</f>
        <v>3.7589039999999998</v>
      </c>
      <c r="W16" s="176">
        <f>W15/E15</f>
        <v>5.2827839999999986</v>
      </c>
      <c r="X16" s="174">
        <f>X15/E15</f>
        <v>2.3868</v>
      </c>
      <c r="Y16" s="175">
        <f>Y15/E15</f>
        <v>3.3966000000000003</v>
      </c>
      <c r="Z16" s="176">
        <f>Z15/E15</f>
        <v>4.7735999999999992</v>
      </c>
      <c r="AA16" s="193">
        <f>AA15/E15</f>
        <v>2.2276799999999999</v>
      </c>
      <c r="AB16" s="175">
        <f>AB15/E15</f>
        <v>3.1701599999999996</v>
      </c>
      <c r="AC16" s="176">
        <f>AC15/E15</f>
        <v>4.4553599999999989</v>
      </c>
      <c r="AD16" s="292"/>
      <c r="AE16" s="292"/>
      <c r="AF16" s="292"/>
      <c r="AG16" s="292"/>
      <c r="AH16" s="292"/>
    </row>
    <row r="17" spans="1:34" s="524" customFormat="1" ht="18" customHeight="1">
      <c r="B17" s="1246" t="s">
        <v>1846</v>
      </c>
      <c r="C17" s="1248" t="s">
        <v>1847</v>
      </c>
      <c r="D17" s="1249"/>
      <c r="E17" s="1230">
        <v>1000</v>
      </c>
      <c r="F17" s="1232">
        <f>E17*D18*12</f>
        <v>1116</v>
      </c>
      <c r="G17" s="1232">
        <f>F17*50%</f>
        <v>558</v>
      </c>
      <c r="H17" s="1232">
        <f>F17*4%*12</f>
        <v>535.68000000000006</v>
      </c>
      <c r="I17" s="1234">
        <f>F17*3%*12</f>
        <v>401.76</v>
      </c>
      <c r="J17" s="1236">
        <f>F17*2%*12</f>
        <v>267.84000000000003</v>
      </c>
      <c r="K17" s="1232">
        <f t="shared" ref="K17" si="2">F17*$K$6</f>
        <v>223.20000000000002</v>
      </c>
      <c r="L17" s="469">
        <f>G17+(H17/12)+K17</f>
        <v>825.84</v>
      </c>
      <c r="M17" s="1095">
        <f>G17+H17+K17</f>
        <v>1316.88</v>
      </c>
      <c r="N17" s="1096">
        <f>G17+H17+I17+J17+K17</f>
        <v>1986.4800000000002</v>
      </c>
      <c r="O17" s="469">
        <f>L17*$Q$5</f>
        <v>768.03120000000013</v>
      </c>
      <c r="P17" s="1095">
        <f>$M17*$Q$5</f>
        <v>1224.6984000000002</v>
      </c>
      <c r="Q17" s="1096">
        <f>N17*$Q$5</f>
        <v>1847.4264000000003</v>
      </c>
      <c r="R17" s="806">
        <f>L17*$T$5</f>
        <v>710.22239999999999</v>
      </c>
      <c r="S17" s="807">
        <f>$M17*$T$5</f>
        <v>1132.5168000000001</v>
      </c>
      <c r="T17" s="808">
        <f>N17*$T$5</f>
        <v>1708.3728000000001</v>
      </c>
      <c r="U17" s="469">
        <f>L17*$W$5</f>
        <v>685.44719999999995</v>
      </c>
      <c r="V17" s="1095">
        <f>$M17*$W$5</f>
        <v>1093.0104000000001</v>
      </c>
      <c r="W17" s="1096">
        <f>N17*$W$5</f>
        <v>1648.7784000000001</v>
      </c>
      <c r="X17" s="469">
        <f>L17*$Z$5</f>
        <v>619.38</v>
      </c>
      <c r="Y17" s="1095">
        <f>$M17*$Z$5</f>
        <v>987.66000000000008</v>
      </c>
      <c r="Z17" s="1096">
        <f>N17*$Z$5</f>
        <v>1489.8600000000001</v>
      </c>
      <c r="AA17" s="470">
        <f>L17*$AC$5</f>
        <v>578.08799999999997</v>
      </c>
      <c r="AB17" s="1095">
        <f>$M17*$AC$5</f>
        <v>921.81600000000003</v>
      </c>
      <c r="AC17" s="1096">
        <f>N17*$AC$5</f>
        <v>1390.5360000000001</v>
      </c>
      <c r="AD17" s="292"/>
      <c r="AE17" s="292"/>
      <c r="AF17" s="292"/>
      <c r="AG17" s="292"/>
      <c r="AH17" s="292"/>
    </row>
    <row r="18" spans="1:34" s="524" customFormat="1" ht="18" customHeight="1" thickBot="1">
      <c r="B18" s="1247"/>
      <c r="C18" s="335" t="s">
        <v>1843</v>
      </c>
      <c r="D18" s="699">
        <v>9.2999999999999999E-2</v>
      </c>
      <c r="E18" s="1231"/>
      <c r="F18" s="1227"/>
      <c r="G18" s="1227"/>
      <c r="H18" s="1227"/>
      <c r="I18" s="1232"/>
      <c r="J18" s="1225"/>
      <c r="K18" s="1227"/>
      <c r="L18" s="174">
        <f>L17/E17</f>
        <v>0.82584000000000002</v>
      </c>
      <c r="M18" s="175">
        <f>M17/E17</f>
        <v>1.3168800000000001</v>
      </c>
      <c r="N18" s="176">
        <f>N17/E17</f>
        <v>1.9864800000000002</v>
      </c>
      <c r="O18" s="174">
        <f>O17/E17</f>
        <v>0.76803120000000014</v>
      </c>
      <c r="P18" s="175">
        <f>P17/E17</f>
        <v>1.2246984000000003</v>
      </c>
      <c r="Q18" s="176">
        <f>Q17/E17</f>
        <v>1.8474264000000002</v>
      </c>
      <c r="R18" s="186">
        <f>R17/E17</f>
        <v>0.71022240000000003</v>
      </c>
      <c r="S18" s="189">
        <f>S17/E17</f>
        <v>1.1325168000000001</v>
      </c>
      <c r="T18" s="188">
        <f>T17/E17</f>
        <v>1.7083728</v>
      </c>
      <c r="U18" s="174">
        <f>U17/E17</f>
        <v>0.68544719999999992</v>
      </c>
      <c r="V18" s="175">
        <f>V17/E17</f>
        <v>1.0930104</v>
      </c>
      <c r="W18" s="176">
        <f>W17/E17</f>
        <v>1.6487784000000001</v>
      </c>
      <c r="X18" s="174">
        <f>X17/E17</f>
        <v>0.61938000000000004</v>
      </c>
      <c r="Y18" s="175">
        <f>Y17/E17</f>
        <v>0.98766000000000009</v>
      </c>
      <c r="Z18" s="176">
        <f>Z17/E17</f>
        <v>1.4898600000000002</v>
      </c>
      <c r="AA18" s="193">
        <f>AA17/E17</f>
        <v>0.57808799999999994</v>
      </c>
      <c r="AB18" s="175">
        <f>AB17/E17</f>
        <v>0.92181600000000008</v>
      </c>
      <c r="AC18" s="176">
        <f>AC17/E17</f>
        <v>1.390536</v>
      </c>
      <c r="AD18" s="292"/>
      <c r="AE18" s="292"/>
      <c r="AF18" s="292"/>
      <c r="AG18" s="292"/>
      <c r="AH18" s="292"/>
    </row>
    <row r="19" spans="1:34" s="477" customFormat="1" ht="18" customHeight="1">
      <c r="B19" s="1238" t="s">
        <v>1848</v>
      </c>
      <c r="C19" s="1241" t="s">
        <v>1849</v>
      </c>
      <c r="D19" s="1242"/>
      <c r="E19" s="1243">
        <v>100000</v>
      </c>
      <c r="F19" s="1226">
        <f>E19*D20</f>
        <v>2480</v>
      </c>
      <c r="G19" s="1226">
        <f>F19*80%</f>
        <v>1984</v>
      </c>
      <c r="H19" s="1226">
        <f>F19*30%</f>
        <v>744</v>
      </c>
      <c r="I19" s="1245"/>
      <c r="J19" s="1224"/>
      <c r="K19" s="1226">
        <f>F19*$K$6</f>
        <v>496</v>
      </c>
      <c r="L19" s="499">
        <f>G19+H19+K19</f>
        <v>3224</v>
      </c>
      <c r="M19" s="500">
        <f>G19+H19+K19</f>
        <v>3224</v>
      </c>
      <c r="N19" s="464">
        <f>G19+H19+I19+J19+K19</f>
        <v>3224</v>
      </c>
      <c r="O19" s="499">
        <f>L19*$Q$5</f>
        <v>2998.32</v>
      </c>
      <c r="P19" s="500">
        <f>$M19*$Q$5</f>
        <v>2998.32</v>
      </c>
      <c r="Q19" s="464">
        <f>N19*$Q$5</f>
        <v>2998.32</v>
      </c>
      <c r="R19" s="800">
        <f>L19*$T$5</f>
        <v>2772.64</v>
      </c>
      <c r="S19" s="801">
        <f>$M19*$T$5</f>
        <v>2772.64</v>
      </c>
      <c r="T19" s="802">
        <f>N19*$T$5</f>
        <v>2772.64</v>
      </c>
      <c r="U19" s="499">
        <f>L19*$W$5</f>
        <v>2675.92</v>
      </c>
      <c r="V19" s="500">
        <f>$M19*$W$5</f>
        <v>2675.92</v>
      </c>
      <c r="W19" s="464">
        <f>N19*$W$5</f>
        <v>2675.92</v>
      </c>
      <c r="X19" s="499">
        <f>L19*$Z$5</f>
        <v>2418</v>
      </c>
      <c r="Y19" s="500">
        <f>$M19*$Z$5</f>
        <v>2418</v>
      </c>
      <c r="Z19" s="464">
        <f>N19*$Z$5</f>
        <v>2418</v>
      </c>
      <c r="AA19" s="501">
        <f>L19*$AC$5</f>
        <v>2256.7999999999997</v>
      </c>
      <c r="AB19" s="500">
        <f>$M19*$AC$5</f>
        <v>2256.7999999999997</v>
      </c>
      <c r="AC19" s="464">
        <f>N19*$AC$5</f>
        <v>2256.7999999999997</v>
      </c>
      <c r="AD19" s="292"/>
      <c r="AE19" s="292"/>
      <c r="AF19" s="292"/>
      <c r="AG19" s="292"/>
      <c r="AH19" s="292"/>
    </row>
    <row r="20" spans="1:34" s="477" customFormat="1" ht="18" customHeight="1">
      <c r="B20" s="1239"/>
      <c r="C20" s="673" t="s">
        <v>1850</v>
      </c>
      <c r="D20" s="700">
        <v>2.4799999999999999E-2</v>
      </c>
      <c r="E20" s="1244"/>
      <c r="F20" s="1227"/>
      <c r="G20" s="1227"/>
      <c r="H20" s="1227"/>
      <c r="I20" s="1232"/>
      <c r="J20" s="1225"/>
      <c r="K20" s="1227"/>
      <c r="L20" s="186">
        <f>L19/E19</f>
        <v>3.2239999999999998E-2</v>
      </c>
      <c r="M20" s="189">
        <f>M19/E19</f>
        <v>3.2239999999999998E-2</v>
      </c>
      <c r="N20" s="188">
        <f>N19/E19</f>
        <v>3.2239999999999998E-2</v>
      </c>
      <c r="O20" s="186">
        <f>O19/E19</f>
        <v>2.9983200000000002E-2</v>
      </c>
      <c r="P20" s="189">
        <f>P19/E19</f>
        <v>2.9983200000000002E-2</v>
      </c>
      <c r="Q20" s="188">
        <f>Q19/E19</f>
        <v>2.9983200000000002E-2</v>
      </c>
      <c r="R20" s="186">
        <f>R19/E19</f>
        <v>2.7726399999999998E-2</v>
      </c>
      <c r="S20" s="189">
        <f>S19/E19</f>
        <v>2.7726399999999998E-2</v>
      </c>
      <c r="T20" s="188">
        <f>T19/E19</f>
        <v>2.7726399999999998E-2</v>
      </c>
      <c r="U20" s="186">
        <f>U19/E19</f>
        <v>2.67592E-2</v>
      </c>
      <c r="V20" s="189">
        <f>V19/E19</f>
        <v>2.67592E-2</v>
      </c>
      <c r="W20" s="188">
        <f>W19/E19</f>
        <v>2.67592E-2</v>
      </c>
      <c r="X20" s="186">
        <f>X19/E19</f>
        <v>2.418E-2</v>
      </c>
      <c r="Y20" s="189">
        <f>Y19/E19</f>
        <v>2.418E-2</v>
      </c>
      <c r="Z20" s="188">
        <f>Z19/E19</f>
        <v>2.418E-2</v>
      </c>
      <c r="AA20" s="187">
        <f>AA19/E19</f>
        <v>2.2567999999999998E-2</v>
      </c>
      <c r="AB20" s="189">
        <f>AB19/E19</f>
        <v>2.2567999999999998E-2</v>
      </c>
      <c r="AC20" s="188">
        <f>AC19/E19</f>
        <v>2.2567999999999998E-2</v>
      </c>
      <c r="AD20" s="292"/>
      <c r="AE20" s="292"/>
      <c r="AF20" s="292"/>
      <c r="AG20" s="292"/>
      <c r="AH20" s="292"/>
    </row>
    <row r="21" spans="1:34" s="477" customFormat="1" ht="18" customHeight="1">
      <c r="B21" s="1239"/>
      <c r="C21" s="1228" t="s">
        <v>1851</v>
      </c>
      <c r="D21" s="1229"/>
      <c r="E21" s="1230">
        <v>100000</v>
      </c>
      <c r="F21" s="1232">
        <f>E21*D22</f>
        <v>4800</v>
      </c>
      <c r="G21" s="1232">
        <f>F21*53%</f>
        <v>2544</v>
      </c>
      <c r="H21" s="1232">
        <f>F21*30%</f>
        <v>1440</v>
      </c>
      <c r="I21" s="1234"/>
      <c r="J21" s="1236"/>
      <c r="K21" s="1232">
        <f>F21*$K$6</f>
        <v>960</v>
      </c>
      <c r="L21" s="469">
        <f>G21+H21+K21</f>
        <v>4944</v>
      </c>
      <c r="M21" s="1095">
        <f>G21+H21+K21</f>
        <v>4944</v>
      </c>
      <c r="N21" s="1096">
        <f>G21+H21+I21+J21+K21</f>
        <v>4944</v>
      </c>
      <c r="O21" s="469">
        <f>L21*$Q$5</f>
        <v>4597.92</v>
      </c>
      <c r="P21" s="1095">
        <f>$M21*$Q$5</f>
        <v>4597.92</v>
      </c>
      <c r="Q21" s="1096">
        <f>N21*$Q$5</f>
        <v>4597.92</v>
      </c>
      <c r="R21" s="806">
        <f>L21*$T$5</f>
        <v>4251.84</v>
      </c>
      <c r="S21" s="807">
        <f>$M21*$T$5</f>
        <v>4251.84</v>
      </c>
      <c r="T21" s="808">
        <f>N21*$T$5</f>
        <v>4251.84</v>
      </c>
      <c r="U21" s="469">
        <f>L21*$W$5</f>
        <v>4103.5199999999995</v>
      </c>
      <c r="V21" s="1095">
        <f>$M21*$W$5</f>
        <v>4103.5199999999995</v>
      </c>
      <c r="W21" s="1096">
        <f>N21*$W$5</f>
        <v>4103.5199999999995</v>
      </c>
      <c r="X21" s="469">
        <f>L21*$Z$5</f>
        <v>3708</v>
      </c>
      <c r="Y21" s="1095">
        <f>$M21*$Z$5</f>
        <v>3708</v>
      </c>
      <c r="Z21" s="1096">
        <f>N21*$Z$5</f>
        <v>3708</v>
      </c>
      <c r="AA21" s="470">
        <f>L21*$AC$5</f>
        <v>3460.7999999999997</v>
      </c>
      <c r="AB21" s="1095">
        <f>$M21*$AC$5</f>
        <v>3460.7999999999997</v>
      </c>
      <c r="AC21" s="1096">
        <f>N21*$AC$5</f>
        <v>3460.7999999999997</v>
      </c>
      <c r="AD21" s="292"/>
      <c r="AE21" s="292"/>
      <c r="AF21" s="292"/>
      <c r="AG21" s="292"/>
      <c r="AH21" s="292"/>
    </row>
    <row r="22" spans="1:34" s="477" customFormat="1" ht="18" customHeight="1" thickBot="1">
      <c r="B22" s="1240"/>
      <c r="C22" s="280" t="s">
        <v>1852</v>
      </c>
      <c r="D22" s="701">
        <v>4.8000000000000001E-2</v>
      </c>
      <c r="E22" s="1231"/>
      <c r="F22" s="1233"/>
      <c r="G22" s="1233"/>
      <c r="H22" s="1233"/>
      <c r="I22" s="1235"/>
      <c r="J22" s="1237"/>
      <c r="K22" s="1233"/>
      <c r="L22" s="174">
        <f>L21/E21</f>
        <v>4.9439999999999998E-2</v>
      </c>
      <c r="M22" s="175">
        <f>M21/E21</f>
        <v>4.9439999999999998E-2</v>
      </c>
      <c r="N22" s="176">
        <f>N21/E21</f>
        <v>4.9439999999999998E-2</v>
      </c>
      <c r="O22" s="174">
        <f>O21/E21</f>
        <v>4.5979199999999998E-2</v>
      </c>
      <c r="P22" s="175">
        <f>P21/E21</f>
        <v>4.5979199999999998E-2</v>
      </c>
      <c r="Q22" s="176">
        <f>Q21/E21</f>
        <v>4.5979199999999998E-2</v>
      </c>
      <c r="R22" s="174">
        <f>R21/E21</f>
        <v>4.2518400000000005E-2</v>
      </c>
      <c r="S22" s="175">
        <f>S21/E21</f>
        <v>4.2518400000000005E-2</v>
      </c>
      <c r="T22" s="176">
        <f>T21/E21</f>
        <v>4.2518400000000005E-2</v>
      </c>
      <c r="U22" s="174">
        <f>U21/E21</f>
        <v>4.1035199999999994E-2</v>
      </c>
      <c r="V22" s="175">
        <f>V21/E21</f>
        <v>4.1035199999999994E-2</v>
      </c>
      <c r="W22" s="176">
        <f>W21/E21</f>
        <v>4.1035199999999994E-2</v>
      </c>
      <c r="X22" s="174">
        <f>X21/E21</f>
        <v>3.7080000000000002E-2</v>
      </c>
      <c r="Y22" s="175">
        <f>Y21/E21</f>
        <v>3.7080000000000002E-2</v>
      </c>
      <c r="Z22" s="176">
        <f>Z21/E21</f>
        <v>3.7080000000000002E-2</v>
      </c>
      <c r="AA22" s="193">
        <f>AA21/E21</f>
        <v>3.4608E-2</v>
      </c>
      <c r="AB22" s="175">
        <f>AB21/E21</f>
        <v>3.4608E-2</v>
      </c>
      <c r="AC22" s="176">
        <f>AC21/E21</f>
        <v>3.4608E-2</v>
      </c>
      <c r="AD22" s="292"/>
      <c r="AE22" s="292"/>
      <c r="AF22" s="292"/>
      <c r="AG22" s="292"/>
      <c r="AH22" s="292"/>
    </row>
    <row r="24" spans="1:34" ht="18" customHeight="1">
      <c r="B24" s="1130" t="s">
        <v>1853</v>
      </c>
    </row>
    <row r="25" spans="1:34" ht="18" customHeight="1">
      <c r="B25" s="1131" t="s">
        <v>1854</v>
      </c>
    </row>
    <row r="26" spans="1:34" ht="18" customHeight="1">
      <c r="B26" s="1132" t="s">
        <v>1860</v>
      </c>
    </row>
    <row r="27" spans="1:34" ht="18" customHeight="1">
      <c r="B27" s="1133" t="s">
        <v>1855</v>
      </c>
    </row>
    <row r="28" spans="1:34" s="810" customFormat="1" ht="18" customHeight="1">
      <c r="B28" s="1133" t="s">
        <v>1859</v>
      </c>
      <c r="C28" s="1134"/>
      <c r="D28" s="1134"/>
      <c r="E28" s="1134"/>
      <c r="F28" s="1134"/>
      <c r="G28" s="1134"/>
      <c r="H28" s="1134"/>
      <c r="I28" s="1134"/>
      <c r="J28" s="1133"/>
      <c r="K28" s="1133"/>
      <c r="L28" s="1133"/>
      <c r="M28" s="1133"/>
      <c r="N28" s="1133"/>
      <c r="O28" s="1133"/>
      <c r="P28" s="1133"/>
      <c r="Q28" s="1133"/>
      <c r="R28" s="1133"/>
      <c r="S28" s="1133"/>
      <c r="T28" s="1133"/>
      <c r="U28" s="1133"/>
      <c r="V28" s="1133"/>
      <c r="W28" s="1133"/>
      <c r="X28" s="1133"/>
      <c r="Y28" s="1133"/>
      <c r="Z28" s="1133"/>
      <c r="AA28" s="1133"/>
      <c r="AB28" s="1133"/>
      <c r="AC28" s="1133"/>
    </row>
    <row r="29" spans="1:34" s="810" customFormat="1" ht="18" customHeight="1">
      <c r="B29" s="1133" t="s">
        <v>1856</v>
      </c>
      <c r="C29" s="1134"/>
      <c r="D29" s="1134"/>
      <c r="E29" s="1134"/>
      <c r="F29" s="1134"/>
      <c r="G29" s="1134"/>
      <c r="H29" s="1134"/>
      <c r="I29" s="1134"/>
      <c r="J29" s="1133"/>
      <c r="K29" s="1133"/>
      <c r="L29" s="1133"/>
      <c r="M29" s="1133"/>
      <c r="N29" s="1133"/>
      <c r="O29" s="1133"/>
      <c r="P29" s="1133"/>
      <c r="Q29" s="1133"/>
      <c r="R29" s="1133"/>
      <c r="S29" s="1133"/>
      <c r="T29" s="1133"/>
      <c r="U29" s="1133"/>
      <c r="V29" s="1133"/>
      <c r="W29" s="1133"/>
      <c r="X29" s="1133"/>
      <c r="Y29" s="1133"/>
      <c r="Z29" s="1133"/>
      <c r="AA29" s="1133"/>
      <c r="AB29" s="1133"/>
      <c r="AC29" s="1133"/>
    </row>
    <row r="30" spans="1:34" s="810" customFormat="1" ht="18" customHeight="1">
      <c r="A30" s="809"/>
      <c r="B30" s="1132" t="s">
        <v>1857</v>
      </c>
      <c r="C30" s="1135"/>
      <c r="D30" s="1135"/>
      <c r="E30" s="1135"/>
      <c r="F30" s="1135"/>
      <c r="G30" s="1135"/>
      <c r="H30" s="1135"/>
      <c r="I30" s="1135"/>
      <c r="J30" s="1132"/>
      <c r="K30" s="1132"/>
      <c r="L30" s="1132"/>
      <c r="M30" s="1132"/>
      <c r="N30" s="1132"/>
      <c r="O30" s="1132"/>
      <c r="P30" s="1132"/>
      <c r="Q30" s="1132"/>
      <c r="R30" s="1132"/>
      <c r="S30" s="1132"/>
      <c r="T30" s="1132"/>
      <c r="U30" s="1132"/>
      <c r="V30" s="1132"/>
      <c r="W30" s="1132"/>
      <c r="X30" s="1135"/>
      <c r="Y30" s="1135"/>
      <c r="Z30" s="1135"/>
      <c r="AA30" s="1135"/>
      <c r="AB30" s="1135"/>
      <c r="AC30" s="1132"/>
      <c r="AD30" s="809"/>
      <c r="AE30" s="809"/>
      <c r="AF30" s="809"/>
    </row>
    <row r="31" spans="1:34" ht="18" customHeight="1">
      <c r="B31" s="1132" t="s">
        <v>1858</v>
      </c>
    </row>
  </sheetData>
  <mergeCells count="80">
    <mergeCell ref="B1:AC1"/>
    <mergeCell ref="B5:D5"/>
    <mergeCell ref="E5:E6"/>
    <mergeCell ref="F5:F6"/>
    <mergeCell ref="G5:G6"/>
    <mergeCell ref="H5:J5"/>
    <mergeCell ref="L5:N5"/>
    <mergeCell ref="O5:P5"/>
    <mergeCell ref="R5:S5"/>
    <mergeCell ref="U5:V5"/>
    <mergeCell ref="X5:Y5"/>
    <mergeCell ref="AA5:AB5"/>
    <mergeCell ref="B7:B12"/>
    <mergeCell ref="C7:D7"/>
    <mergeCell ref="E7:E8"/>
    <mergeCell ref="F7:F8"/>
    <mergeCell ref="G7:G8"/>
    <mergeCell ref="H7:H8"/>
    <mergeCell ref="I7:I8"/>
    <mergeCell ref="J7:J8"/>
    <mergeCell ref="K7:K8"/>
    <mergeCell ref="C9:D9"/>
    <mergeCell ref="E9:E10"/>
    <mergeCell ref="F9:F10"/>
    <mergeCell ref="G9:G10"/>
    <mergeCell ref="H9:H10"/>
    <mergeCell ref="I9:I10"/>
    <mergeCell ref="J9:J10"/>
    <mergeCell ref="K9:K10"/>
    <mergeCell ref="J11:J12"/>
    <mergeCell ref="K11:K12"/>
    <mergeCell ref="B13:B16"/>
    <mergeCell ref="C13:D13"/>
    <mergeCell ref="E13:E14"/>
    <mergeCell ref="F13:F14"/>
    <mergeCell ref="G13:G14"/>
    <mergeCell ref="H13:H14"/>
    <mergeCell ref="I13:I14"/>
    <mergeCell ref="J13:J14"/>
    <mergeCell ref="C11:D11"/>
    <mergeCell ref="E11:E12"/>
    <mergeCell ref="F11:F12"/>
    <mergeCell ref="G11:G12"/>
    <mergeCell ref="H11:H12"/>
    <mergeCell ref="I11:I12"/>
    <mergeCell ref="K13:K14"/>
    <mergeCell ref="C15:D15"/>
    <mergeCell ref="E15:E16"/>
    <mergeCell ref="F15:F16"/>
    <mergeCell ref="G15:G16"/>
    <mergeCell ref="H15:H16"/>
    <mergeCell ref="I15:I16"/>
    <mergeCell ref="J15:J16"/>
    <mergeCell ref="K15:K16"/>
    <mergeCell ref="I17:I18"/>
    <mergeCell ref="J17:J18"/>
    <mergeCell ref="K17:K18"/>
    <mergeCell ref="B19:B22"/>
    <mergeCell ref="C19:D19"/>
    <mergeCell ref="E19:E20"/>
    <mergeCell ref="F19:F20"/>
    <mergeCell ref="G19:G20"/>
    <mergeCell ref="H19:H20"/>
    <mergeCell ref="I19:I20"/>
    <mergeCell ref="B17:B18"/>
    <mergeCell ref="C17:D17"/>
    <mergeCell ref="E17:E18"/>
    <mergeCell ref="F17:F18"/>
    <mergeCell ref="G17:G18"/>
    <mergeCell ref="H17:H18"/>
    <mergeCell ref="J19:J20"/>
    <mergeCell ref="K19:K20"/>
    <mergeCell ref="C21:D21"/>
    <mergeCell ref="E21:E22"/>
    <mergeCell ref="F21:F22"/>
    <mergeCell ref="G21:G22"/>
    <mergeCell ref="H21:H22"/>
    <mergeCell ref="I21:I22"/>
    <mergeCell ref="J21:J22"/>
    <mergeCell ref="K21:K22"/>
  </mergeCells>
  <phoneticPr fontId="99" type="noConversion"/>
  <pageMargins left="0.31496062992125984" right="0.31496062992125984" top="0.31496062992125984" bottom="0.31496062992125984" header="0.31496062992125984" footer="0.31496062992125984"/>
  <pageSetup paperSize="9" scale="51"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IX29"/>
  <sheetViews>
    <sheetView zoomScaleNormal="100" workbookViewId="0">
      <pane ySplit="1" topLeftCell="A2" activePane="bottomLeft" state="frozen"/>
      <selection pane="bottomLeft"/>
    </sheetView>
  </sheetViews>
  <sheetFormatPr defaultColWidth="7.25" defaultRowHeight="16.5"/>
  <cols>
    <col min="1" max="1" width="1" style="146" customWidth="1"/>
    <col min="2" max="2" width="10.75" style="146" customWidth="1"/>
    <col min="3" max="3" width="10.5" style="146" customWidth="1"/>
    <col min="4" max="4" width="9" style="146" customWidth="1"/>
    <col min="5" max="5" width="9" style="147" customWidth="1"/>
    <col min="6" max="10" width="9" style="146" customWidth="1"/>
    <col min="11" max="12" width="8.5" style="146" customWidth="1"/>
    <col min="13" max="13" width="9.125" style="146" customWidth="1"/>
    <col min="14" max="14" width="9" style="146" customWidth="1"/>
    <col min="15" max="20" width="9.125" style="146" customWidth="1"/>
    <col min="21" max="24" width="7.25" style="146"/>
    <col min="25" max="27" width="8.125" style="146" bestFit="1" customWidth="1"/>
    <col min="28" max="28" width="8.625" style="146" bestFit="1" customWidth="1"/>
    <col min="29" max="29" width="9.5" style="146" bestFit="1" customWidth="1"/>
    <col min="30" max="30" width="8.625" style="146" bestFit="1" customWidth="1"/>
    <col min="31" max="31" width="7.25" style="146"/>
    <col min="32" max="32" width="9.5" style="146" bestFit="1" customWidth="1"/>
    <col min="33" max="37" width="8.625" style="146" bestFit="1" customWidth="1"/>
    <col min="38" max="38" width="7.5" style="146" bestFit="1" customWidth="1"/>
    <col min="39" max="39" width="8.625" style="146" bestFit="1" customWidth="1"/>
    <col min="40" max="40" width="7.5" style="146" bestFit="1" customWidth="1"/>
    <col min="41" max="41" width="8.625" style="146" bestFit="1" customWidth="1"/>
    <col min="42" max="258" width="7.25" style="146"/>
    <col min="259" max="259" width="0.625" style="146" customWidth="1"/>
    <col min="260" max="261" width="10.5" style="146" customWidth="1"/>
    <col min="262" max="268" width="9.375" style="146" customWidth="1"/>
    <col min="269" max="276" width="8.875" style="146" customWidth="1"/>
    <col min="277" max="280" width="7.25" style="146"/>
    <col min="281" max="283" width="8.125" style="146" bestFit="1" customWidth="1"/>
    <col min="284" max="284" width="8.625" style="146" bestFit="1" customWidth="1"/>
    <col min="285" max="285" width="9.5" style="146" bestFit="1" customWidth="1"/>
    <col min="286" max="286" width="8.625" style="146" bestFit="1" customWidth="1"/>
    <col min="287" max="287" width="7.25" style="146"/>
    <col min="288" max="288" width="9.5" style="146" bestFit="1" customWidth="1"/>
    <col min="289" max="293" width="8.625" style="146" bestFit="1" customWidth="1"/>
    <col min="294" max="294" width="7.5" style="146" bestFit="1" customWidth="1"/>
    <col min="295" max="295" width="8.625" style="146" bestFit="1" customWidth="1"/>
    <col min="296" max="296" width="7.5" style="146" bestFit="1" customWidth="1"/>
    <col min="297" max="297" width="8.625" style="146" bestFit="1" customWidth="1"/>
    <col min="298" max="514" width="7.25" style="146"/>
    <col min="515" max="515" width="0.625" style="146" customWidth="1"/>
    <col min="516" max="517" width="10.5" style="146" customWidth="1"/>
    <col min="518" max="524" width="9.375" style="146" customWidth="1"/>
    <col min="525" max="532" width="8.875" style="146" customWidth="1"/>
    <col min="533" max="536" width="7.25" style="146"/>
    <col min="537" max="539" width="8.125" style="146" bestFit="1" customWidth="1"/>
    <col min="540" max="540" width="8.625" style="146" bestFit="1" customWidth="1"/>
    <col min="541" max="541" width="9.5" style="146" bestFit="1" customWidth="1"/>
    <col min="542" max="542" width="8.625" style="146" bestFit="1" customWidth="1"/>
    <col min="543" max="543" width="7.25" style="146"/>
    <col min="544" max="544" width="9.5" style="146" bestFit="1" customWidth="1"/>
    <col min="545" max="549" width="8.625" style="146" bestFit="1" customWidth="1"/>
    <col min="550" max="550" width="7.5" style="146" bestFit="1" customWidth="1"/>
    <col min="551" max="551" width="8.625" style="146" bestFit="1" customWidth="1"/>
    <col min="552" max="552" width="7.5" style="146" bestFit="1" customWidth="1"/>
    <col min="553" max="553" width="8.625" style="146" bestFit="1" customWidth="1"/>
    <col min="554" max="770" width="7.25" style="146"/>
    <col min="771" max="771" width="0.625" style="146" customWidth="1"/>
    <col min="772" max="773" width="10.5" style="146" customWidth="1"/>
    <col min="774" max="780" width="9.375" style="146" customWidth="1"/>
    <col min="781" max="788" width="8.875" style="146" customWidth="1"/>
    <col min="789" max="792" width="7.25" style="146"/>
    <col min="793" max="795" width="8.125" style="146" bestFit="1" customWidth="1"/>
    <col min="796" max="796" width="8.625" style="146" bestFit="1" customWidth="1"/>
    <col min="797" max="797" width="9.5" style="146" bestFit="1" customWidth="1"/>
    <col min="798" max="798" width="8.625" style="146" bestFit="1" customWidth="1"/>
    <col min="799" max="799" width="7.25" style="146"/>
    <col min="800" max="800" width="9.5" style="146" bestFit="1" customWidth="1"/>
    <col min="801" max="805" width="8.625" style="146" bestFit="1" customWidth="1"/>
    <col min="806" max="806" width="7.5" style="146" bestFit="1" customWidth="1"/>
    <col min="807" max="807" width="8.625" style="146" bestFit="1" customWidth="1"/>
    <col min="808" max="808" width="7.5" style="146" bestFit="1" customWidth="1"/>
    <col min="809" max="809" width="8.625" style="146" bestFit="1" customWidth="1"/>
    <col min="810" max="1026" width="7.25" style="146"/>
    <col min="1027" max="1027" width="0.625" style="146" customWidth="1"/>
    <col min="1028" max="1029" width="10.5" style="146" customWidth="1"/>
    <col min="1030" max="1036" width="9.375" style="146" customWidth="1"/>
    <col min="1037" max="1044" width="8.875" style="146" customWidth="1"/>
    <col min="1045" max="1048" width="7.25" style="146"/>
    <col min="1049" max="1051" width="8.125" style="146" bestFit="1" customWidth="1"/>
    <col min="1052" max="1052" width="8.625" style="146" bestFit="1" customWidth="1"/>
    <col min="1053" max="1053" width="9.5" style="146" bestFit="1" customWidth="1"/>
    <col min="1054" max="1054" width="8.625" style="146" bestFit="1" customWidth="1"/>
    <col min="1055" max="1055" width="7.25" style="146"/>
    <col min="1056" max="1056" width="9.5" style="146" bestFit="1" customWidth="1"/>
    <col min="1057" max="1061" width="8.625" style="146" bestFit="1" customWidth="1"/>
    <col min="1062" max="1062" width="7.5" style="146" bestFit="1" customWidth="1"/>
    <col min="1063" max="1063" width="8.625" style="146" bestFit="1" customWidth="1"/>
    <col min="1064" max="1064" width="7.5" style="146" bestFit="1" customWidth="1"/>
    <col min="1065" max="1065" width="8.625" style="146" bestFit="1" customWidth="1"/>
    <col min="1066" max="1282" width="7.25" style="146"/>
    <col min="1283" max="1283" width="0.625" style="146" customWidth="1"/>
    <col min="1284" max="1285" width="10.5" style="146" customWidth="1"/>
    <col min="1286" max="1292" width="9.375" style="146" customWidth="1"/>
    <col min="1293" max="1300" width="8.875" style="146" customWidth="1"/>
    <col min="1301" max="1304" width="7.25" style="146"/>
    <col min="1305" max="1307" width="8.125" style="146" bestFit="1" customWidth="1"/>
    <col min="1308" max="1308" width="8.625" style="146" bestFit="1" customWidth="1"/>
    <col min="1309" max="1309" width="9.5" style="146" bestFit="1" customWidth="1"/>
    <col min="1310" max="1310" width="8.625" style="146" bestFit="1" customWidth="1"/>
    <col min="1311" max="1311" width="7.25" style="146"/>
    <col min="1312" max="1312" width="9.5" style="146" bestFit="1" customWidth="1"/>
    <col min="1313" max="1317" width="8.625" style="146" bestFit="1" customWidth="1"/>
    <col min="1318" max="1318" width="7.5" style="146" bestFit="1" customWidth="1"/>
    <col min="1319" max="1319" width="8.625" style="146" bestFit="1" customWidth="1"/>
    <col min="1320" max="1320" width="7.5" style="146" bestFit="1" customWidth="1"/>
    <col min="1321" max="1321" width="8.625" style="146" bestFit="1" customWidth="1"/>
    <col min="1322" max="1538" width="7.25" style="146"/>
    <col min="1539" max="1539" width="0.625" style="146" customWidth="1"/>
    <col min="1540" max="1541" width="10.5" style="146" customWidth="1"/>
    <col min="1542" max="1548" width="9.375" style="146" customWidth="1"/>
    <col min="1549" max="1556" width="8.875" style="146" customWidth="1"/>
    <col min="1557" max="1560" width="7.25" style="146"/>
    <col min="1561" max="1563" width="8.125" style="146" bestFit="1" customWidth="1"/>
    <col min="1564" max="1564" width="8.625" style="146" bestFit="1" customWidth="1"/>
    <col min="1565" max="1565" width="9.5" style="146" bestFit="1" customWidth="1"/>
    <col min="1566" max="1566" width="8.625" style="146" bestFit="1" customWidth="1"/>
    <col min="1567" max="1567" width="7.25" style="146"/>
    <col min="1568" max="1568" width="9.5" style="146" bestFit="1" customWidth="1"/>
    <col min="1569" max="1573" width="8.625" style="146" bestFit="1" customWidth="1"/>
    <col min="1574" max="1574" width="7.5" style="146" bestFit="1" customWidth="1"/>
    <col min="1575" max="1575" width="8.625" style="146" bestFit="1" customWidth="1"/>
    <col min="1576" max="1576" width="7.5" style="146" bestFit="1" customWidth="1"/>
    <col min="1577" max="1577" width="8.625" style="146" bestFit="1" customWidth="1"/>
    <col min="1578" max="1794" width="7.25" style="146"/>
    <col min="1795" max="1795" width="0.625" style="146" customWidth="1"/>
    <col min="1796" max="1797" width="10.5" style="146" customWidth="1"/>
    <col min="1798" max="1804" width="9.375" style="146" customWidth="1"/>
    <col min="1805" max="1812" width="8.875" style="146" customWidth="1"/>
    <col min="1813" max="1816" width="7.25" style="146"/>
    <col min="1817" max="1819" width="8.125" style="146" bestFit="1" customWidth="1"/>
    <col min="1820" max="1820" width="8.625" style="146" bestFit="1" customWidth="1"/>
    <col min="1821" max="1821" width="9.5" style="146" bestFit="1" customWidth="1"/>
    <col min="1822" max="1822" width="8.625" style="146" bestFit="1" customWidth="1"/>
    <col min="1823" max="1823" width="7.25" style="146"/>
    <col min="1824" max="1824" width="9.5" style="146" bestFit="1" customWidth="1"/>
    <col min="1825" max="1829" width="8.625" style="146" bestFit="1" customWidth="1"/>
    <col min="1830" max="1830" width="7.5" style="146" bestFit="1" customWidth="1"/>
    <col min="1831" max="1831" width="8.625" style="146" bestFit="1" customWidth="1"/>
    <col min="1832" max="1832" width="7.5" style="146" bestFit="1" customWidth="1"/>
    <col min="1833" max="1833" width="8.625" style="146" bestFit="1" customWidth="1"/>
    <col min="1834" max="2050" width="7.25" style="146"/>
    <col min="2051" max="2051" width="0.625" style="146" customWidth="1"/>
    <col min="2052" max="2053" width="10.5" style="146" customWidth="1"/>
    <col min="2054" max="2060" width="9.375" style="146" customWidth="1"/>
    <col min="2061" max="2068" width="8.875" style="146" customWidth="1"/>
    <col min="2069" max="2072" width="7.25" style="146"/>
    <col min="2073" max="2075" width="8.125" style="146" bestFit="1" customWidth="1"/>
    <col min="2076" max="2076" width="8.625" style="146" bestFit="1" customWidth="1"/>
    <col min="2077" max="2077" width="9.5" style="146" bestFit="1" customWidth="1"/>
    <col min="2078" max="2078" width="8.625" style="146" bestFit="1" customWidth="1"/>
    <col min="2079" max="2079" width="7.25" style="146"/>
    <col min="2080" max="2080" width="9.5" style="146" bestFit="1" customWidth="1"/>
    <col min="2081" max="2085" width="8.625" style="146" bestFit="1" customWidth="1"/>
    <col min="2086" max="2086" width="7.5" style="146" bestFit="1" customWidth="1"/>
    <col min="2087" max="2087" width="8.625" style="146" bestFit="1" customWidth="1"/>
    <col min="2088" max="2088" width="7.5" style="146" bestFit="1" customWidth="1"/>
    <col min="2089" max="2089" width="8.625" style="146" bestFit="1" customWidth="1"/>
    <col min="2090" max="2306" width="7.25" style="146"/>
    <col min="2307" max="2307" width="0.625" style="146" customWidth="1"/>
    <col min="2308" max="2309" width="10.5" style="146" customWidth="1"/>
    <col min="2310" max="2316" width="9.375" style="146" customWidth="1"/>
    <col min="2317" max="2324" width="8.875" style="146" customWidth="1"/>
    <col min="2325" max="2328" width="7.25" style="146"/>
    <col min="2329" max="2331" width="8.125" style="146" bestFit="1" customWidth="1"/>
    <col min="2332" max="2332" width="8.625" style="146" bestFit="1" customWidth="1"/>
    <col min="2333" max="2333" width="9.5" style="146" bestFit="1" customWidth="1"/>
    <col min="2334" max="2334" width="8.625" style="146" bestFit="1" customWidth="1"/>
    <col min="2335" max="2335" width="7.25" style="146"/>
    <col min="2336" max="2336" width="9.5" style="146" bestFit="1" customWidth="1"/>
    <col min="2337" max="2341" width="8.625" style="146" bestFit="1" customWidth="1"/>
    <col min="2342" max="2342" width="7.5" style="146" bestFit="1" customWidth="1"/>
    <col min="2343" max="2343" width="8.625" style="146" bestFit="1" customWidth="1"/>
    <col min="2344" max="2344" width="7.5" style="146" bestFit="1" customWidth="1"/>
    <col min="2345" max="2345" width="8.625" style="146" bestFit="1" customWidth="1"/>
    <col min="2346" max="2562" width="7.25" style="146"/>
    <col min="2563" max="2563" width="0.625" style="146" customWidth="1"/>
    <col min="2564" max="2565" width="10.5" style="146" customWidth="1"/>
    <col min="2566" max="2572" width="9.375" style="146" customWidth="1"/>
    <col min="2573" max="2580" width="8.875" style="146" customWidth="1"/>
    <col min="2581" max="2584" width="7.25" style="146"/>
    <col min="2585" max="2587" width="8.125" style="146" bestFit="1" customWidth="1"/>
    <col min="2588" max="2588" width="8.625" style="146" bestFit="1" customWidth="1"/>
    <col min="2589" max="2589" width="9.5" style="146" bestFit="1" customWidth="1"/>
    <col min="2590" max="2590" width="8.625" style="146" bestFit="1" customWidth="1"/>
    <col min="2591" max="2591" width="7.25" style="146"/>
    <col min="2592" max="2592" width="9.5" style="146" bestFit="1" customWidth="1"/>
    <col min="2593" max="2597" width="8.625" style="146" bestFit="1" customWidth="1"/>
    <col min="2598" max="2598" width="7.5" style="146" bestFit="1" customWidth="1"/>
    <col min="2599" max="2599" width="8.625" style="146" bestFit="1" customWidth="1"/>
    <col min="2600" max="2600" width="7.5" style="146" bestFit="1" customWidth="1"/>
    <col min="2601" max="2601" width="8.625" style="146" bestFit="1" customWidth="1"/>
    <col min="2602" max="2818" width="7.25" style="146"/>
    <col min="2819" max="2819" width="0.625" style="146" customWidth="1"/>
    <col min="2820" max="2821" width="10.5" style="146" customWidth="1"/>
    <col min="2822" max="2828" width="9.375" style="146" customWidth="1"/>
    <col min="2829" max="2836" width="8.875" style="146" customWidth="1"/>
    <col min="2837" max="2840" width="7.25" style="146"/>
    <col min="2841" max="2843" width="8.125" style="146" bestFit="1" customWidth="1"/>
    <col min="2844" max="2844" width="8.625" style="146" bestFit="1" customWidth="1"/>
    <col min="2845" max="2845" width="9.5" style="146" bestFit="1" customWidth="1"/>
    <col min="2846" max="2846" width="8.625" style="146" bestFit="1" customWidth="1"/>
    <col min="2847" max="2847" width="7.25" style="146"/>
    <col min="2848" max="2848" width="9.5" style="146" bestFit="1" customWidth="1"/>
    <col min="2849" max="2853" width="8.625" style="146" bestFit="1" customWidth="1"/>
    <col min="2854" max="2854" width="7.5" style="146" bestFit="1" customWidth="1"/>
    <col min="2855" max="2855" width="8.625" style="146" bestFit="1" customWidth="1"/>
    <col min="2856" max="2856" width="7.5" style="146" bestFit="1" customWidth="1"/>
    <col min="2857" max="2857" width="8.625" style="146" bestFit="1" customWidth="1"/>
    <col min="2858" max="3074" width="7.25" style="146"/>
    <col min="3075" max="3075" width="0.625" style="146" customWidth="1"/>
    <col min="3076" max="3077" width="10.5" style="146" customWidth="1"/>
    <col min="3078" max="3084" width="9.375" style="146" customWidth="1"/>
    <col min="3085" max="3092" width="8.875" style="146" customWidth="1"/>
    <col min="3093" max="3096" width="7.25" style="146"/>
    <col min="3097" max="3099" width="8.125" style="146" bestFit="1" customWidth="1"/>
    <col min="3100" max="3100" width="8.625" style="146" bestFit="1" customWidth="1"/>
    <col min="3101" max="3101" width="9.5" style="146" bestFit="1" customWidth="1"/>
    <col min="3102" max="3102" width="8.625" style="146" bestFit="1" customWidth="1"/>
    <col min="3103" max="3103" width="7.25" style="146"/>
    <col min="3104" max="3104" width="9.5" style="146" bestFit="1" customWidth="1"/>
    <col min="3105" max="3109" width="8.625" style="146" bestFit="1" customWidth="1"/>
    <col min="3110" max="3110" width="7.5" style="146" bestFit="1" customWidth="1"/>
    <col min="3111" max="3111" width="8.625" style="146" bestFit="1" customWidth="1"/>
    <col min="3112" max="3112" width="7.5" style="146" bestFit="1" customWidth="1"/>
    <col min="3113" max="3113" width="8.625" style="146" bestFit="1" customWidth="1"/>
    <col min="3114" max="3330" width="7.25" style="146"/>
    <col min="3331" max="3331" width="0.625" style="146" customWidth="1"/>
    <col min="3332" max="3333" width="10.5" style="146" customWidth="1"/>
    <col min="3334" max="3340" width="9.375" style="146" customWidth="1"/>
    <col min="3341" max="3348" width="8.875" style="146" customWidth="1"/>
    <col min="3349" max="3352" width="7.25" style="146"/>
    <col min="3353" max="3355" width="8.125" style="146" bestFit="1" customWidth="1"/>
    <col min="3356" max="3356" width="8.625" style="146" bestFit="1" customWidth="1"/>
    <col min="3357" max="3357" width="9.5" style="146" bestFit="1" customWidth="1"/>
    <col min="3358" max="3358" width="8.625" style="146" bestFit="1" customWidth="1"/>
    <col min="3359" max="3359" width="7.25" style="146"/>
    <col min="3360" max="3360" width="9.5" style="146" bestFit="1" customWidth="1"/>
    <col min="3361" max="3365" width="8.625" style="146" bestFit="1" customWidth="1"/>
    <col min="3366" max="3366" width="7.5" style="146" bestFit="1" customWidth="1"/>
    <col min="3367" max="3367" width="8.625" style="146" bestFit="1" customWidth="1"/>
    <col min="3368" max="3368" width="7.5" style="146" bestFit="1" customWidth="1"/>
    <col min="3369" max="3369" width="8.625" style="146" bestFit="1" customWidth="1"/>
    <col min="3370" max="3586" width="7.25" style="146"/>
    <col min="3587" max="3587" width="0.625" style="146" customWidth="1"/>
    <col min="3588" max="3589" width="10.5" style="146" customWidth="1"/>
    <col min="3590" max="3596" width="9.375" style="146" customWidth="1"/>
    <col min="3597" max="3604" width="8.875" style="146" customWidth="1"/>
    <col min="3605" max="3608" width="7.25" style="146"/>
    <col min="3609" max="3611" width="8.125" style="146" bestFit="1" customWidth="1"/>
    <col min="3612" max="3612" width="8.625" style="146" bestFit="1" customWidth="1"/>
    <col min="3613" max="3613" width="9.5" style="146" bestFit="1" customWidth="1"/>
    <col min="3614" max="3614" width="8.625" style="146" bestFit="1" customWidth="1"/>
    <col min="3615" max="3615" width="7.25" style="146"/>
    <col min="3616" max="3616" width="9.5" style="146" bestFit="1" customWidth="1"/>
    <col min="3617" max="3621" width="8.625" style="146" bestFit="1" customWidth="1"/>
    <col min="3622" max="3622" width="7.5" style="146" bestFit="1" customWidth="1"/>
    <col min="3623" max="3623" width="8.625" style="146" bestFit="1" customWidth="1"/>
    <col min="3624" max="3624" width="7.5" style="146" bestFit="1" customWidth="1"/>
    <col min="3625" max="3625" width="8.625" style="146" bestFit="1" customWidth="1"/>
    <col min="3626" max="3842" width="7.25" style="146"/>
    <col min="3843" max="3843" width="0.625" style="146" customWidth="1"/>
    <col min="3844" max="3845" width="10.5" style="146" customWidth="1"/>
    <col min="3846" max="3852" width="9.375" style="146" customWidth="1"/>
    <col min="3853" max="3860" width="8.875" style="146" customWidth="1"/>
    <col min="3861" max="3864" width="7.25" style="146"/>
    <col min="3865" max="3867" width="8.125" style="146" bestFit="1" customWidth="1"/>
    <col min="3868" max="3868" width="8.625" style="146" bestFit="1" customWidth="1"/>
    <col min="3869" max="3869" width="9.5" style="146" bestFit="1" customWidth="1"/>
    <col min="3870" max="3870" width="8.625" style="146" bestFit="1" customWidth="1"/>
    <col min="3871" max="3871" width="7.25" style="146"/>
    <col min="3872" max="3872" width="9.5" style="146" bestFit="1" customWidth="1"/>
    <col min="3873" max="3877" width="8.625" style="146" bestFit="1" customWidth="1"/>
    <col min="3878" max="3878" width="7.5" style="146" bestFit="1" customWidth="1"/>
    <col min="3879" max="3879" width="8.625" style="146" bestFit="1" customWidth="1"/>
    <col min="3880" max="3880" width="7.5" style="146" bestFit="1" customWidth="1"/>
    <col min="3881" max="3881" width="8.625" style="146" bestFit="1" customWidth="1"/>
    <col min="3882" max="4098" width="7.25" style="146"/>
    <col min="4099" max="4099" width="0.625" style="146" customWidth="1"/>
    <col min="4100" max="4101" width="10.5" style="146" customWidth="1"/>
    <col min="4102" max="4108" width="9.375" style="146" customWidth="1"/>
    <col min="4109" max="4116" width="8.875" style="146" customWidth="1"/>
    <col min="4117" max="4120" width="7.25" style="146"/>
    <col min="4121" max="4123" width="8.125" style="146" bestFit="1" customWidth="1"/>
    <col min="4124" max="4124" width="8.625" style="146" bestFit="1" customWidth="1"/>
    <col min="4125" max="4125" width="9.5" style="146" bestFit="1" customWidth="1"/>
    <col min="4126" max="4126" width="8.625" style="146" bestFit="1" customWidth="1"/>
    <col min="4127" max="4127" width="7.25" style="146"/>
    <col min="4128" max="4128" width="9.5" style="146" bestFit="1" customWidth="1"/>
    <col min="4129" max="4133" width="8.625" style="146" bestFit="1" customWidth="1"/>
    <col min="4134" max="4134" width="7.5" style="146" bestFit="1" customWidth="1"/>
    <col min="4135" max="4135" width="8.625" style="146" bestFit="1" customWidth="1"/>
    <col min="4136" max="4136" width="7.5" style="146" bestFit="1" customWidth="1"/>
    <col min="4137" max="4137" width="8.625" style="146" bestFit="1" customWidth="1"/>
    <col min="4138" max="4354" width="7.25" style="146"/>
    <col min="4355" max="4355" width="0.625" style="146" customWidth="1"/>
    <col min="4356" max="4357" width="10.5" style="146" customWidth="1"/>
    <col min="4358" max="4364" width="9.375" style="146" customWidth="1"/>
    <col min="4365" max="4372" width="8.875" style="146" customWidth="1"/>
    <col min="4373" max="4376" width="7.25" style="146"/>
    <col min="4377" max="4379" width="8.125" style="146" bestFit="1" customWidth="1"/>
    <col min="4380" max="4380" width="8.625" style="146" bestFit="1" customWidth="1"/>
    <col min="4381" max="4381" width="9.5" style="146" bestFit="1" customWidth="1"/>
    <col min="4382" max="4382" width="8.625" style="146" bestFit="1" customWidth="1"/>
    <col min="4383" max="4383" width="7.25" style="146"/>
    <col min="4384" max="4384" width="9.5" style="146" bestFit="1" customWidth="1"/>
    <col min="4385" max="4389" width="8.625" style="146" bestFit="1" customWidth="1"/>
    <col min="4390" max="4390" width="7.5" style="146" bestFit="1" customWidth="1"/>
    <col min="4391" max="4391" width="8.625" style="146" bestFit="1" customWidth="1"/>
    <col min="4392" max="4392" width="7.5" style="146" bestFit="1" customWidth="1"/>
    <col min="4393" max="4393" width="8.625" style="146" bestFit="1" customWidth="1"/>
    <col min="4394" max="4610" width="7.25" style="146"/>
    <col min="4611" max="4611" width="0.625" style="146" customWidth="1"/>
    <col min="4612" max="4613" width="10.5" style="146" customWidth="1"/>
    <col min="4614" max="4620" width="9.375" style="146" customWidth="1"/>
    <col min="4621" max="4628" width="8.875" style="146" customWidth="1"/>
    <col min="4629" max="4632" width="7.25" style="146"/>
    <col min="4633" max="4635" width="8.125" style="146" bestFit="1" customWidth="1"/>
    <col min="4636" max="4636" width="8.625" style="146" bestFit="1" customWidth="1"/>
    <col min="4637" max="4637" width="9.5" style="146" bestFit="1" customWidth="1"/>
    <col min="4638" max="4638" width="8.625" style="146" bestFit="1" customWidth="1"/>
    <col min="4639" max="4639" width="7.25" style="146"/>
    <col min="4640" max="4640" width="9.5" style="146" bestFit="1" customWidth="1"/>
    <col min="4641" max="4645" width="8.625" style="146" bestFit="1" customWidth="1"/>
    <col min="4646" max="4646" width="7.5" style="146" bestFit="1" customWidth="1"/>
    <col min="4647" max="4647" width="8.625" style="146" bestFit="1" customWidth="1"/>
    <col min="4648" max="4648" width="7.5" style="146" bestFit="1" customWidth="1"/>
    <col min="4649" max="4649" width="8.625" style="146" bestFit="1" customWidth="1"/>
    <col min="4650" max="4866" width="7.25" style="146"/>
    <col min="4867" max="4867" width="0.625" style="146" customWidth="1"/>
    <col min="4868" max="4869" width="10.5" style="146" customWidth="1"/>
    <col min="4870" max="4876" width="9.375" style="146" customWidth="1"/>
    <col min="4877" max="4884" width="8.875" style="146" customWidth="1"/>
    <col min="4885" max="4888" width="7.25" style="146"/>
    <col min="4889" max="4891" width="8.125" style="146" bestFit="1" customWidth="1"/>
    <col min="4892" max="4892" width="8.625" style="146" bestFit="1" customWidth="1"/>
    <col min="4893" max="4893" width="9.5" style="146" bestFit="1" customWidth="1"/>
    <col min="4894" max="4894" width="8.625" style="146" bestFit="1" customWidth="1"/>
    <col min="4895" max="4895" width="7.25" style="146"/>
    <col min="4896" max="4896" width="9.5" style="146" bestFit="1" customWidth="1"/>
    <col min="4897" max="4901" width="8.625" style="146" bestFit="1" customWidth="1"/>
    <col min="4902" max="4902" width="7.5" style="146" bestFit="1" customWidth="1"/>
    <col min="4903" max="4903" width="8.625" style="146" bestFit="1" customWidth="1"/>
    <col min="4904" max="4904" width="7.5" style="146" bestFit="1" customWidth="1"/>
    <col min="4905" max="4905" width="8.625" style="146" bestFit="1" customWidth="1"/>
    <col min="4906" max="5122" width="7.25" style="146"/>
    <col min="5123" max="5123" width="0.625" style="146" customWidth="1"/>
    <col min="5124" max="5125" width="10.5" style="146" customWidth="1"/>
    <col min="5126" max="5132" width="9.375" style="146" customWidth="1"/>
    <col min="5133" max="5140" width="8.875" style="146" customWidth="1"/>
    <col min="5141" max="5144" width="7.25" style="146"/>
    <col min="5145" max="5147" width="8.125" style="146" bestFit="1" customWidth="1"/>
    <col min="5148" max="5148" width="8.625" style="146" bestFit="1" customWidth="1"/>
    <col min="5149" max="5149" width="9.5" style="146" bestFit="1" customWidth="1"/>
    <col min="5150" max="5150" width="8.625" style="146" bestFit="1" customWidth="1"/>
    <col min="5151" max="5151" width="7.25" style="146"/>
    <col min="5152" max="5152" width="9.5" style="146" bestFit="1" customWidth="1"/>
    <col min="5153" max="5157" width="8.625" style="146" bestFit="1" customWidth="1"/>
    <col min="5158" max="5158" width="7.5" style="146" bestFit="1" customWidth="1"/>
    <col min="5159" max="5159" width="8.625" style="146" bestFit="1" customWidth="1"/>
    <col min="5160" max="5160" width="7.5" style="146" bestFit="1" customWidth="1"/>
    <col min="5161" max="5161" width="8.625" style="146" bestFit="1" customWidth="1"/>
    <col min="5162" max="5378" width="7.25" style="146"/>
    <col min="5379" max="5379" width="0.625" style="146" customWidth="1"/>
    <col min="5380" max="5381" width="10.5" style="146" customWidth="1"/>
    <col min="5382" max="5388" width="9.375" style="146" customWidth="1"/>
    <col min="5389" max="5396" width="8.875" style="146" customWidth="1"/>
    <col min="5397" max="5400" width="7.25" style="146"/>
    <col min="5401" max="5403" width="8.125" style="146" bestFit="1" customWidth="1"/>
    <col min="5404" max="5404" width="8.625" style="146" bestFit="1" customWidth="1"/>
    <col min="5405" max="5405" width="9.5" style="146" bestFit="1" customWidth="1"/>
    <col min="5406" max="5406" width="8.625" style="146" bestFit="1" customWidth="1"/>
    <col min="5407" max="5407" width="7.25" style="146"/>
    <col min="5408" max="5408" width="9.5" style="146" bestFit="1" customWidth="1"/>
    <col min="5409" max="5413" width="8.625" style="146" bestFit="1" customWidth="1"/>
    <col min="5414" max="5414" width="7.5" style="146" bestFit="1" customWidth="1"/>
    <col min="5415" max="5415" width="8.625" style="146" bestFit="1" customWidth="1"/>
    <col min="5416" max="5416" width="7.5" style="146" bestFit="1" customWidth="1"/>
    <col min="5417" max="5417" width="8.625" style="146" bestFit="1" customWidth="1"/>
    <col min="5418" max="5634" width="7.25" style="146"/>
    <col min="5635" max="5635" width="0.625" style="146" customWidth="1"/>
    <col min="5636" max="5637" width="10.5" style="146" customWidth="1"/>
    <col min="5638" max="5644" width="9.375" style="146" customWidth="1"/>
    <col min="5645" max="5652" width="8.875" style="146" customWidth="1"/>
    <col min="5653" max="5656" width="7.25" style="146"/>
    <col min="5657" max="5659" width="8.125" style="146" bestFit="1" customWidth="1"/>
    <col min="5660" max="5660" width="8.625" style="146" bestFit="1" customWidth="1"/>
    <col min="5661" max="5661" width="9.5" style="146" bestFit="1" customWidth="1"/>
    <col min="5662" max="5662" width="8.625" style="146" bestFit="1" customWidth="1"/>
    <col min="5663" max="5663" width="7.25" style="146"/>
    <col min="5664" max="5664" width="9.5" style="146" bestFit="1" customWidth="1"/>
    <col min="5665" max="5669" width="8.625" style="146" bestFit="1" customWidth="1"/>
    <col min="5670" max="5670" width="7.5" style="146" bestFit="1" customWidth="1"/>
    <col min="5671" max="5671" width="8.625" style="146" bestFit="1" customWidth="1"/>
    <col min="5672" max="5672" width="7.5" style="146" bestFit="1" customWidth="1"/>
    <col min="5673" max="5673" width="8.625" style="146" bestFit="1" customWidth="1"/>
    <col min="5674" max="5890" width="7.25" style="146"/>
    <col min="5891" max="5891" width="0.625" style="146" customWidth="1"/>
    <col min="5892" max="5893" width="10.5" style="146" customWidth="1"/>
    <col min="5894" max="5900" width="9.375" style="146" customWidth="1"/>
    <col min="5901" max="5908" width="8.875" style="146" customWidth="1"/>
    <col min="5909" max="5912" width="7.25" style="146"/>
    <col min="5913" max="5915" width="8.125" style="146" bestFit="1" customWidth="1"/>
    <col min="5916" max="5916" width="8.625" style="146" bestFit="1" customWidth="1"/>
    <col min="5917" max="5917" width="9.5" style="146" bestFit="1" customWidth="1"/>
    <col min="5918" max="5918" width="8.625" style="146" bestFit="1" customWidth="1"/>
    <col min="5919" max="5919" width="7.25" style="146"/>
    <col min="5920" max="5920" width="9.5" style="146" bestFit="1" customWidth="1"/>
    <col min="5921" max="5925" width="8.625" style="146" bestFit="1" customWidth="1"/>
    <col min="5926" max="5926" width="7.5" style="146" bestFit="1" customWidth="1"/>
    <col min="5927" max="5927" width="8.625" style="146" bestFit="1" customWidth="1"/>
    <col min="5928" max="5928" width="7.5" style="146" bestFit="1" customWidth="1"/>
    <col min="5929" max="5929" width="8.625" style="146" bestFit="1" customWidth="1"/>
    <col min="5930" max="6146" width="7.25" style="146"/>
    <col min="6147" max="6147" width="0.625" style="146" customWidth="1"/>
    <col min="6148" max="6149" width="10.5" style="146" customWidth="1"/>
    <col min="6150" max="6156" width="9.375" style="146" customWidth="1"/>
    <col min="6157" max="6164" width="8.875" style="146" customWidth="1"/>
    <col min="6165" max="6168" width="7.25" style="146"/>
    <col min="6169" max="6171" width="8.125" style="146" bestFit="1" customWidth="1"/>
    <col min="6172" max="6172" width="8.625" style="146" bestFit="1" customWidth="1"/>
    <col min="6173" max="6173" width="9.5" style="146" bestFit="1" customWidth="1"/>
    <col min="6174" max="6174" width="8.625" style="146" bestFit="1" customWidth="1"/>
    <col min="6175" max="6175" width="7.25" style="146"/>
    <col min="6176" max="6176" width="9.5" style="146" bestFit="1" customWidth="1"/>
    <col min="6177" max="6181" width="8.625" style="146" bestFit="1" customWidth="1"/>
    <col min="6182" max="6182" width="7.5" style="146" bestFit="1" customWidth="1"/>
    <col min="6183" max="6183" width="8.625" style="146" bestFit="1" customWidth="1"/>
    <col min="6184" max="6184" width="7.5" style="146" bestFit="1" customWidth="1"/>
    <col min="6185" max="6185" width="8.625" style="146" bestFit="1" customWidth="1"/>
    <col min="6186" max="6402" width="7.25" style="146"/>
    <col min="6403" max="6403" width="0.625" style="146" customWidth="1"/>
    <col min="6404" max="6405" width="10.5" style="146" customWidth="1"/>
    <col min="6406" max="6412" width="9.375" style="146" customWidth="1"/>
    <col min="6413" max="6420" width="8.875" style="146" customWidth="1"/>
    <col min="6421" max="6424" width="7.25" style="146"/>
    <col min="6425" max="6427" width="8.125" style="146" bestFit="1" customWidth="1"/>
    <col min="6428" max="6428" width="8.625" style="146" bestFit="1" customWidth="1"/>
    <col min="6429" max="6429" width="9.5" style="146" bestFit="1" customWidth="1"/>
    <col min="6430" max="6430" width="8.625" style="146" bestFit="1" customWidth="1"/>
    <col min="6431" max="6431" width="7.25" style="146"/>
    <col min="6432" max="6432" width="9.5" style="146" bestFit="1" customWidth="1"/>
    <col min="6433" max="6437" width="8.625" style="146" bestFit="1" customWidth="1"/>
    <col min="6438" max="6438" width="7.5" style="146" bestFit="1" customWidth="1"/>
    <col min="6439" max="6439" width="8.625" style="146" bestFit="1" customWidth="1"/>
    <col min="6440" max="6440" width="7.5" style="146" bestFit="1" customWidth="1"/>
    <col min="6441" max="6441" width="8.625" style="146" bestFit="1" customWidth="1"/>
    <col min="6442" max="6658" width="7.25" style="146"/>
    <col min="6659" max="6659" width="0.625" style="146" customWidth="1"/>
    <col min="6660" max="6661" width="10.5" style="146" customWidth="1"/>
    <col min="6662" max="6668" width="9.375" style="146" customWidth="1"/>
    <col min="6669" max="6676" width="8.875" style="146" customWidth="1"/>
    <col min="6677" max="6680" width="7.25" style="146"/>
    <col min="6681" max="6683" width="8.125" style="146" bestFit="1" customWidth="1"/>
    <col min="6684" max="6684" width="8.625" style="146" bestFit="1" customWidth="1"/>
    <col min="6685" max="6685" width="9.5" style="146" bestFit="1" customWidth="1"/>
    <col min="6686" max="6686" width="8.625" style="146" bestFit="1" customWidth="1"/>
    <col min="6687" max="6687" width="7.25" style="146"/>
    <col min="6688" max="6688" width="9.5" style="146" bestFit="1" customWidth="1"/>
    <col min="6689" max="6693" width="8.625" style="146" bestFit="1" customWidth="1"/>
    <col min="6694" max="6694" width="7.5" style="146" bestFit="1" customWidth="1"/>
    <col min="6695" max="6695" width="8.625" style="146" bestFit="1" customWidth="1"/>
    <col min="6696" max="6696" width="7.5" style="146" bestFit="1" customWidth="1"/>
    <col min="6697" max="6697" width="8.625" style="146" bestFit="1" customWidth="1"/>
    <col min="6698" max="6914" width="7.25" style="146"/>
    <col min="6915" max="6915" width="0.625" style="146" customWidth="1"/>
    <col min="6916" max="6917" width="10.5" style="146" customWidth="1"/>
    <col min="6918" max="6924" width="9.375" style="146" customWidth="1"/>
    <col min="6925" max="6932" width="8.875" style="146" customWidth="1"/>
    <col min="6933" max="6936" width="7.25" style="146"/>
    <col min="6937" max="6939" width="8.125" style="146" bestFit="1" customWidth="1"/>
    <col min="6940" max="6940" width="8.625" style="146" bestFit="1" customWidth="1"/>
    <col min="6941" max="6941" width="9.5" style="146" bestFit="1" customWidth="1"/>
    <col min="6942" max="6942" width="8.625" style="146" bestFit="1" customWidth="1"/>
    <col min="6943" max="6943" width="7.25" style="146"/>
    <col min="6944" max="6944" width="9.5" style="146" bestFit="1" customWidth="1"/>
    <col min="6945" max="6949" width="8.625" style="146" bestFit="1" customWidth="1"/>
    <col min="6950" max="6950" width="7.5" style="146" bestFit="1" customWidth="1"/>
    <col min="6951" max="6951" width="8.625" style="146" bestFit="1" customWidth="1"/>
    <col min="6952" max="6952" width="7.5" style="146" bestFit="1" customWidth="1"/>
    <col min="6953" max="6953" width="8.625" style="146" bestFit="1" customWidth="1"/>
    <col min="6954" max="7170" width="7.25" style="146"/>
    <col min="7171" max="7171" width="0.625" style="146" customWidth="1"/>
    <col min="7172" max="7173" width="10.5" style="146" customWidth="1"/>
    <col min="7174" max="7180" width="9.375" style="146" customWidth="1"/>
    <col min="7181" max="7188" width="8.875" style="146" customWidth="1"/>
    <col min="7189" max="7192" width="7.25" style="146"/>
    <col min="7193" max="7195" width="8.125" style="146" bestFit="1" customWidth="1"/>
    <col min="7196" max="7196" width="8.625" style="146" bestFit="1" customWidth="1"/>
    <col min="7197" max="7197" width="9.5" style="146" bestFit="1" customWidth="1"/>
    <col min="7198" max="7198" width="8.625" style="146" bestFit="1" customWidth="1"/>
    <col min="7199" max="7199" width="7.25" style="146"/>
    <col min="7200" max="7200" width="9.5" style="146" bestFit="1" customWidth="1"/>
    <col min="7201" max="7205" width="8.625" style="146" bestFit="1" customWidth="1"/>
    <col min="7206" max="7206" width="7.5" style="146" bestFit="1" customWidth="1"/>
    <col min="7207" max="7207" width="8.625" style="146" bestFit="1" customWidth="1"/>
    <col min="7208" max="7208" width="7.5" style="146" bestFit="1" customWidth="1"/>
    <col min="7209" max="7209" width="8.625" style="146" bestFit="1" customWidth="1"/>
    <col min="7210" max="7426" width="7.25" style="146"/>
    <col min="7427" max="7427" width="0.625" style="146" customWidth="1"/>
    <col min="7428" max="7429" width="10.5" style="146" customWidth="1"/>
    <col min="7430" max="7436" width="9.375" style="146" customWidth="1"/>
    <col min="7437" max="7444" width="8.875" style="146" customWidth="1"/>
    <col min="7445" max="7448" width="7.25" style="146"/>
    <col min="7449" max="7451" width="8.125" style="146" bestFit="1" customWidth="1"/>
    <col min="7452" max="7452" width="8.625" style="146" bestFit="1" customWidth="1"/>
    <col min="7453" max="7453" width="9.5" style="146" bestFit="1" customWidth="1"/>
    <col min="7454" max="7454" width="8.625" style="146" bestFit="1" customWidth="1"/>
    <col min="7455" max="7455" width="7.25" style="146"/>
    <col min="7456" max="7456" width="9.5" style="146" bestFit="1" customWidth="1"/>
    <col min="7457" max="7461" width="8.625" style="146" bestFit="1" customWidth="1"/>
    <col min="7462" max="7462" width="7.5" style="146" bestFit="1" customWidth="1"/>
    <col min="7463" max="7463" width="8.625" style="146" bestFit="1" customWidth="1"/>
    <col min="7464" max="7464" width="7.5" style="146" bestFit="1" customWidth="1"/>
    <col min="7465" max="7465" width="8.625" style="146" bestFit="1" customWidth="1"/>
    <col min="7466" max="7682" width="7.25" style="146"/>
    <col min="7683" max="7683" width="0.625" style="146" customWidth="1"/>
    <col min="7684" max="7685" width="10.5" style="146" customWidth="1"/>
    <col min="7686" max="7692" width="9.375" style="146" customWidth="1"/>
    <col min="7693" max="7700" width="8.875" style="146" customWidth="1"/>
    <col min="7701" max="7704" width="7.25" style="146"/>
    <col min="7705" max="7707" width="8.125" style="146" bestFit="1" customWidth="1"/>
    <col min="7708" max="7708" width="8.625" style="146" bestFit="1" customWidth="1"/>
    <col min="7709" max="7709" width="9.5" style="146" bestFit="1" customWidth="1"/>
    <col min="7710" max="7710" width="8.625" style="146" bestFit="1" customWidth="1"/>
    <col min="7711" max="7711" width="7.25" style="146"/>
    <col min="7712" max="7712" width="9.5" style="146" bestFit="1" customWidth="1"/>
    <col min="7713" max="7717" width="8.625" style="146" bestFit="1" customWidth="1"/>
    <col min="7718" max="7718" width="7.5" style="146" bestFit="1" customWidth="1"/>
    <col min="7719" max="7719" width="8.625" style="146" bestFit="1" customWidth="1"/>
    <col min="7720" max="7720" width="7.5" style="146" bestFit="1" customWidth="1"/>
    <col min="7721" max="7721" width="8.625" style="146" bestFit="1" customWidth="1"/>
    <col min="7722" max="7938" width="7.25" style="146"/>
    <col min="7939" max="7939" width="0.625" style="146" customWidth="1"/>
    <col min="7940" max="7941" width="10.5" style="146" customWidth="1"/>
    <col min="7942" max="7948" width="9.375" style="146" customWidth="1"/>
    <col min="7949" max="7956" width="8.875" style="146" customWidth="1"/>
    <col min="7957" max="7960" width="7.25" style="146"/>
    <col min="7961" max="7963" width="8.125" style="146" bestFit="1" customWidth="1"/>
    <col min="7964" max="7964" width="8.625" style="146" bestFit="1" customWidth="1"/>
    <col min="7965" max="7965" width="9.5" style="146" bestFit="1" customWidth="1"/>
    <col min="7966" max="7966" width="8.625" style="146" bestFit="1" customWidth="1"/>
    <col min="7967" max="7967" width="7.25" style="146"/>
    <col min="7968" max="7968" width="9.5" style="146" bestFit="1" customWidth="1"/>
    <col min="7969" max="7973" width="8.625" style="146" bestFit="1" customWidth="1"/>
    <col min="7974" max="7974" width="7.5" style="146" bestFit="1" customWidth="1"/>
    <col min="7975" max="7975" width="8.625" style="146" bestFit="1" customWidth="1"/>
    <col min="7976" max="7976" width="7.5" style="146" bestFit="1" customWidth="1"/>
    <col min="7977" max="7977" width="8.625" style="146" bestFit="1" customWidth="1"/>
    <col min="7978" max="8194" width="7.25" style="146"/>
    <col min="8195" max="8195" width="0.625" style="146" customWidth="1"/>
    <col min="8196" max="8197" width="10.5" style="146" customWidth="1"/>
    <col min="8198" max="8204" width="9.375" style="146" customWidth="1"/>
    <col min="8205" max="8212" width="8.875" style="146" customWidth="1"/>
    <col min="8213" max="8216" width="7.25" style="146"/>
    <col min="8217" max="8219" width="8.125" style="146" bestFit="1" customWidth="1"/>
    <col min="8220" max="8220" width="8.625" style="146" bestFit="1" customWidth="1"/>
    <col min="8221" max="8221" width="9.5" style="146" bestFit="1" customWidth="1"/>
    <col min="8222" max="8222" width="8.625" style="146" bestFit="1" customWidth="1"/>
    <col min="8223" max="8223" width="7.25" style="146"/>
    <col min="8224" max="8224" width="9.5" style="146" bestFit="1" customWidth="1"/>
    <col min="8225" max="8229" width="8.625" style="146" bestFit="1" customWidth="1"/>
    <col min="8230" max="8230" width="7.5" style="146" bestFit="1" customWidth="1"/>
    <col min="8231" max="8231" width="8.625" style="146" bestFit="1" customWidth="1"/>
    <col min="8232" max="8232" width="7.5" style="146" bestFit="1" customWidth="1"/>
    <col min="8233" max="8233" width="8.625" style="146" bestFit="1" customWidth="1"/>
    <col min="8234" max="8450" width="7.25" style="146"/>
    <col min="8451" max="8451" width="0.625" style="146" customWidth="1"/>
    <col min="8452" max="8453" width="10.5" style="146" customWidth="1"/>
    <col min="8454" max="8460" width="9.375" style="146" customWidth="1"/>
    <col min="8461" max="8468" width="8.875" style="146" customWidth="1"/>
    <col min="8469" max="8472" width="7.25" style="146"/>
    <col min="8473" max="8475" width="8.125" style="146" bestFit="1" customWidth="1"/>
    <col min="8476" max="8476" width="8.625" style="146" bestFit="1" customWidth="1"/>
    <col min="8477" max="8477" width="9.5" style="146" bestFit="1" customWidth="1"/>
    <col min="8478" max="8478" width="8.625" style="146" bestFit="1" customWidth="1"/>
    <col min="8479" max="8479" width="7.25" style="146"/>
    <col min="8480" max="8480" width="9.5" style="146" bestFit="1" customWidth="1"/>
    <col min="8481" max="8485" width="8.625" style="146" bestFit="1" customWidth="1"/>
    <col min="8486" max="8486" width="7.5" style="146" bestFit="1" customWidth="1"/>
    <col min="8487" max="8487" width="8.625" style="146" bestFit="1" customWidth="1"/>
    <col min="8488" max="8488" width="7.5" style="146" bestFit="1" customWidth="1"/>
    <col min="8489" max="8489" width="8.625" style="146" bestFit="1" customWidth="1"/>
    <col min="8490" max="8706" width="7.25" style="146"/>
    <col min="8707" max="8707" width="0.625" style="146" customWidth="1"/>
    <col min="8708" max="8709" width="10.5" style="146" customWidth="1"/>
    <col min="8710" max="8716" width="9.375" style="146" customWidth="1"/>
    <col min="8717" max="8724" width="8.875" style="146" customWidth="1"/>
    <col min="8725" max="8728" width="7.25" style="146"/>
    <col min="8729" max="8731" width="8.125" style="146" bestFit="1" customWidth="1"/>
    <col min="8732" max="8732" width="8.625" style="146" bestFit="1" customWidth="1"/>
    <col min="8733" max="8733" width="9.5" style="146" bestFit="1" customWidth="1"/>
    <col min="8734" max="8734" width="8.625" style="146" bestFit="1" customWidth="1"/>
    <col min="8735" max="8735" width="7.25" style="146"/>
    <col min="8736" max="8736" width="9.5" style="146" bestFit="1" customWidth="1"/>
    <col min="8737" max="8741" width="8.625" style="146" bestFit="1" customWidth="1"/>
    <col min="8742" max="8742" width="7.5" style="146" bestFit="1" customWidth="1"/>
    <col min="8743" max="8743" width="8.625" style="146" bestFit="1" customWidth="1"/>
    <col min="8744" max="8744" width="7.5" style="146" bestFit="1" customWidth="1"/>
    <col min="8745" max="8745" width="8.625" style="146" bestFit="1" customWidth="1"/>
    <col min="8746" max="8962" width="7.25" style="146"/>
    <col min="8963" max="8963" width="0.625" style="146" customWidth="1"/>
    <col min="8964" max="8965" width="10.5" style="146" customWidth="1"/>
    <col min="8966" max="8972" width="9.375" style="146" customWidth="1"/>
    <col min="8973" max="8980" width="8.875" style="146" customWidth="1"/>
    <col min="8981" max="8984" width="7.25" style="146"/>
    <col min="8985" max="8987" width="8.125" style="146" bestFit="1" customWidth="1"/>
    <col min="8988" max="8988" width="8.625" style="146" bestFit="1" customWidth="1"/>
    <col min="8989" max="8989" width="9.5" style="146" bestFit="1" customWidth="1"/>
    <col min="8990" max="8990" width="8.625" style="146" bestFit="1" customWidth="1"/>
    <col min="8991" max="8991" width="7.25" style="146"/>
    <col min="8992" max="8992" width="9.5" style="146" bestFit="1" customWidth="1"/>
    <col min="8993" max="8997" width="8.625" style="146" bestFit="1" customWidth="1"/>
    <col min="8998" max="8998" width="7.5" style="146" bestFit="1" customWidth="1"/>
    <col min="8999" max="8999" width="8.625" style="146" bestFit="1" customWidth="1"/>
    <col min="9000" max="9000" width="7.5" style="146" bestFit="1" customWidth="1"/>
    <col min="9001" max="9001" width="8.625" style="146" bestFit="1" customWidth="1"/>
    <col min="9002" max="9218" width="7.25" style="146"/>
    <col min="9219" max="9219" width="0.625" style="146" customWidth="1"/>
    <col min="9220" max="9221" width="10.5" style="146" customWidth="1"/>
    <col min="9222" max="9228" width="9.375" style="146" customWidth="1"/>
    <col min="9229" max="9236" width="8.875" style="146" customWidth="1"/>
    <col min="9237" max="9240" width="7.25" style="146"/>
    <col min="9241" max="9243" width="8.125" style="146" bestFit="1" customWidth="1"/>
    <col min="9244" max="9244" width="8.625" style="146" bestFit="1" customWidth="1"/>
    <col min="9245" max="9245" width="9.5" style="146" bestFit="1" customWidth="1"/>
    <col min="9246" max="9246" width="8.625" style="146" bestFit="1" customWidth="1"/>
    <col min="9247" max="9247" width="7.25" style="146"/>
    <col min="9248" max="9248" width="9.5" style="146" bestFit="1" customWidth="1"/>
    <col min="9249" max="9253" width="8.625" style="146" bestFit="1" customWidth="1"/>
    <col min="9254" max="9254" width="7.5" style="146" bestFit="1" customWidth="1"/>
    <col min="9255" max="9255" width="8.625" style="146" bestFit="1" customWidth="1"/>
    <col min="9256" max="9256" width="7.5" style="146" bestFit="1" customWidth="1"/>
    <col min="9257" max="9257" width="8.625" style="146" bestFit="1" customWidth="1"/>
    <col min="9258" max="9474" width="7.25" style="146"/>
    <col min="9475" max="9475" width="0.625" style="146" customWidth="1"/>
    <col min="9476" max="9477" width="10.5" style="146" customWidth="1"/>
    <col min="9478" max="9484" width="9.375" style="146" customWidth="1"/>
    <col min="9485" max="9492" width="8.875" style="146" customWidth="1"/>
    <col min="9493" max="9496" width="7.25" style="146"/>
    <col min="9497" max="9499" width="8.125" style="146" bestFit="1" customWidth="1"/>
    <col min="9500" max="9500" width="8.625" style="146" bestFit="1" customWidth="1"/>
    <col min="9501" max="9501" width="9.5" style="146" bestFit="1" customWidth="1"/>
    <col min="9502" max="9502" width="8.625" style="146" bestFit="1" customWidth="1"/>
    <col min="9503" max="9503" width="7.25" style="146"/>
    <col min="9504" max="9504" width="9.5" style="146" bestFit="1" customWidth="1"/>
    <col min="9505" max="9509" width="8.625" style="146" bestFit="1" customWidth="1"/>
    <col min="9510" max="9510" width="7.5" style="146" bestFit="1" customWidth="1"/>
    <col min="9511" max="9511" width="8.625" style="146" bestFit="1" customWidth="1"/>
    <col min="9512" max="9512" width="7.5" style="146" bestFit="1" customWidth="1"/>
    <col min="9513" max="9513" width="8.625" style="146" bestFit="1" customWidth="1"/>
    <col min="9514" max="9730" width="7.25" style="146"/>
    <col min="9731" max="9731" width="0.625" style="146" customWidth="1"/>
    <col min="9732" max="9733" width="10.5" style="146" customWidth="1"/>
    <col min="9734" max="9740" width="9.375" style="146" customWidth="1"/>
    <col min="9741" max="9748" width="8.875" style="146" customWidth="1"/>
    <col min="9749" max="9752" width="7.25" style="146"/>
    <col min="9753" max="9755" width="8.125" style="146" bestFit="1" customWidth="1"/>
    <col min="9756" max="9756" width="8.625" style="146" bestFit="1" customWidth="1"/>
    <col min="9757" max="9757" width="9.5" style="146" bestFit="1" customWidth="1"/>
    <col min="9758" max="9758" width="8.625" style="146" bestFit="1" customWidth="1"/>
    <col min="9759" max="9759" width="7.25" style="146"/>
    <col min="9760" max="9760" width="9.5" style="146" bestFit="1" customWidth="1"/>
    <col min="9761" max="9765" width="8.625" style="146" bestFit="1" customWidth="1"/>
    <col min="9766" max="9766" width="7.5" style="146" bestFit="1" customWidth="1"/>
    <col min="9767" max="9767" width="8.625" style="146" bestFit="1" customWidth="1"/>
    <col min="9768" max="9768" width="7.5" style="146" bestFit="1" customWidth="1"/>
    <col min="9769" max="9769" width="8.625" style="146" bestFit="1" customWidth="1"/>
    <col min="9770" max="9986" width="7.25" style="146"/>
    <col min="9987" max="9987" width="0.625" style="146" customWidth="1"/>
    <col min="9988" max="9989" width="10.5" style="146" customWidth="1"/>
    <col min="9990" max="9996" width="9.375" style="146" customWidth="1"/>
    <col min="9997" max="10004" width="8.875" style="146" customWidth="1"/>
    <col min="10005" max="10008" width="7.25" style="146"/>
    <col min="10009" max="10011" width="8.125" style="146" bestFit="1" customWidth="1"/>
    <col min="10012" max="10012" width="8.625" style="146" bestFit="1" customWidth="1"/>
    <col min="10013" max="10013" width="9.5" style="146" bestFit="1" customWidth="1"/>
    <col min="10014" max="10014" width="8.625" style="146" bestFit="1" customWidth="1"/>
    <col min="10015" max="10015" width="7.25" style="146"/>
    <col min="10016" max="10016" width="9.5" style="146" bestFit="1" customWidth="1"/>
    <col min="10017" max="10021" width="8.625" style="146" bestFit="1" customWidth="1"/>
    <col min="10022" max="10022" width="7.5" style="146" bestFit="1" customWidth="1"/>
    <col min="10023" max="10023" width="8.625" style="146" bestFit="1" customWidth="1"/>
    <col min="10024" max="10024" width="7.5" style="146" bestFit="1" customWidth="1"/>
    <col min="10025" max="10025" width="8.625" style="146" bestFit="1" customWidth="1"/>
    <col min="10026" max="10242" width="7.25" style="146"/>
    <col min="10243" max="10243" width="0.625" style="146" customWidth="1"/>
    <col min="10244" max="10245" width="10.5" style="146" customWidth="1"/>
    <col min="10246" max="10252" width="9.375" style="146" customWidth="1"/>
    <col min="10253" max="10260" width="8.875" style="146" customWidth="1"/>
    <col min="10261" max="10264" width="7.25" style="146"/>
    <col min="10265" max="10267" width="8.125" style="146" bestFit="1" customWidth="1"/>
    <col min="10268" max="10268" width="8.625" style="146" bestFit="1" customWidth="1"/>
    <col min="10269" max="10269" width="9.5" style="146" bestFit="1" customWidth="1"/>
    <col min="10270" max="10270" width="8.625" style="146" bestFit="1" customWidth="1"/>
    <col min="10271" max="10271" width="7.25" style="146"/>
    <col min="10272" max="10272" width="9.5" style="146" bestFit="1" customWidth="1"/>
    <col min="10273" max="10277" width="8.625" style="146" bestFit="1" customWidth="1"/>
    <col min="10278" max="10278" width="7.5" style="146" bestFit="1" customWidth="1"/>
    <col min="10279" max="10279" width="8.625" style="146" bestFit="1" customWidth="1"/>
    <col min="10280" max="10280" width="7.5" style="146" bestFit="1" customWidth="1"/>
    <col min="10281" max="10281" width="8.625" style="146" bestFit="1" customWidth="1"/>
    <col min="10282" max="10498" width="7.25" style="146"/>
    <col min="10499" max="10499" width="0.625" style="146" customWidth="1"/>
    <col min="10500" max="10501" width="10.5" style="146" customWidth="1"/>
    <col min="10502" max="10508" width="9.375" style="146" customWidth="1"/>
    <col min="10509" max="10516" width="8.875" style="146" customWidth="1"/>
    <col min="10517" max="10520" width="7.25" style="146"/>
    <col min="10521" max="10523" width="8.125" style="146" bestFit="1" customWidth="1"/>
    <col min="10524" max="10524" width="8.625" style="146" bestFit="1" customWidth="1"/>
    <col min="10525" max="10525" width="9.5" style="146" bestFit="1" customWidth="1"/>
    <col min="10526" max="10526" width="8.625" style="146" bestFit="1" customWidth="1"/>
    <col min="10527" max="10527" width="7.25" style="146"/>
    <col min="10528" max="10528" width="9.5" style="146" bestFit="1" customWidth="1"/>
    <col min="10529" max="10533" width="8.625" style="146" bestFit="1" customWidth="1"/>
    <col min="10534" max="10534" width="7.5" style="146" bestFit="1" customWidth="1"/>
    <col min="10535" max="10535" width="8.625" style="146" bestFit="1" customWidth="1"/>
    <col min="10536" max="10536" width="7.5" style="146" bestFit="1" customWidth="1"/>
    <col min="10537" max="10537" width="8.625" style="146" bestFit="1" customWidth="1"/>
    <col min="10538" max="10754" width="7.25" style="146"/>
    <col min="10755" max="10755" width="0.625" style="146" customWidth="1"/>
    <col min="10756" max="10757" width="10.5" style="146" customWidth="1"/>
    <col min="10758" max="10764" width="9.375" style="146" customWidth="1"/>
    <col min="10765" max="10772" width="8.875" style="146" customWidth="1"/>
    <col min="10773" max="10776" width="7.25" style="146"/>
    <col min="10777" max="10779" width="8.125" style="146" bestFit="1" customWidth="1"/>
    <col min="10780" max="10780" width="8.625" style="146" bestFit="1" customWidth="1"/>
    <col min="10781" max="10781" width="9.5" style="146" bestFit="1" customWidth="1"/>
    <col min="10782" max="10782" width="8.625" style="146" bestFit="1" customWidth="1"/>
    <col min="10783" max="10783" width="7.25" style="146"/>
    <col min="10784" max="10784" width="9.5" style="146" bestFit="1" customWidth="1"/>
    <col min="10785" max="10789" width="8.625" style="146" bestFit="1" customWidth="1"/>
    <col min="10790" max="10790" width="7.5" style="146" bestFit="1" customWidth="1"/>
    <col min="10791" max="10791" width="8.625" style="146" bestFit="1" customWidth="1"/>
    <col min="10792" max="10792" width="7.5" style="146" bestFit="1" customWidth="1"/>
    <col min="10793" max="10793" width="8.625" style="146" bestFit="1" customWidth="1"/>
    <col min="10794" max="11010" width="7.25" style="146"/>
    <col min="11011" max="11011" width="0.625" style="146" customWidth="1"/>
    <col min="11012" max="11013" width="10.5" style="146" customWidth="1"/>
    <col min="11014" max="11020" width="9.375" style="146" customWidth="1"/>
    <col min="11021" max="11028" width="8.875" style="146" customWidth="1"/>
    <col min="11029" max="11032" width="7.25" style="146"/>
    <col min="11033" max="11035" width="8.125" style="146" bestFit="1" customWidth="1"/>
    <col min="11036" max="11036" width="8.625" style="146" bestFit="1" customWidth="1"/>
    <col min="11037" max="11037" width="9.5" style="146" bestFit="1" customWidth="1"/>
    <col min="11038" max="11038" width="8.625" style="146" bestFit="1" customWidth="1"/>
    <col min="11039" max="11039" width="7.25" style="146"/>
    <col min="11040" max="11040" width="9.5" style="146" bestFit="1" customWidth="1"/>
    <col min="11041" max="11045" width="8.625" style="146" bestFit="1" customWidth="1"/>
    <col min="11046" max="11046" width="7.5" style="146" bestFit="1" customWidth="1"/>
    <col min="11047" max="11047" width="8.625" style="146" bestFit="1" customWidth="1"/>
    <col min="11048" max="11048" width="7.5" style="146" bestFit="1" customWidth="1"/>
    <col min="11049" max="11049" width="8.625" style="146" bestFit="1" customWidth="1"/>
    <col min="11050" max="11266" width="7.25" style="146"/>
    <col min="11267" max="11267" width="0.625" style="146" customWidth="1"/>
    <col min="11268" max="11269" width="10.5" style="146" customWidth="1"/>
    <col min="11270" max="11276" width="9.375" style="146" customWidth="1"/>
    <col min="11277" max="11284" width="8.875" style="146" customWidth="1"/>
    <col min="11285" max="11288" width="7.25" style="146"/>
    <col min="11289" max="11291" width="8.125" style="146" bestFit="1" customWidth="1"/>
    <col min="11292" max="11292" width="8.625" style="146" bestFit="1" customWidth="1"/>
    <col min="11293" max="11293" width="9.5" style="146" bestFit="1" customWidth="1"/>
    <col min="11294" max="11294" width="8.625" style="146" bestFit="1" customWidth="1"/>
    <col min="11295" max="11295" width="7.25" style="146"/>
    <col min="11296" max="11296" width="9.5" style="146" bestFit="1" customWidth="1"/>
    <col min="11297" max="11301" width="8.625" style="146" bestFit="1" customWidth="1"/>
    <col min="11302" max="11302" width="7.5" style="146" bestFit="1" customWidth="1"/>
    <col min="11303" max="11303" width="8.625" style="146" bestFit="1" customWidth="1"/>
    <col min="11304" max="11304" width="7.5" style="146" bestFit="1" customWidth="1"/>
    <col min="11305" max="11305" width="8.625" style="146" bestFit="1" customWidth="1"/>
    <col min="11306" max="11522" width="7.25" style="146"/>
    <col min="11523" max="11523" width="0.625" style="146" customWidth="1"/>
    <col min="11524" max="11525" width="10.5" style="146" customWidth="1"/>
    <col min="11526" max="11532" width="9.375" style="146" customWidth="1"/>
    <col min="11533" max="11540" width="8.875" style="146" customWidth="1"/>
    <col min="11541" max="11544" width="7.25" style="146"/>
    <col min="11545" max="11547" width="8.125" style="146" bestFit="1" customWidth="1"/>
    <col min="11548" max="11548" width="8.625" style="146" bestFit="1" customWidth="1"/>
    <col min="11549" max="11549" width="9.5" style="146" bestFit="1" customWidth="1"/>
    <col min="11550" max="11550" width="8.625" style="146" bestFit="1" customWidth="1"/>
    <col min="11551" max="11551" width="7.25" style="146"/>
    <col min="11552" max="11552" width="9.5" style="146" bestFit="1" customWidth="1"/>
    <col min="11553" max="11557" width="8.625" style="146" bestFit="1" customWidth="1"/>
    <col min="11558" max="11558" width="7.5" style="146" bestFit="1" customWidth="1"/>
    <col min="11559" max="11559" width="8.625" style="146" bestFit="1" customWidth="1"/>
    <col min="11560" max="11560" width="7.5" style="146" bestFit="1" customWidth="1"/>
    <col min="11561" max="11561" width="8.625" style="146" bestFit="1" customWidth="1"/>
    <col min="11562" max="11778" width="7.25" style="146"/>
    <col min="11779" max="11779" width="0.625" style="146" customWidth="1"/>
    <col min="11780" max="11781" width="10.5" style="146" customWidth="1"/>
    <col min="11782" max="11788" width="9.375" style="146" customWidth="1"/>
    <col min="11789" max="11796" width="8.875" style="146" customWidth="1"/>
    <col min="11797" max="11800" width="7.25" style="146"/>
    <col min="11801" max="11803" width="8.125" style="146" bestFit="1" customWidth="1"/>
    <col min="11804" max="11804" width="8.625" style="146" bestFit="1" customWidth="1"/>
    <col min="11805" max="11805" width="9.5" style="146" bestFit="1" customWidth="1"/>
    <col min="11806" max="11806" width="8.625" style="146" bestFit="1" customWidth="1"/>
    <col min="11807" max="11807" width="7.25" style="146"/>
    <col min="11808" max="11808" width="9.5" style="146" bestFit="1" customWidth="1"/>
    <col min="11809" max="11813" width="8.625" style="146" bestFit="1" customWidth="1"/>
    <col min="11814" max="11814" width="7.5" style="146" bestFit="1" customWidth="1"/>
    <col min="11815" max="11815" width="8.625" style="146" bestFit="1" customWidth="1"/>
    <col min="11816" max="11816" width="7.5" style="146" bestFit="1" customWidth="1"/>
    <col min="11817" max="11817" width="8.625" style="146" bestFit="1" customWidth="1"/>
    <col min="11818" max="12034" width="7.25" style="146"/>
    <col min="12035" max="12035" width="0.625" style="146" customWidth="1"/>
    <col min="12036" max="12037" width="10.5" style="146" customWidth="1"/>
    <col min="12038" max="12044" width="9.375" style="146" customWidth="1"/>
    <col min="12045" max="12052" width="8.875" style="146" customWidth="1"/>
    <col min="12053" max="12056" width="7.25" style="146"/>
    <col min="12057" max="12059" width="8.125" style="146" bestFit="1" customWidth="1"/>
    <col min="12060" max="12060" width="8.625" style="146" bestFit="1" customWidth="1"/>
    <col min="12061" max="12061" width="9.5" style="146" bestFit="1" customWidth="1"/>
    <col min="12062" max="12062" width="8.625" style="146" bestFit="1" customWidth="1"/>
    <col min="12063" max="12063" width="7.25" style="146"/>
    <col min="12064" max="12064" width="9.5" style="146" bestFit="1" customWidth="1"/>
    <col min="12065" max="12069" width="8.625" style="146" bestFit="1" customWidth="1"/>
    <col min="12070" max="12070" width="7.5" style="146" bestFit="1" customWidth="1"/>
    <col min="12071" max="12071" width="8.625" style="146" bestFit="1" customWidth="1"/>
    <col min="12072" max="12072" width="7.5" style="146" bestFit="1" customWidth="1"/>
    <col min="12073" max="12073" width="8.625" style="146" bestFit="1" customWidth="1"/>
    <col min="12074" max="12290" width="7.25" style="146"/>
    <col min="12291" max="12291" width="0.625" style="146" customWidth="1"/>
    <col min="12292" max="12293" width="10.5" style="146" customWidth="1"/>
    <col min="12294" max="12300" width="9.375" style="146" customWidth="1"/>
    <col min="12301" max="12308" width="8.875" style="146" customWidth="1"/>
    <col min="12309" max="12312" width="7.25" style="146"/>
    <col min="12313" max="12315" width="8.125" style="146" bestFit="1" customWidth="1"/>
    <col min="12316" max="12316" width="8.625" style="146" bestFit="1" customWidth="1"/>
    <col min="12317" max="12317" width="9.5" style="146" bestFit="1" customWidth="1"/>
    <col min="12318" max="12318" width="8.625" style="146" bestFit="1" customWidth="1"/>
    <col min="12319" max="12319" width="7.25" style="146"/>
    <col min="12320" max="12320" width="9.5" style="146" bestFit="1" customWidth="1"/>
    <col min="12321" max="12325" width="8.625" style="146" bestFit="1" customWidth="1"/>
    <col min="12326" max="12326" width="7.5" style="146" bestFit="1" customWidth="1"/>
    <col min="12327" max="12327" width="8.625" style="146" bestFit="1" customWidth="1"/>
    <col min="12328" max="12328" width="7.5" style="146" bestFit="1" customWidth="1"/>
    <col min="12329" max="12329" width="8.625" style="146" bestFit="1" customWidth="1"/>
    <col min="12330" max="12546" width="7.25" style="146"/>
    <col min="12547" max="12547" width="0.625" style="146" customWidth="1"/>
    <col min="12548" max="12549" width="10.5" style="146" customWidth="1"/>
    <col min="12550" max="12556" width="9.375" style="146" customWidth="1"/>
    <col min="12557" max="12564" width="8.875" style="146" customWidth="1"/>
    <col min="12565" max="12568" width="7.25" style="146"/>
    <col min="12569" max="12571" width="8.125" style="146" bestFit="1" customWidth="1"/>
    <col min="12572" max="12572" width="8.625" style="146" bestFit="1" customWidth="1"/>
    <col min="12573" max="12573" width="9.5" style="146" bestFit="1" customWidth="1"/>
    <col min="12574" max="12574" width="8.625" style="146" bestFit="1" customWidth="1"/>
    <col min="12575" max="12575" width="7.25" style="146"/>
    <col min="12576" max="12576" width="9.5" style="146" bestFit="1" customWidth="1"/>
    <col min="12577" max="12581" width="8.625" style="146" bestFit="1" customWidth="1"/>
    <col min="12582" max="12582" width="7.5" style="146" bestFit="1" customWidth="1"/>
    <col min="12583" max="12583" width="8.625" style="146" bestFit="1" customWidth="1"/>
    <col min="12584" max="12584" width="7.5" style="146" bestFit="1" customWidth="1"/>
    <col min="12585" max="12585" width="8.625" style="146" bestFit="1" customWidth="1"/>
    <col min="12586" max="12802" width="7.25" style="146"/>
    <col min="12803" max="12803" width="0.625" style="146" customWidth="1"/>
    <col min="12804" max="12805" width="10.5" style="146" customWidth="1"/>
    <col min="12806" max="12812" width="9.375" style="146" customWidth="1"/>
    <col min="12813" max="12820" width="8.875" style="146" customWidth="1"/>
    <col min="12821" max="12824" width="7.25" style="146"/>
    <col min="12825" max="12827" width="8.125" style="146" bestFit="1" customWidth="1"/>
    <col min="12828" max="12828" width="8.625" style="146" bestFit="1" customWidth="1"/>
    <col min="12829" max="12829" width="9.5" style="146" bestFit="1" customWidth="1"/>
    <col min="12830" max="12830" width="8.625" style="146" bestFit="1" customWidth="1"/>
    <col min="12831" max="12831" width="7.25" style="146"/>
    <col min="12832" max="12832" width="9.5" style="146" bestFit="1" customWidth="1"/>
    <col min="12833" max="12837" width="8.625" style="146" bestFit="1" customWidth="1"/>
    <col min="12838" max="12838" width="7.5" style="146" bestFit="1" customWidth="1"/>
    <col min="12839" max="12839" width="8.625" style="146" bestFit="1" customWidth="1"/>
    <col min="12840" max="12840" width="7.5" style="146" bestFit="1" customWidth="1"/>
    <col min="12841" max="12841" width="8.625" style="146" bestFit="1" customWidth="1"/>
    <col min="12842" max="13058" width="7.25" style="146"/>
    <col min="13059" max="13059" width="0.625" style="146" customWidth="1"/>
    <col min="13060" max="13061" width="10.5" style="146" customWidth="1"/>
    <col min="13062" max="13068" width="9.375" style="146" customWidth="1"/>
    <col min="13069" max="13076" width="8.875" style="146" customWidth="1"/>
    <col min="13077" max="13080" width="7.25" style="146"/>
    <col min="13081" max="13083" width="8.125" style="146" bestFit="1" customWidth="1"/>
    <col min="13084" max="13084" width="8.625" style="146" bestFit="1" customWidth="1"/>
    <col min="13085" max="13085" width="9.5" style="146" bestFit="1" customWidth="1"/>
    <col min="13086" max="13086" width="8.625" style="146" bestFit="1" customWidth="1"/>
    <col min="13087" max="13087" width="7.25" style="146"/>
    <col min="13088" max="13088" width="9.5" style="146" bestFit="1" customWidth="1"/>
    <col min="13089" max="13093" width="8.625" style="146" bestFit="1" customWidth="1"/>
    <col min="13094" max="13094" width="7.5" style="146" bestFit="1" customWidth="1"/>
    <col min="13095" max="13095" width="8.625" style="146" bestFit="1" customWidth="1"/>
    <col min="13096" max="13096" width="7.5" style="146" bestFit="1" customWidth="1"/>
    <col min="13097" max="13097" width="8.625" style="146" bestFit="1" customWidth="1"/>
    <col min="13098" max="13314" width="7.25" style="146"/>
    <col min="13315" max="13315" width="0.625" style="146" customWidth="1"/>
    <col min="13316" max="13317" width="10.5" style="146" customWidth="1"/>
    <col min="13318" max="13324" width="9.375" style="146" customWidth="1"/>
    <col min="13325" max="13332" width="8.875" style="146" customWidth="1"/>
    <col min="13333" max="13336" width="7.25" style="146"/>
    <col min="13337" max="13339" width="8.125" style="146" bestFit="1" customWidth="1"/>
    <col min="13340" max="13340" width="8.625" style="146" bestFit="1" customWidth="1"/>
    <col min="13341" max="13341" width="9.5" style="146" bestFit="1" customWidth="1"/>
    <col min="13342" max="13342" width="8.625" style="146" bestFit="1" customWidth="1"/>
    <col min="13343" max="13343" width="7.25" style="146"/>
    <col min="13344" max="13344" width="9.5" style="146" bestFit="1" customWidth="1"/>
    <col min="13345" max="13349" width="8.625" style="146" bestFit="1" customWidth="1"/>
    <col min="13350" max="13350" width="7.5" style="146" bestFit="1" customWidth="1"/>
    <col min="13351" max="13351" width="8.625" style="146" bestFit="1" customWidth="1"/>
    <col min="13352" max="13352" width="7.5" style="146" bestFit="1" customWidth="1"/>
    <col min="13353" max="13353" width="8.625" style="146" bestFit="1" customWidth="1"/>
    <col min="13354" max="13570" width="7.25" style="146"/>
    <col min="13571" max="13571" width="0.625" style="146" customWidth="1"/>
    <col min="13572" max="13573" width="10.5" style="146" customWidth="1"/>
    <col min="13574" max="13580" width="9.375" style="146" customWidth="1"/>
    <col min="13581" max="13588" width="8.875" style="146" customWidth="1"/>
    <col min="13589" max="13592" width="7.25" style="146"/>
    <col min="13593" max="13595" width="8.125" style="146" bestFit="1" customWidth="1"/>
    <col min="13596" max="13596" width="8.625" style="146" bestFit="1" customWidth="1"/>
    <col min="13597" max="13597" width="9.5" style="146" bestFit="1" customWidth="1"/>
    <col min="13598" max="13598" width="8.625" style="146" bestFit="1" customWidth="1"/>
    <col min="13599" max="13599" width="7.25" style="146"/>
    <col min="13600" max="13600" width="9.5" style="146" bestFit="1" customWidth="1"/>
    <col min="13601" max="13605" width="8.625" style="146" bestFit="1" customWidth="1"/>
    <col min="13606" max="13606" width="7.5" style="146" bestFit="1" customWidth="1"/>
    <col min="13607" max="13607" width="8.625" style="146" bestFit="1" customWidth="1"/>
    <col min="13608" max="13608" width="7.5" style="146" bestFit="1" customWidth="1"/>
    <col min="13609" max="13609" width="8.625" style="146" bestFit="1" customWidth="1"/>
    <col min="13610" max="13826" width="7.25" style="146"/>
    <col min="13827" max="13827" width="0.625" style="146" customWidth="1"/>
    <col min="13828" max="13829" width="10.5" style="146" customWidth="1"/>
    <col min="13830" max="13836" width="9.375" style="146" customWidth="1"/>
    <col min="13837" max="13844" width="8.875" style="146" customWidth="1"/>
    <col min="13845" max="13848" width="7.25" style="146"/>
    <col min="13849" max="13851" width="8.125" style="146" bestFit="1" customWidth="1"/>
    <col min="13852" max="13852" width="8.625" style="146" bestFit="1" customWidth="1"/>
    <col min="13853" max="13853" width="9.5" style="146" bestFit="1" customWidth="1"/>
    <col min="13854" max="13854" width="8.625" style="146" bestFit="1" customWidth="1"/>
    <col min="13855" max="13855" width="7.25" style="146"/>
    <col min="13856" max="13856" width="9.5" style="146" bestFit="1" customWidth="1"/>
    <col min="13857" max="13861" width="8.625" style="146" bestFit="1" customWidth="1"/>
    <col min="13862" max="13862" width="7.5" style="146" bestFit="1" customWidth="1"/>
    <col min="13863" max="13863" width="8.625" style="146" bestFit="1" customWidth="1"/>
    <col min="13864" max="13864" width="7.5" style="146" bestFit="1" customWidth="1"/>
    <col min="13865" max="13865" width="8.625" style="146" bestFit="1" customWidth="1"/>
    <col min="13866" max="14082" width="7.25" style="146"/>
    <col min="14083" max="14083" width="0.625" style="146" customWidth="1"/>
    <col min="14084" max="14085" width="10.5" style="146" customWidth="1"/>
    <col min="14086" max="14092" width="9.375" style="146" customWidth="1"/>
    <col min="14093" max="14100" width="8.875" style="146" customWidth="1"/>
    <col min="14101" max="14104" width="7.25" style="146"/>
    <col min="14105" max="14107" width="8.125" style="146" bestFit="1" customWidth="1"/>
    <col min="14108" max="14108" width="8.625" style="146" bestFit="1" customWidth="1"/>
    <col min="14109" max="14109" width="9.5" style="146" bestFit="1" customWidth="1"/>
    <col min="14110" max="14110" width="8.625" style="146" bestFit="1" customWidth="1"/>
    <col min="14111" max="14111" width="7.25" style="146"/>
    <col min="14112" max="14112" width="9.5" style="146" bestFit="1" customWidth="1"/>
    <col min="14113" max="14117" width="8.625" style="146" bestFit="1" customWidth="1"/>
    <col min="14118" max="14118" width="7.5" style="146" bestFit="1" customWidth="1"/>
    <col min="14119" max="14119" width="8.625" style="146" bestFit="1" customWidth="1"/>
    <col min="14120" max="14120" width="7.5" style="146" bestFit="1" customWidth="1"/>
    <col min="14121" max="14121" width="8.625" style="146" bestFit="1" customWidth="1"/>
    <col min="14122" max="14338" width="7.25" style="146"/>
    <col min="14339" max="14339" width="0.625" style="146" customWidth="1"/>
    <col min="14340" max="14341" width="10.5" style="146" customWidth="1"/>
    <col min="14342" max="14348" width="9.375" style="146" customWidth="1"/>
    <col min="14349" max="14356" width="8.875" style="146" customWidth="1"/>
    <col min="14357" max="14360" width="7.25" style="146"/>
    <col min="14361" max="14363" width="8.125" style="146" bestFit="1" customWidth="1"/>
    <col min="14364" max="14364" width="8.625" style="146" bestFit="1" customWidth="1"/>
    <col min="14365" max="14365" width="9.5" style="146" bestFit="1" customWidth="1"/>
    <col min="14366" max="14366" width="8.625" style="146" bestFit="1" customWidth="1"/>
    <col min="14367" max="14367" width="7.25" style="146"/>
    <col min="14368" max="14368" width="9.5" style="146" bestFit="1" customWidth="1"/>
    <col min="14369" max="14373" width="8.625" style="146" bestFit="1" customWidth="1"/>
    <col min="14374" max="14374" width="7.5" style="146" bestFit="1" customWidth="1"/>
    <col min="14375" max="14375" width="8.625" style="146" bestFit="1" customWidth="1"/>
    <col min="14376" max="14376" width="7.5" style="146" bestFit="1" customWidth="1"/>
    <col min="14377" max="14377" width="8.625" style="146" bestFit="1" customWidth="1"/>
    <col min="14378" max="14594" width="7.25" style="146"/>
    <col min="14595" max="14595" width="0.625" style="146" customWidth="1"/>
    <col min="14596" max="14597" width="10.5" style="146" customWidth="1"/>
    <col min="14598" max="14604" width="9.375" style="146" customWidth="1"/>
    <col min="14605" max="14612" width="8.875" style="146" customWidth="1"/>
    <col min="14613" max="14616" width="7.25" style="146"/>
    <col min="14617" max="14619" width="8.125" style="146" bestFit="1" customWidth="1"/>
    <col min="14620" max="14620" width="8.625" style="146" bestFit="1" customWidth="1"/>
    <col min="14621" max="14621" width="9.5" style="146" bestFit="1" customWidth="1"/>
    <col min="14622" max="14622" width="8.625" style="146" bestFit="1" customWidth="1"/>
    <col min="14623" max="14623" width="7.25" style="146"/>
    <col min="14624" max="14624" width="9.5" style="146" bestFit="1" customWidth="1"/>
    <col min="14625" max="14629" width="8.625" style="146" bestFit="1" customWidth="1"/>
    <col min="14630" max="14630" width="7.5" style="146" bestFit="1" customWidth="1"/>
    <col min="14631" max="14631" width="8.625" style="146" bestFit="1" customWidth="1"/>
    <col min="14632" max="14632" width="7.5" style="146" bestFit="1" customWidth="1"/>
    <col min="14633" max="14633" width="8.625" style="146" bestFit="1" customWidth="1"/>
    <col min="14634" max="14850" width="7.25" style="146"/>
    <col min="14851" max="14851" width="0.625" style="146" customWidth="1"/>
    <col min="14852" max="14853" width="10.5" style="146" customWidth="1"/>
    <col min="14854" max="14860" width="9.375" style="146" customWidth="1"/>
    <col min="14861" max="14868" width="8.875" style="146" customWidth="1"/>
    <col min="14869" max="14872" width="7.25" style="146"/>
    <col min="14873" max="14875" width="8.125" style="146" bestFit="1" customWidth="1"/>
    <col min="14876" max="14876" width="8.625" style="146" bestFit="1" customWidth="1"/>
    <col min="14877" max="14877" width="9.5" style="146" bestFit="1" customWidth="1"/>
    <col min="14878" max="14878" width="8.625" style="146" bestFit="1" customWidth="1"/>
    <col min="14879" max="14879" width="7.25" style="146"/>
    <col min="14880" max="14880" width="9.5" style="146" bestFit="1" customWidth="1"/>
    <col min="14881" max="14885" width="8.625" style="146" bestFit="1" customWidth="1"/>
    <col min="14886" max="14886" width="7.5" style="146" bestFit="1" customWidth="1"/>
    <col min="14887" max="14887" width="8.625" style="146" bestFit="1" customWidth="1"/>
    <col min="14888" max="14888" width="7.5" style="146" bestFit="1" customWidth="1"/>
    <col min="14889" max="14889" width="8.625" style="146" bestFit="1" customWidth="1"/>
    <col min="14890" max="15106" width="7.25" style="146"/>
    <col min="15107" max="15107" width="0.625" style="146" customWidth="1"/>
    <col min="15108" max="15109" width="10.5" style="146" customWidth="1"/>
    <col min="15110" max="15116" width="9.375" style="146" customWidth="1"/>
    <col min="15117" max="15124" width="8.875" style="146" customWidth="1"/>
    <col min="15125" max="15128" width="7.25" style="146"/>
    <col min="15129" max="15131" width="8.125" style="146" bestFit="1" customWidth="1"/>
    <col min="15132" max="15132" width="8.625" style="146" bestFit="1" customWidth="1"/>
    <col min="15133" max="15133" width="9.5" style="146" bestFit="1" customWidth="1"/>
    <col min="15134" max="15134" width="8.625" style="146" bestFit="1" customWidth="1"/>
    <col min="15135" max="15135" width="7.25" style="146"/>
    <col min="15136" max="15136" width="9.5" style="146" bestFit="1" customWidth="1"/>
    <col min="15137" max="15141" width="8.625" style="146" bestFit="1" customWidth="1"/>
    <col min="15142" max="15142" width="7.5" style="146" bestFit="1" customWidth="1"/>
    <col min="15143" max="15143" width="8.625" style="146" bestFit="1" customWidth="1"/>
    <col min="15144" max="15144" width="7.5" style="146" bestFit="1" customWidth="1"/>
    <col min="15145" max="15145" width="8.625" style="146" bestFit="1" customWidth="1"/>
    <col min="15146" max="15362" width="7.25" style="146"/>
    <col min="15363" max="15363" width="0.625" style="146" customWidth="1"/>
    <col min="15364" max="15365" width="10.5" style="146" customWidth="1"/>
    <col min="15366" max="15372" width="9.375" style="146" customWidth="1"/>
    <col min="15373" max="15380" width="8.875" style="146" customWidth="1"/>
    <col min="15381" max="15384" width="7.25" style="146"/>
    <col min="15385" max="15387" width="8.125" style="146" bestFit="1" customWidth="1"/>
    <col min="15388" max="15388" width="8.625" style="146" bestFit="1" customWidth="1"/>
    <col min="15389" max="15389" width="9.5" style="146" bestFit="1" customWidth="1"/>
    <col min="15390" max="15390" width="8.625" style="146" bestFit="1" customWidth="1"/>
    <col min="15391" max="15391" width="7.25" style="146"/>
    <col min="15392" max="15392" width="9.5" style="146" bestFit="1" customWidth="1"/>
    <col min="15393" max="15397" width="8.625" style="146" bestFit="1" customWidth="1"/>
    <col min="15398" max="15398" width="7.5" style="146" bestFit="1" customWidth="1"/>
    <col min="15399" max="15399" width="8.625" style="146" bestFit="1" customWidth="1"/>
    <col min="15400" max="15400" width="7.5" style="146" bestFit="1" customWidth="1"/>
    <col min="15401" max="15401" width="8.625" style="146" bestFit="1" customWidth="1"/>
    <col min="15402" max="15618" width="7.25" style="146"/>
    <col min="15619" max="15619" width="0.625" style="146" customWidth="1"/>
    <col min="15620" max="15621" width="10.5" style="146" customWidth="1"/>
    <col min="15622" max="15628" width="9.375" style="146" customWidth="1"/>
    <col min="15629" max="15636" width="8.875" style="146" customWidth="1"/>
    <col min="15637" max="15640" width="7.25" style="146"/>
    <col min="15641" max="15643" width="8.125" style="146" bestFit="1" customWidth="1"/>
    <col min="15644" max="15644" width="8.625" style="146" bestFit="1" customWidth="1"/>
    <col min="15645" max="15645" width="9.5" style="146" bestFit="1" customWidth="1"/>
    <col min="15646" max="15646" width="8.625" style="146" bestFit="1" customWidth="1"/>
    <col min="15647" max="15647" width="7.25" style="146"/>
    <col min="15648" max="15648" width="9.5" style="146" bestFit="1" customWidth="1"/>
    <col min="15649" max="15653" width="8.625" style="146" bestFit="1" customWidth="1"/>
    <col min="15654" max="15654" width="7.5" style="146" bestFit="1" customWidth="1"/>
    <col min="15655" max="15655" width="8.625" style="146" bestFit="1" customWidth="1"/>
    <col min="15656" max="15656" width="7.5" style="146" bestFit="1" customWidth="1"/>
    <col min="15657" max="15657" width="8.625" style="146" bestFit="1" customWidth="1"/>
    <col min="15658" max="15874" width="7.25" style="146"/>
    <col min="15875" max="15875" width="0.625" style="146" customWidth="1"/>
    <col min="15876" max="15877" width="10.5" style="146" customWidth="1"/>
    <col min="15878" max="15884" width="9.375" style="146" customWidth="1"/>
    <col min="15885" max="15892" width="8.875" style="146" customWidth="1"/>
    <col min="15893" max="15896" width="7.25" style="146"/>
    <col min="15897" max="15899" width="8.125" style="146" bestFit="1" customWidth="1"/>
    <col min="15900" max="15900" width="8.625" style="146" bestFit="1" customWidth="1"/>
    <col min="15901" max="15901" width="9.5" style="146" bestFit="1" customWidth="1"/>
    <col min="15902" max="15902" width="8.625" style="146" bestFit="1" customWidth="1"/>
    <col min="15903" max="15903" width="7.25" style="146"/>
    <col min="15904" max="15904" width="9.5" style="146" bestFit="1" customWidth="1"/>
    <col min="15905" max="15909" width="8.625" style="146" bestFit="1" customWidth="1"/>
    <col min="15910" max="15910" width="7.5" style="146" bestFit="1" customWidth="1"/>
    <col min="15911" max="15911" width="8.625" style="146" bestFit="1" customWidth="1"/>
    <col min="15912" max="15912" width="7.5" style="146" bestFit="1" customWidth="1"/>
    <col min="15913" max="15913" width="8.625" style="146" bestFit="1" customWidth="1"/>
    <col min="15914" max="16130" width="7.25" style="146"/>
    <col min="16131" max="16131" width="0.625" style="146" customWidth="1"/>
    <col min="16132" max="16133" width="10.5" style="146" customWidth="1"/>
    <col min="16134" max="16140" width="9.375" style="146" customWidth="1"/>
    <col min="16141" max="16148" width="8.875" style="146" customWidth="1"/>
    <col min="16149" max="16152" width="7.25" style="146"/>
    <col min="16153" max="16155" width="8.125" style="146" bestFit="1" customWidth="1"/>
    <col min="16156" max="16156" width="8.625" style="146" bestFit="1" customWidth="1"/>
    <col min="16157" max="16157" width="9.5" style="146" bestFit="1" customWidth="1"/>
    <col min="16158" max="16158" width="8.625" style="146" bestFit="1" customWidth="1"/>
    <col min="16159" max="16159" width="7.25" style="146"/>
    <col min="16160" max="16160" width="9.5" style="146" bestFit="1" customWidth="1"/>
    <col min="16161" max="16165" width="8.625" style="146" bestFit="1" customWidth="1"/>
    <col min="16166" max="16166" width="7.5" style="146" bestFit="1" customWidth="1"/>
    <col min="16167" max="16167" width="8.625" style="146" bestFit="1" customWidth="1"/>
    <col min="16168" max="16168" width="7.5" style="146" bestFit="1" customWidth="1"/>
    <col min="16169" max="16169" width="8.625" style="146" bestFit="1" customWidth="1"/>
    <col min="16170" max="16384" width="7.25" style="146"/>
  </cols>
  <sheetData>
    <row r="1" spans="1:258" s="115" customFormat="1" ht="30" customHeight="1" thickBot="1">
      <c r="A1" s="325"/>
      <c r="B1" s="1140" t="s">
        <v>1725</v>
      </c>
      <c r="C1" s="1140"/>
      <c r="D1" s="1140"/>
      <c r="E1" s="1140"/>
      <c r="F1" s="1140"/>
      <c r="G1" s="1140"/>
      <c r="H1" s="1140"/>
      <c r="I1" s="1140"/>
      <c r="J1" s="1140"/>
      <c r="K1" s="1140"/>
      <c r="L1" s="1140"/>
      <c r="M1" s="1140"/>
      <c r="N1" s="1140"/>
      <c r="O1" s="1140"/>
      <c r="P1" s="1140"/>
      <c r="Q1" s="1140"/>
      <c r="R1" s="1140"/>
      <c r="S1" s="1140"/>
      <c r="T1" s="1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c r="HO1" s="140"/>
      <c r="HP1" s="140"/>
      <c r="HQ1" s="140"/>
      <c r="HR1" s="140"/>
      <c r="HS1" s="140"/>
      <c r="HT1" s="140"/>
      <c r="HU1" s="140"/>
      <c r="HV1" s="140"/>
      <c r="HW1" s="140"/>
      <c r="HX1" s="140"/>
      <c r="HY1" s="140"/>
      <c r="HZ1" s="140"/>
      <c r="IA1" s="140"/>
      <c r="IB1" s="140"/>
      <c r="IC1" s="140"/>
      <c r="ID1" s="140"/>
      <c r="IE1" s="140"/>
      <c r="IF1" s="140"/>
      <c r="IG1" s="140"/>
      <c r="IH1" s="140"/>
      <c r="II1" s="140"/>
      <c r="IJ1" s="140"/>
      <c r="IK1" s="140"/>
      <c r="IL1" s="140"/>
      <c r="IM1" s="140"/>
      <c r="IN1" s="140"/>
      <c r="IO1" s="140"/>
      <c r="IP1" s="140"/>
      <c r="IQ1" s="140"/>
      <c r="IR1" s="140"/>
      <c r="IS1" s="140"/>
      <c r="IT1" s="140"/>
      <c r="IU1" s="140"/>
      <c r="IV1" s="140"/>
      <c r="IW1" s="140"/>
      <c r="IX1" s="140"/>
    </row>
    <row r="2" spans="1:258" s="114" customFormat="1" ht="18" customHeight="1" thickTop="1">
      <c r="A2" s="68"/>
      <c r="B2" s="67"/>
      <c r="C2" s="67"/>
      <c r="D2" s="141"/>
      <c r="E2" s="142"/>
      <c r="F2" s="142"/>
      <c r="G2" s="143"/>
      <c r="H2" s="143"/>
      <c r="I2" s="143"/>
      <c r="J2" s="143"/>
      <c r="K2" s="143"/>
      <c r="L2" s="143"/>
      <c r="M2" s="142"/>
      <c r="N2" s="142"/>
      <c r="O2" s="142"/>
      <c r="P2" s="142"/>
      <c r="Q2" s="142"/>
      <c r="R2" s="142"/>
      <c r="S2" s="142"/>
      <c r="T2" s="142"/>
      <c r="U2" s="142"/>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row>
    <row r="3" spans="1:258" s="115" customFormat="1" ht="18" customHeight="1" thickBot="1">
      <c r="A3" s="69"/>
      <c r="B3" s="70" t="s">
        <v>915</v>
      </c>
      <c r="C3" s="70"/>
      <c r="D3" s="142"/>
      <c r="E3" s="143"/>
      <c r="F3" s="142"/>
      <c r="G3" s="143"/>
      <c r="H3" s="143"/>
      <c r="I3" s="143"/>
      <c r="J3" s="143"/>
      <c r="K3" s="143"/>
      <c r="L3" s="143"/>
      <c r="M3" s="142"/>
      <c r="N3" s="143"/>
      <c r="O3" s="143"/>
      <c r="P3" s="143"/>
      <c r="Q3" s="143"/>
      <c r="R3" s="143"/>
      <c r="S3" s="143"/>
      <c r="T3" s="143"/>
      <c r="U3" s="143"/>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row>
    <row r="4" spans="1:258" s="115" customFormat="1" ht="18" customHeight="1">
      <c r="A4" s="69"/>
      <c r="B4" s="1295" t="s">
        <v>905</v>
      </c>
      <c r="C4" s="1296"/>
      <c r="D4" s="1174" t="s">
        <v>906</v>
      </c>
      <c r="E4" s="1175"/>
      <c r="F4" s="1175"/>
      <c r="G4" s="1175"/>
      <c r="H4" s="1175"/>
      <c r="I4" s="1175"/>
      <c r="J4" s="1175"/>
      <c r="K4" s="1175"/>
      <c r="L4" s="1175"/>
      <c r="M4" s="1175"/>
      <c r="N4" s="1175"/>
      <c r="O4" s="1176"/>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row>
    <row r="5" spans="1:258" s="115" customFormat="1" ht="18" customHeight="1">
      <c r="A5" s="69"/>
      <c r="B5" s="1290" t="s">
        <v>916</v>
      </c>
      <c r="C5" s="1291"/>
      <c r="D5" s="1292" t="s">
        <v>917</v>
      </c>
      <c r="E5" s="1293"/>
      <c r="F5" s="1293"/>
      <c r="G5" s="1293"/>
      <c r="H5" s="1293"/>
      <c r="I5" s="1293"/>
      <c r="J5" s="1293"/>
      <c r="K5" s="1293"/>
      <c r="L5" s="1293"/>
      <c r="M5" s="1293"/>
      <c r="N5" s="1293"/>
      <c r="O5" s="1294"/>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c r="IR5" s="69"/>
      <c r="IS5" s="69"/>
      <c r="IT5" s="69"/>
      <c r="IU5" s="69"/>
      <c r="IV5" s="69"/>
      <c r="IW5" s="69"/>
      <c r="IX5" s="69"/>
    </row>
    <row r="6" spans="1:258" s="115" customFormat="1" ht="18" customHeight="1">
      <c r="A6" s="69"/>
      <c r="B6" s="1290" t="s">
        <v>918</v>
      </c>
      <c r="C6" s="1291"/>
      <c r="D6" s="1292" t="s">
        <v>919</v>
      </c>
      <c r="E6" s="1293"/>
      <c r="F6" s="1293"/>
      <c r="G6" s="1293"/>
      <c r="H6" s="1293"/>
      <c r="I6" s="1293"/>
      <c r="J6" s="1293"/>
      <c r="K6" s="1293"/>
      <c r="L6" s="1293"/>
      <c r="M6" s="1293"/>
      <c r="N6" s="1293"/>
      <c r="O6" s="1294"/>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row>
    <row r="7" spans="1:258" s="115" customFormat="1" ht="18" customHeight="1">
      <c r="A7" s="69"/>
      <c r="B7" s="1290" t="s">
        <v>920</v>
      </c>
      <c r="C7" s="1291"/>
      <c r="D7" s="1292" t="s">
        <v>287</v>
      </c>
      <c r="E7" s="1293"/>
      <c r="F7" s="1293"/>
      <c r="G7" s="1293"/>
      <c r="H7" s="1293"/>
      <c r="I7" s="1293"/>
      <c r="J7" s="1293"/>
      <c r="K7" s="1293"/>
      <c r="L7" s="1293"/>
      <c r="M7" s="1293"/>
      <c r="N7" s="1293"/>
      <c r="O7" s="1294"/>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c r="IW7" s="69"/>
      <c r="IX7" s="69"/>
    </row>
    <row r="8" spans="1:258" s="115" customFormat="1" ht="18" customHeight="1">
      <c r="A8" s="69"/>
      <c r="B8" s="1290" t="s">
        <v>921</v>
      </c>
      <c r="C8" s="1291"/>
      <c r="D8" s="1292" t="s">
        <v>922</v>
      </c>
      <c r="E8" s="1293"/>
      <c r="F8" s="1293"/>
      <c r="G8" s="1293"/>
      <c r="H8" s="1293"/>
      <c r="I8" s="1293"/>
      <c r="J8" s="1293"/>
      <c r="K8" s="1293"/>
      <c r="L8" s="1293"/>
      <c r="M8" s="1293"/>
      <c r="N8" s="1293"/>
      <c r="O8" s="1294"/>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row>
    <row r="9" spans="1:258" s="115" customFormat="1" ht="18" customHeight="1" thickBot="1">
      <c r="A9" s="69"/>
      <c r="B9" s="1297" t="s">
        <v>923</v>
      </c>
      <c r="C9" s="1298"/>
      <c r="D9" s="1299" t="s">
        <v>924</v>
      </c>
      <c r="E9" s="1300"/>
      <c r="F9" s="1300"/>
      <c r="G9" s="1300"/>
      <c r="H9" s="1300"/>
      <c r="I9" s="1300"/>
      <c r="J9" s="1300"/>
      <c r="K9" s="1300"/>
      <c r="L9" s="1300"/>
      <c r="M9" s="1300"/>
      <c r="N9" s="1300"/>
      <c r="O9" s="1301"/>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c r="IW9" s="69"/>
      <c r="IX9" s="69"/>
    </row>
    <row r="10" spans="1:258" s="115" customFormat="1" ht="18" customHeight="1">
      <c r="A10" s="69"/>
      <c r="B10" s="69"/>
      <c r="C10" s="69"/>
      <c r="D10" s="68"/>
      <c r="E10" s="69"/>
      <c r="F10" s="68"/>
      <c r="G10" s="69"/>
      <c r="H10" s="69"/>
      <c r="I10" s="69"/>
      <c r="J10" s="69"/>
      <c r="K10" s="69"/>
      <c r="L10" s="69"/>
      <c r="M10" s="68"/>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row>
    <row r="11" spans="1:258" s="115" customFormat="1" ht="18" customHeight="1" thickBot="1">
      <c r="A11" s="69"/>
      <c r="B11" s="52" t="s">
        <v>925</v>
      </c>
      <c r="C11" s="529"/>
      <c r="D11" s="1009"/>
      <c r="E11" s="69"/>
      <c r="F11" s="68"/>
      <c r="G11" s="69"/>
      <c r="H11" s="69"/>
      <c r="I11" s="69"/>
      <c r="J11" s="69"/>
      <c r="K11" s="100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c r="IW11" s="69"/>
      <c r="IX11" s="69"/>
    </row>
    <row r="12" spans="1:258" s="115" customFormat="1" ht="18" customHeight="1">
      <c r="A12" s="69"/>
      <c r="B12" s="1165" t="s">
        <v>905</v>
      </c>
      <c r="C12" s="1166"/>
      <c r="D12" s="1166" t="s">
        <v>926</v>
      </c>
      <c r="E12" s="1166"/>
      <c r="F12" s="1166"/>
      <c r="G12" s="1166"/>
      <c r="H12" s="1166"/>
      <c r="I12" s="1166"/>
      <c r="J12" s="1166"/>
      <c r="K12" s="1166"/>
      <c r="L12" s="1166"/>
      <c r="M12" s="1166"/>
      <c r="N12" s="1166"/>
      <c r="O12" s="1166"/>
      <c r="P12" s="1166"/>
      <c r="Q12" s="1166"/>
      <c r="R12" s="1166"/>
      <c r="S12" s="1166"/>
      <c r="T12" s="1167"/>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c r="IW12" s="69"/>
      <c r="IX12" s="69"/>
    </row>
    <row r="13" spans="1:258" s="115" customFormat="1" ht="31.5" customHeight="1" thickBot="1">
      <c r="A13" s="69"/>
      <c r="B13" s="1160" t="s">
        <v>927</v>
      </c>
      <c r="C13" s="1161"/>
      <c r="D13" s="1196" t="s">
        <v>928</v>
      </c>
      <c r="E13" s="1302"/>
      <c r="F13" s="1302"/>
      <c r="G13" s="1302"/>
      <c r="H13" s="1302"/>
      <c r="I13" s="1302"/>
      <c r="J13" s="1302"/>
      <c r="K13" s="1302"/>
      <c r="L13" s="1302"/>
      <c r="M13" s="1302"/>
      <c r="N13" s="1302"/>
      <c r="O13" s="1302"/>
      <c r="P13" s="1302"/>
      <c r="Q13" s="1302"/>
      <c r="R13" s="1302"/>
      <c r="S13" s="1302"/>
      <c r="T13" s="1303"/>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c r="IW13" s="69"/>
      <c r="IX13" s="69"/>
    </row>
    <row r="14" spans="1:258" s="115" customFormat="1" ht="18" customHeight="1">
      <c r="A14" s="69"/>
      <c r="B14" s="529"/>
      <c r="C14" s="529"/>
      <c r="D14" s="529"/>
      <c r="E14" s="529"/>
      <c r="F14" s="529"/>
      <c r="G14" s="529"/>
      <c r="H14" s="529"/>
      <c r="I14" s="529"/>
      <c r="J14" s="529"/>
      <c r="K14" s="529"/>
      <c r="L14" s="529"/>
      <c r="M14" s="995"/>
      <c r="N14" s="995"/>
      <c r="O14" s="995"/>
      <c r="P14" s="995"/>
      <c r="Q14" s="995"/>
      <c r="R14" s="995"/>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c r="IW14" s="69"/>
      <c r="IX14" s="69"/>
    </row>
    <row r="15" spans="1:258" s="114" customFormat="1" ht="18" customHeight="1" thickBot="1">
      <c r="A15" s="68"/>
      <c r="B15" s="70" t="s">
        <v>929</v>
      </c>
      <c r="C15" s="70"/>
      <c r="D15" s="68"/>
      <c r="E15" s="68"/>
      <c r="F15" s="68"/>
      <c r="G15" s="69"/>
      <c r="H15" s="69"/>
      <c r="I15" s="69"/>
      <c r="J15" s="69"/>
      <c r="K15" s="69"/>
      <c r="L15" s="69"/>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c r="II15" s="68"/>
      <c r="IJ15" s="68"/>
      <c r="IK15" s="68"/>
      <c r="IL15" s="68"/>
      <c r="IM15" s="68"/>
      <c r="IN15" s="68"/>
      <c r="IO15" s="68"/>
      <c r="IP15" s="68"/>
      <c r="IQ15" s="68"/>
      <c r="IR15" s="68"/>
      <c r="IS15" s="68"/>
      <c r="IT15" s="68"/>
      <c r="IU15" s="68"/>
      <c r="IV15" s="68"/>
      <c r="IW15" s="68"/>
      <c r="IX15" s="68"/>
    </row>
    <row r="16" spans="1:258" s="114" customFormat="1" ht="18" customHeight="1" thickBot="1">
      <c r="A16" s="68"/>
      <c r="B16" s="1304" t="s">
        <v>905</v>
      </c>
      <c r="C16" s="1305"/>
      <c r="D16" s="1179" t="s">
        <v>930</v>
      </c>
      <c r="E16" s="1180"/>
      <c r="F16" s="1180"/>
      <c r="G16" s="1180"/>
      <c r="H16" s="1180"/>
      <c r="I16" s="1180"/>
      <c r="J16" s="1305"/>
      <c r="K16" s="1179" t="s">
        <v>931</v>
      </c>
      <c r="L16" s="1180"/>
      <c r="M16" s="1180"/>
      <c r="N16" s="1180"/>
      <c r="O16" s="1180"/>
      <c r="P16" s="1180"/>
      <c r="Q16" s="1180"/>
      <c r="R16" s="1180"/>
      <c r="S16" s="1180"/>
      <c r="T16" s="1181"/>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c r="HY16" s="68"/>
      <c r="HZ16" s="68"/>
      <c r="IA16" s="68"/>
      <c r="IB16" s="68"/>
      <c r="IC16" s="68"/>
      <c r="ID16" s="68"/>
      <c r="IE16" s="68"/>
      <c r="IF16" s="68"/>
      <c r="IG16" s="68"/>
      <c r="IH16" s="68"/>
      <c r="II16" s="68"/>
      <c r="IJ16" s="68"/>
      <c r="IK16" s="68"/>
      <c r="IL16" s="68"/>
      <c r="IM16" s="68"/>
      <c r="IN16" s="68"/>
      <c r="IO16" s="68"/>
      <c r="IP16" s="68"/>
      <c r="IQ16" s="68"/>
      <c r="IR16" s="68"/>
      <c r="IS16" s="68"/>
      <c r="IT16" s="68"/>
      <c r="IU16" s="68"/>
      <c r="IV16" s="68"/>
      <c r="IW16" s="68"/>
      <c r="IX16" s="68"/>
    </row>
    <row r="17" spans="1:258" s="114" customFormat="1" ht="21.75" customHeight="1" thickBot="1">
      <c r="A17" s="68"/>
      <c r="B17" s="1295" t="s">
        <v>932</v>
      </c>
      <c r="C17" s="1306"/>
      <c r="D17" s="1307" t="s">
        <v>933</v>
      </c>
      <c r="E17" s="1308"/>
      <c r="F17" s="1308"/>
      <c r="G17" s="1308"/>
      <c r="H17" s="1308"/>
      <c r="I17" s="1308"/>
      <c r="J17" s="1308"/>
      <c r="K17" s="1309" t="s">
        <v>934</v>
      </c>
      <c r="L17" s="1310"/>
      <c r="M17" s="1310"/>
      <c r="N17" s="1310"/>
      <c r="O17" s="1310"/>
      <c r="P17" s="1310"/>
      <c r="Q17" s="1310"/>
      <c r="R17" s="1310"/>
      <c r="S17" s="1310"/>
      <c r="T17" s="1311"/>
      <c r="U17" s="1009"/>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c r="IW17" s="68"/>
      <c r="IX17" s="68"/>
    </row>
    <row r="18" spans="1:258" s="114" customFormat="1" ht="18" customHeight="1">
      <c r="A18" s="68"/>
      <c r="B18" s="1312" t="s">
        <v>935</v>
      </c>
      <c r="C18" s="1313"/>
      <c r="D18" s="1314" t="s">
        <v>936</v>
      </c>
      <c r="E18" s="1315"/>
      <c r="F18" s="1315"/>
      <c r="G18" s="1315"/>
      <c r="H18" s="1315"/>
      <c r="I18" s="1315"/>
      <c r="J18" s="1316"/>
      <c r="K18" s="1320" t="s">
        <v>937</v>
      </c>
      <c r="L18" s="1296"/>
      <c r="M18" s="991" t="s">
        <v>792</v>
      </c>
      <c r="N18" s="991" t="s">
        <v>938</v>
      </c>
      <c r="O18" s="991" t="s">
        <v>793</v>
      </c>
      <c r="P18" s="991" t="s">
        <v>794</v>
      </c>
      <c r="Q18" s="991" t="s">
        <v>795</v>
      </c>
      <c r="R18" s="991" t="s">
        <v>796</v>
      </c>
      <c r="S18" s="994" t="s">
        <v>797</v>
      </c>
      <c r="T18" s="204" t="s">
        <v>798</v>
      </c>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c r="HI18" s="68"/>
      <c r="HJ18" s="68"/>
      <c r="HK18" s="68"/>
      <c r="HL18" s="68"/>
      <c r="HM18" s="68"/>
      <c r="HN18" s="68"/>
      <c r="HO18" s="68"/>
      <c r="HP18" s="68"/>
      <c r="HQ18" s="68"/>
      <c r="HR18" s="68"/>
      <c r="HS18" s="68"/>
      <c r="HT18" s="68"/>
      <c r="HU18" s="68"/>
      <c r="HV18" s="68"/>
      <c r="HW18" s="68"/>
      <c r="HX18" s="68"/>
      <c r="HY18" s="68"/>
      <c r="HZ18" s="68"/>
      <c r="IA18" s="68"/>
      <c r="IB18" s="68"/>
      <c r="IC18" s="68"/>
      <c r="ID18" s="68"/>
      <c r="IE18" s="68"/>
      <c r="IF18" s="68"/>
      <c r="IG18" s="68"/>
      <c r="IH18" s="68"/>
      <c r="II18" s="68"/>
      <c r="IJ18" s="68"/>
      <c r="IK18" s="68"/>
      <c r="IL18" s="68"/>
      <c r="IM18" s="68"/>
      <c r="IN18" s="68"/>
      <c r="IO18" s="68"/>
      <c r="IP18" s="68"/>
      <c r="IQ18" s="68"/>
      <c r="IR18" s="68"/>
      <c r="IS18" s="68"/>
      <c r="IT18" s="68"/>
      <c r="IU18" s="68"/>
      <c r="IV18" s="68"/>
      <c r="IW18" s="68"/>
      <c r="IX18" s="68"/>
    </row>
    <row r="19" spans="1:258" s="114" customFormat="1" ht="18" customHeight="1" thickBot="1">
      <c r="A19" s="68"/>
      <c r="B19" s="1312"/>
      <c r="C19" s="1313"/>
      <c r="D19" s="1317"/>
      <c r="E19" s="1318"/>
      <c r="F19" s="1318"/>
      <c r="G19" s="1318"/>
      <c r="H19" s="1318"/>
      <c r="I19" s="1318"/>
      <c r="J19" s="1319"/>
      <c r="K19" s="1321" t="s">
        <v>939</v>
      </c>
      <c r="L19" s="1322"/>
      <c r="M19" s="872">
        <v>0.15</v>
      </c>
      <c r="N19" s="872">
        <v>0.41</v>
      </c>
      <c r="O19" s="872">
        <v>0.56999999999999995</v>
      </c>
      <c r="P19" s="872">
        <v>0.61</v>
      </c>
      <c r="Q19" s="872">
        <v>0.65</v>
      </c>
      <c r="R19" s="872">
        <v>0.69</v>
      </c>
      <c r="S19" s="873">
        <v>0.72</v>
      </c>
      <c r="T19" s="584">
        <v>0.75</v>
      </c>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c r="HY19" s="68"/>
      <c r="HZ19" s="68"/>
      <c r="IA19" s="68"/>
      <c r="IB19" s="68"/>
      <c r="IC19" s="68"/>
      <c r="ID19" s="68"/>
      <c r="IE19" s="68"/>
      <c r="IF19" s="68"/>
      <c r="IG19" s="68"/>
      <c r="IH19" s="68"/>
      <c r="II19" s="68"/>
      <c r="IJ19" s="68"/>
      <c r="IK19" s="68"/>
      <c r="IL19" s="68"/>
      <c r="IM19" s="68"/>
      <c r="IN19" s="68"/>
      <c r="IO19" s="68"/>
      <c r="IP19" s="68"/>
      <c r="IQ19" s="68"/>
      <c r="IR19" s="68"/>
      <c r="IS19" s="68"/>
      <c r="IT19" s="68"/>
      <c r="IU19" s="68"/>
      <c r="IV19" s="68"/>
      <c r="IW19" s="68"/>
      <c r="IX19" s="68"/>
    </row>
    <row r="20" spans="1:258" s="114" customFormat="1" ht="20.25" customHeight="1">
      <c r="A20" s="68"/>
      <c r="B20" s="1330" t="s">
        <v>940</v>
      </c>
      <c r="C20" s="1331"/>
      <c r="D20" s="1333" t="s">
        <v>941</v>
      </c>
      <c r="E20" s="1334"/>
      <c r="F20" s="1334"/>
      <c r="G20" s="1334"/>
      <c r="H20" s="1334"/>
      <c r="I20" s="1334"/>
      <c r="J20" s="1334"/>
      <c r="K20" s="1334"/>
      <c r="L20" s="1334"/>
      <c r="M20" s="1320" t="s">
        <v>937</v>
      </c>
      <c r="N20" s="1296"/>
      <c r="O20" s="1323" t="s">
        <v>942</v>
      </c>
      <c r="P20" s="1296"/>
      <c r="Q20" s="1323" t="s">
        <v>943</v>
      </c>
      <c r="R20" s="1296"/>
      <c r="S20" s="1323" t="s">
        <v>944</v>
      </c>
      <c r="T20" s="1324"/>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c r="HI20" s="68"/>
      <c r="HJ20" s="68"/>
      <c r="HK20" s="68"/>
      <c r="HL20" s="68"/>
      <c r="HM20" s="68"/>
      <c r="HN20" s="68"/>
      <c r="HO20" s="68"/>
      <c r="HP20" s="68"/>
      <c r="HQ20" s="68"/>
      <c r="HR20" s="68"/>
      <c r="HS20" s="68"/>
      <c r="HT20" s="68"/>
      <c r="HU20" s="68"/>
      <c r="HV20" s="68"/>
      <c r="HW20" s="68"/>
      <c r="HX20" s="68"/>
      <c r="HY20" s="68"/>
      <c r="HZ20" s="68"/>
      <c r="IA20" s="68"/>
      <c r="IB20" s="68"/>
      <c r="IC20" s="68"/>
      <c r="ID20" s="68"/>
      <c r="IE20" s="68"/>
      <c r="IF20" s="68"/>
      <c r="IG20" s="68"/>
      <c r="IH20" s="68"/>
      <c r="II20" s="68"/>
      <c r="IJ20" s="68"/>
      <c r="IK20" s="68"/>
      <c r="IL20" s="68"/>
      <c r="IM20" s="68"/>
      <c r="IN20" s="68"/>
      <c r="IO20" s="68"/>
      <c r="IP20" s="68"/>
      <c r="IQ20" s="68"/>
      <c r="IR20" s="68"/>
      <c r="IS20" s="68"/>
      <c r="IT20" s="68"/>
      <c r="IU20" s="68"/>
      <c r="IV20" s="68"/>
      <c r="IW20" s="68"/>
      <c r="IX20" s="68"/>
    </row>
    <row r="21" spans="1:258" s="114" customFormat="1" ht="20.25" customHeight="1" thickBot="1">
      <c r="A21" s="68"/>
      <c r="B21" s="1312"/>
      <c r="C21" s="1332"/>
      <c r="D21" s="1335"/>
      <c r="E21" s="1336"/>
      <c r="F21" s="1336"/>
      <c r="G21" s="1336"/>
      <c r="H21" s="1336"/>
      <c r="I21" s="1336"/>
      <c r="J21" s="1336"/>
      <c r="K21" s="1336"/>
      <c r="L21" s="1336"/>
      <c r="M21" s="1325" t="s">
        <v>939</v>
      </c>
      <c r="N21" s="1326"/>
      <c r="O21" s="1327">
        <v>7.0000000000000007E-2</v>
      </c>
      <c r="P21" s="1328"/>
      <c r="Q21" s="1327">
        <v>0.09</v>
      </c>
      <c r="R21" s="1328"/>
      <c r="S21" s="1327">
        <v>0.11</v>
      </c>
      <c r="T21" s="1329"/>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c r="HW21" s="68"/>
      <c r="HX21" s="68"/>
      <c r="HY21" s="68"/>
      <c r="HZ21" s="68"/>
      <c r="IA21" s="68"/>
      <c r="IB21" s="68"/>
      <c r="IC21" s="68"/>
      <c r="ID21" s="68"/>
      <c r="IE21" s="68"/>
      <c r="IF21" s="68"/>
      <c r="IG21" s="68"/>
      <c r="IH21" s="68"/>
      <c r="II21" s="68"/>
      <c r="IJ21" s="68"/>
      <c r="IK21" s="68"/>
      <c r="IL21" s="68"/>
      <c r="IM21" s="68"/>
      <c r="IN21" s="68"/>
      <c r="IO21" s="68"/>
      <c r="IP21" s="68"/>
      <c r="IQ21" s="68"/>
      <c r="IR21" s="68"/>
      <c r="IS21" s="68"/>
      <c r="IT21" s="68"/>
      <c r="IU21" s="68"/>
      <c r="IV21" s="68"/>
      <c r="IW21" s="68"/>
      <c r="IX21" s="68"/>
    </row>
    <row r="22" spans="1:258" s="114" customFormat="1" ht="18" customHeight="1">
      <c r="A22" s="68"/>
      <c r="B22" s="1337" t="s">
        <v>945</v>
      </c>
      <c r="C22" s="1338"/>
      <c r="D22" s="1314" t="s">
        <v>946</v>
      </c>
      <c r="E22" s="1315"/>
      <c r="F22" s="1315"/>
      <c r="G22" s="1315"/>
      <c r="H22" s="1315"/>
      <c r="I22" s="1315"/>
      <c r="J22" s="1315"/>
      <c r="K22" s="1315"/>
      <c r="L22" s="1315"/>
      <c r="M22" s="990" t="s">
        <v>947</v>
      </c>
      <c r="N22" s="991" t="s">
        <v>948</v>
      </c>
      <c r="O22" s="991" t="s">
        <v>949</v>
      </c>
      <c r="P22" s="991" t="s">
        <v>950</v>
      </c>
      <c r="Q22" s="991" t="s">
        <v>951</v>
      </c>
      <c r="R22" s="994" t="s">
        <v>952</v>
      </c>
      <c r="S22" s="1038" t="s">
        <v>953</v>
      </c>
      <c r="T22" s="998" t="s">
        <v>954</v>
      </c>
      <c r="U22" s="142"/>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c r="IH22" s="68"/>
      <c r="II22" s="68"/>
      <c r="IJ22" s="68"/>
      <c r="IK22" s="68"/>
      <c r="IL22" s="68"/>
      <c r="IM22" s="68"/>
      <c r="IN22" s="68"/>
      <c r="IO22" s="68"/>
      <c r="IP22" s="68"/>
      <c r="IQ22" s="68"/>
      <c r="IR22" s="68"/>
      <c r="IS22" s="68"/>
      <c r="IT22" s="68"/>
      <c r="IU22" s="68"/>
      <c r="IV22" s="68"/>
      <c r="IW22" s="68"/>
      <c r="IX22" s="68"/>
    </row>
    <row r="23" spans="1:258" s="114" customFormat="1" ht="18" customHeight="1">
      <c r="A23" s="68"/>
      <c r="B23" s="1312"/>
      <c r="C23" s="1313"/>
      <c r="D23" s="1339"/>
      <c r="E23" s="1219"/>
      <c r="F23" s="1219"/>
      <c r="G23" s="1219"/>
      <c r="H23" s="1219"/>
      <c r="I23" s="1219"/>
      <c r="J23" s="1219"/>
      <c r="K23" s="1219"/>
      <c r="L23" s="1219"/>
      <c r="M23" s="992" t="s">
        <v>955</v>
      </c>
      <c r="N23" s="989" t="s">
        <v>956</v>
      </c>
      <c r="O23" s="989" t="s">
        <v>957</v>
      </c>
      <c r="P23" s="989" t="s">
        <v>799</v>
      </c>
      <c r="Q23" s="989" t="s">
        <v>800</v>
      </c>
      <c r="R23" s="996" t="s">
        <v>801</v>
      </c>
      <c r="S23" s="1039" t="s">
        <v>802</v>
      </c>
      <c r="T23" s="456" t="s">
        <v>958</v>
      </c>
      <c r="U23" s="142"/>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c r="IN23" s="68"/>
      <c r="IO23" s="68"/>
      <c r="IP23" s="68"/>
      <c r="IQ23" s="68"/>
      <c r="IR23" s="68"/>
      <c r="IS23" s="68"/>
      <c r="IT23" s="68"/>
      <c r="IU23" s="68"/>
      <c r="IV23" s="68"/>
      <c r="IW23" s="68"/>
      <c r="IX23" s="68"/>
    </row>
    <row r="24" spans="1:258" s="114" customFormat="1" ht="18" customHeight="1">
      <c r="A24" s="68"/>
      <c r="B24" s="1312"/>
      <c r="C24" s="1313"/>
      <c r="D24" s="1339"/>
      <c r="E24" s="1219"/>
      <c r="F24" s="1219"/>
      <c r="G24" s="1219"/>
      <c r="H24" s="1219"/>
      <c r="I24" s="1219"/>
      <c r="J24" s="1219"/>
      <c r="K24" s="1219"/>
      <c r="L24" s="1219"/>
      <c r="M24" s="992" t="s">
        <v>959</v>
      </c>
      <c r="N24" s="989" t="s">
        <v>960</v>
      </c>
      <c r="O24" s="989" t="s">
        <v>961</v>
      </c>
      <c r="P24" s="989" t="s">
        <v>962</v>
      </c>
      <c r="Q24" s="989" t="s">
        <v>963</v>
      </c>
      <c r="R24" s="996" t="s">
        <v>964</v>
      </c>
      <c r="S24" s="1039" t="s">
        <v>965</v>
      </c>
      <c r="T24" s="456" t="s">
        <v>966</v>
      </c>
      <c r="U24" s="142"/>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c r="IN24" s="68"/>
      <c r="IO24" s="68"/>
      <c r="IP24" s="68"/>
      <c r="IQ24" s="68"/>
      <c r="IR24" s="68"/>
      <c r="IS24" s="68"/>
      <c r="IT24" s="68"/>
      <c r="IU24" s="68"/>
      <c r="IV24" s="68"/>
      <c r="IW24" s="68"/>
      <c r="IX24" s="68"/>
    </row>
    <row r="25" spans="1:258" s="114" customFormat="1" ht="18" customHeight="1" thickBot="1">
      <c r="A25" s="68"/>
      <c r="B25" s="1312"/>
      <c r="C25" s="1313"/>
      <c r="D25" s="1339"/>
      <c r="E25" s="1219"/>
      <c r="F25" s="1219"/>
      <c r="G25" s="1219"/>
      <c r="H25" s="1219"/>
      <c r="I25" s="1219"/>
      <c r="J25" s="1219"/>
      <c r="K25" s="1219"/>
      <c r="L25" s="1219"/>
      <c r="M25" s="874" t="s">
        <v>967</v>
      </c>
      <c r="N25" s="875">
        <v>0.35</v>
      </c>
      <c r="O25" s="430">
        <v>0.31</v>
      </c>
      <c r="P25" s="875">
        <v>0.27500000000000002</v>
      </c>
      <c r="Q25" s="430">
        <v>0.25</v>
      </c>
      <c r="R25" s="1040">
        <v>0.22500000000000001</v>
      </c>
      <c r="S25" s="431">
        <v>0.2</v>
      </c>
      <c r="T25" s="1041">
        <v>0.125</v>
      </c>
      <c r="U25" s="142"/>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c r="IN25" s="68"/>
      <c r="IO25" s="68"/>
      <c r="IP25" s="68"/>
      <c r="IQ25" s="68"/>
      <c r="IR25" s="68"/>
      <c r="IS25" s="68"/>
      <c r="IT25" s="68"/>
      <c r="IU25" s="68"/>
      <c r="IV25" s="68"/>
      <c r="IW25" s="68"/>
      <c r="IX25" s="68"/>
    </row>
    <row r="26" spans="1:258" s="114" customFormat="1" ht="18" customHeight="1">
      <c r="A26" s="68"/>
      <c r="B26" s="1168" t="s">
        <v>968</v>
      </c>
      <c r="C26" s="1340"/>
      <c r="D26" s="1314" t="s">
        <v>969</v>
      </c>
      <c r="E26" s="1315"/>
      <c r="F26" s="1315"/>
      <c r="G26" s="1315"/>
      <c r="H26" s="1315"/>
      <c r="I26" s="1315"/>
      <c r="J26" s="1315"/>
      <c r="K26" s="1343" t="s">
        <v>970</v>
      </c>
      <c r="L26" s="1344"/>
      <c r="M26" s="991" t="s">
        <v>971</v>
      </c>
      <c r="N26" s="994" t="s">
        <v>972</v>
      </c>
      <c r="O26" s="204" t="s">
        <v>973</v>
      </c>
      <c r="P26" s="993" t="s">
        <v>974</v>
      </c>
      <c r="Q26" s="991" t="s">
        <v>975</v>
      </c>
      <c r="R26" s="991" t="s">
        <v>976</v>
      </c>
      <c r="S26" s="997" t="s">
        <v>977</v>
      </c>
      <c r="T26" s="585" t="s">
        <v>978</v>
      </c>
      <c r="U26" s="68"/>
      <c r="V26" s="146"/>
      <c r="W26" s="146"/>
      <c r="X26" s="146"/>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c r="IN26" s="68"/>
      <c r="IO26" s="68"/>
      <c r="IP26" s="68"/>
      <c r="IQ26" s="68"/>
      <c r="IR26" s="68"/>
      <c r="IS26" s="68"/>
      <c r="IT26" s="68"/>
      <c r="IU26" s="68"/>
      <c r="IV26" s="68"/>
      <c r="IW26" s="68"/>
      <c r="IX26" s="68"/>
    </row>
    <row r="27" spans="1:258" s="114" customFormat="1" ht="18" customHeight="1">
      <c r="A27" s="68"/>
      <c r="B27" s="1168"/>
      <c r="C27" s="1340"/>
      <c r="D27" s="1339"/>
      <c r="E27" s="1219"/>
      <c r="F27" s="1219"/>
      <c r="G27" s="1219"/>
      <c r="H27" s="1219"/>
      <c r="I27" s="1219"/>
      <c r="J27" s="1219"/>
      <c r="K27" s="1345" t="s">
        <v>979</v>
      </c>
      <c r="L27" s="1340"/>
      <c r="M27" s="876">
        <v>0.25</v>
      </c>
      <c r="N27" s="877">
        <v>0.22</v>
      </c>
      <c r="O27" s="878">
        <v>0.18</v>
      </c>
      <c r="P27" s="879">
        <v>0.14000000000000001</v>
      </c>
      <c r="Q27" s="876">
        <v>0.1</v>
      </c>
      <c r="R27" s="876">
        <v>7.0000000000000007E-2</v>
      </c>
      <c r="S27" s="876">
        <v>0.04</v>
      </c>
      <c r="T27" s="880">
        <v>0</v>
      </c>
      <c r="U27" s="68"/>
      <c r="V27" s="146"/>
      <c r="W27" s="146"/>
      <c r="X27" s="146"/>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c r="IS27" s="68"/>
      <c r="IT27" s="68"/>
      <c r="IU27" s="68"/>
      <c r="IV27" s="68"/>
      <c r="IW27" s="68"/>
      <c r="IX27" s="68"/>
    </row>
    <row r="28" spans="1:258" ht="18" customHeight="1" thickBot="1">
      <c r="B28" s="1160"/>
      <c r="C28" s="1341"/>
      <c r="D28" s="1342"/>
      <c r="E28" s="1221"/>
      <c r="F28" s="1221"/>
      <c r="G28" s="1221"/>
      <c r="H28" s="1221"/>
      <c r="I28" s="1221"/>
      <c r="J28" s="1221"/>
      <c r="K28" s="1346" t="s">
        <v>980</v>
      </c>
      <c r="L28" s="1341"/>
      <c r="M28" s="881">
        <v>0.3</v>
      </c>
      <c r="N28" s="882">
        <v>0.27</v>
      </c>
      <c r="O28" s="883">
        <v>0.23</v>
      </c>
      <c r="P28" s="884">
        <v>0.19</v>
      </c>
      <c r="Q28" s="885">
        <v>0.15</v>
      </c>
      <c r="R28" s="885">
        <v>0.12</v>
      </c>
      <c r="S28" s="885">
        <v>0.09</v>
      </c>
      <c r="T28" s="886">
        <v>0.05</v>
      </c>
    </row>
    <row r="29" spans="1:258" ht="20.25" customHeight="1"/>
  </sheetData>
  <mergeCells count="44">
    <mergeCell ref="B22:C25"/>
    <mergeCell ref="D22:L25"/>
    <mergeCell ref="B26:C28"/>
    <mergeCell ref="D26:J28"/>
    <mergeCell ref="K26:L26"/>
    <mergeCell ref="K27:L27"/>
    <mergeCell ref="K28:L28"/>
    <mergeCell ref="B20:C21"/>
    <mergeCell ref="D20:L21"/>
    <mergeCell ref="M20:N20"/>
    <mergeCell ref="O20:P20"/>
    <mergeCell ref="Q20:R20"/>
    <mergeCell ref="S20:T20"/>
    <mergeCell ref="M21:N21"/>
    <mergeCell ref="O21:P21"/>
    <mergeCell ref="Q21:R21"/>
    <mergeCell ref="S21:T21"/>
    <mergeCell ref="B17:C17"/>
    <mergeCell ref="D17:J17"/>
    <mergeCell ref="K17:T17"/>
    <mergeCell ref="B18:C19"/>
    <mergeCell ref="D18:J19"/>
    <mergeCell ref="K18:L18"/>
    <mergeCell ref="K19:L19"/>
    <mergeCell ref="B12:C12"/>
    <mergeCell ref="D12:T12"/>
    <mergeCell ref="B13:C13"/>
    <mergeCell ref="D13:T13"/>
    <mergeCell ref="B16:C16"/>
    <mergeCell ref="D16:J16"/>
    <mergeCell ref="K16:T16"/>
    <mergeCell ref="B7:C7"/>
    <mergeCell ref="D7:O7"/>
    <mergeCell ref="B8:C8"/>
    <mergeCell ref="D8:O8"/>
    <mergeCell ref="B9:C9"/>
    <mergeCell ref="D9:O9"/>
    <mergeCell ref="B6:C6"/>
    <mergeCell ref="D6:O6"/>
    <mergeCell ref="B1:T1"/>
    <mergeCell ref="B4:C4"/>
    <mergeCell ref="D4:O4"/>
    <mergeCell ref="B5:C5"/>
    <mergeCell ref="D5:O5"/>
  </mergeCells>
  <phoneticPr fontId="99" type="noConversion"/>
  <printOptions horizontalCentered="1"/>
  <pageMargins left="0.31496062992125984" right="0.31496062992125984" top="0.31496062992125984" bottom="0.31496062992125984" header="0.31496062992125984" footer="0.31496062992125984"/>
  <pageSetup paperSize="9" scale="71" orientation="landscape" r:id="rId1"/>
  <rowBreaks count="2" manualBreakCount="2">
    <brk id="14" max="17" man="1"/>
    <brk id="2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2"/>
  <sheetViews>
    <sheetView zoomScaleNormal="100" workbookViewId="0"/>
  </sheetViews>
  <sheetFormatPr defaultColWidth="9.625" defaultRowHeight="16.5"/>
  <cols>
    <col min="1" max="1" width="1" style="149" customWidth="1"/>
    <col min="2" max="2" width="14.375" style="213" customWidth="1"/>
    <col min="3" max="4" width="7.875" style="907" customWidth="1"/>
    <col min="5" max="5" width="7.875" style="150" customWidth="1"/>
    <col min="6" max="6" width="8" style="150" customWidth="1"/>
    <col min="7" max="9" width="5.5" style="150" customWidth="1"/>
    <col min="10" max="10" width="6.5" style="150" customWidth="1"/>
    <col min="11" max="11" width="6.625" style="150" customWidth="1"/>
    <col min="12" max="13" width="5.5" style="150" customWidth="1"/>
    <col min="14" max="14" width="7.5" style="149" customWidth="1"/>
    <col min="15" max="15" width="7.75" style="149" hidden="1" customWidth="1"/>
    <col min="16" max="17" width="5.25" style="149" customWidth="1"/>
    <col min="18" max="19" width="6.5" style="149" customWidth="1"/>
    <col min="20" max="20" width="8.375" style="149" bestFit="1" customWidth="1"/>
    <col min="21" max="34" width="7.625" style="149" customWidth="1"/>
    <col min="35" max="36" width="7.625" style="151" customWidth="1"/>
    <col min="37" max="37" width="7.625" style="149" customWidth="1"/>
    <col min="38" max="38" width="9.625" style="149" customWidth="1"/>
    <col min="39" max="41" width="9.625" style="149"/>
    <col min="42" max="42" width="10.625" style="149" customWidth="1"/>
    <col min="43" max="43" width="10.25" style="149" customWidth="1"/>
    <col min="44" max="44" width="11" style="149" customWidth="1"/>
    <col min="45" max="16384" width="9.625" style="149"/>
  </cols>
  <sheetData>
    <row r="1" spans="1:44" ht="30" customHeight="1" thickBot="1">
      <c r="A1" s="148"/>
      <c r="B1" s="1271" t="s">
        <v>1725</v>
      </c>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row>
    <row r="2" spans="1:44" s="246" customFormat="1" ht="6" customHeight="1" thickTop="1">
      <c r="A2" s="68"/>
      <c r="B2" s="67"/>
      <c r="C2" s="67"/>
      <c r="D2" s="67"/>
      <c r="E2" s="67"/>
      <c r="F2" s="67"/>
      <c r="G2" s="67"/>
      <c r="H2" s="68"/>
      <c r="I2" s="68"/>
      <c r="J2" s="68"/>
      <c r="K2" s="68"/>
      <c r="L2" s="68"/>
      <c r="M2" s="68"/>
      <c r="N2" s="69"/>
      <c r="O2" s="68"/>
      <c r="P2" s="68"/>
      <c r="Q2" s="68"/>
      <c r="R2" s="68"/>
      <c r="S2" s="68"/>
      <c r="T2" s="68"/>
      <c r="U2" s="68"/>
      <c r="V2" s="68"/>
      <c r="W2" s="68"/>
      <c r="X2" s="68"/>
      <c r="Y2" s="68"/>
      <c r="Z2" s="68"/>
      <c r="AA2" s="68"/>
      <c r="AB2" s="68"/>
      <c r="AC2" s="68"/>
      <c r="AD2" s="68"/>
      <c r="AE2" s="68"/>
      <c r="AF2" s="68"/>
      <c r="AG2" s="68"/>
      <c r="AH2" s="68"/>
      <c r="AI2" s="68"/>
      <c r="AJ2" s="68"/>
    </row>
    <row r="3" spans="1:44" s="274" customFormat="1" ht="18" customHeight="1">
      <c r="B3" s="364" t="s">
        <v>981</v>
      </c>
      <c r="C3" s="273"/>
      <c r="D3" s="273"/>
      <c r="E3" s="273"/>
      <c r="F3" s="273"/>
      <c r="G3" s="273"/>
      <c r="O3" s="275"/>
      <c r="P3" s="275"/>
      <c r="Q3" s="275"/>
    </row>
    <row r="4" spans="1:44" s="246" customFormat="1" ht="6" customHeight="1" thickBot="1">
      <c r="A4" s="68"/>
      <c r="B4" s="67"/>
      <c r="C4" s="67"/>
      <c r="D4" s="67"/>
      <c r="E4" s="67"/>
      <c r="F4" s="67"/>
      <c r="G4" s="67"/>
      <c r="H4" s="68"/>
      <c r="I4" s="68"/>
      <c r="J4" s="68"/>
      <c r="K4" s="68"/>
      <c r="L4" s="68"/>
      <c r="M4" s="68"/>
      <c r="N4" s="69"/>
      <c r="O4" s="68"/>
      <c r="P4" s="68"/>
      <c r="Q4" s="68"/>
      <c r="R4" s="68"/>
      <c r="S4" s="68"/>
      <c r="T4" s="68"/>
      <c r="U4" s="68"/>
      <c r="V4" s="68"/>
      <c r="W4" s="68"/>
      <c r="X4" s="68"/>
      <c r="Y4" s="68"/>
      <c r="Z4" s="68"/>
      <c r="AA4" s="68"/>
      <c r="AB4" s="68"/>
      <c r="AC4" s="68"/>
      <c r="AD4" s="68"/>
      <c r="AE4" s="68"/>
      <c r="AF4" s="68"/>
      <c r="AG4" s="68"/>
      <c r="AH4" s="68"/>
      <c r="AI4" s="68"/>
      <c r="AJ4" s="68"/>
    </row>
    <row r="5" spans="1:44" ht="20.25" customHeight="1">
      <c r="A5" s="17"/>
      <c r="B5" s="1272" t="s">
        <v>982</v>
      </c>
      <c r="C5" s="1273"/>
      <c r="D5" s="1273"/>
      <c r="E5" s="1274"/>
      <c r="F5" s="1349" t="s">
        <v>983</v>
      </c>
      <c r="G5" s="1351" t="s">
        <v>984</v>
      </c>
      <c r="H5" s="1352"/>
      <c r="I5" s="1288"/>
      <c r="J5" s="1353" t="s">
        <v>985</v>
      </c>
      <c r="K5" s="1354"/>
      <c r="L5" s="1277" t="s">
        <v>986</v>
      </c>
      <c r="M5" s="1277" t="s">
        <v>987</v>
      </c>
      <c r="N5" s="988" t="s">
        <v>914</v>
      </c>
      <c r="O5" s="987" t="s">
        <v>988</v>
      </c>
      <c r="P5" s="1356" t="s">
        <v>989</v>
      </c>
      <c r="Q5" s="1357"/>
      <c r="R5" s="1358" t="s">
        <v>990</v>
      </c>
      <c r="S5" s="1359"/>
      <c r="T5" s="1360" t="s">
        <v>991</v>
      </c>
      <c r="U5" s="1361"/>
      <c r="V5" s="1362"/>
      <c r="W5" s="1363" t="s">
        <v>992</v>
      </c>
      <c r="X5" s="1364"/>
      <c r="Y5" s="887">
        <v>0.93</v>
      </c>
      <c r="Z5" s="1365" t="s">
        <v>993</v>
      </c>
      <c r="AA5" s="1364"/>
      <c r="AB5" s="887">
        <v>0.86</v>
      </c>
      <c r="AC5" s="1363" t="s">
        <v>994</v>
      </c>
      <c r="AD5" s="1364"/>
      <c r="AE5" s="887">
        <v>0.83</v>
      </c>
      <c r="AF5" s="1363" t="s">
        <v>995</v>
      </c>
      <c r="AG5" s="1364"/>
      <c r="AH5" s="887">
        <v>0.75</v>
      </c>
      <c r="AI5" s="1360" t="s">
        <v>996</v>
      </c>
      <c r="AJ5" s="1366"/>
      <c r="AK5" s="887">
        <v>0.7</v>
      </c>
      <c r="AM5" s="485"/>
      <c r="AN5" s="485"/>
      <c r="AO5" s="485"/>
    </row>
    <row r="6" spans="1:44" ht="39" customHeight="1" thickBot="1">
      <c r="A6" s="17"/>
      <c r="B6" s="227" t="s">
        <v>997</v>
      </c>
      <c r="C6" s="888" t="s">
        <v>998</v>
      </c>
      <c r="D6" s="888" t="s">
        <v>999</v>
      </c>
      <c r="E6" s="446" t="s">
        <v>1000</v>
      </c>
      <c r="F6" s="1350"/>
      <c r="G6" s="889" t="s">
        <v>1001</v>
      </c>
      <c r="H6" s="181" t="s">
        <v>1002</v>
      </c>
      <c r="I6" s="181" t="s">
        <v>1003</v>
      </c>
      <c r="J6" s="999" t="s">
        <v>1004</v>
      </c>
      <c r="K6" s="999" t="s">
        <v>1005</v>
      </c>
      <c r="L6" s="1355"/>
      <c r="M6" s="1355"/>
      <c r="N6" s="890">
        <v>0.75</v>
      </c>
      <c r="O6" s="891">
        <v>0</v>
      </c>
      <c r="P6" s="181" t="s">
        <v>1006</v>
      </c>
      <c r="Q6" s="181" t="s">
        <v>1007</v>
      </c>
      <c r="R6" s="181" t="s">
        <v>1006</v>
      </c>
      <c r="S6" s="450" t="s">
        <v>1007</v>
      </c>
      <c r="T6" s="892" t="s">
        <v>1008</v>
      </c>
      <c r="U6" s="893" t="s">
        <v>1009</v>
      </c>
      <c r="V6" s="894" t="s">
        <v>1010</v>
      </c>
      <c r="W6" s="892" t="s">
        <v>1008</v>
      </c>
      <c r="X6" s="893" t="s">
        <v>1009</v>
      </c>
      <c r="Y6" s="894" t="s">
        <v>1010</v>
      </c>
      <c r="Z6" s="895" t="s">
        <v>1008</v>
      </c>
      <c r="AA6" s="893" t="s">
        <v>1009</v>
      </c>
      <c r="AB6" s="894" t="s">
        <v>1010</v>
      </c>
      <c r="AC6" s="892" t="s">
        <v>1008</v>
      </c>
      <c r="AD6" s="893" t="s">
        <v>1009</v>
      </c>
      <c r="AE6" s="894" t="s">
        <v>1010</v>
      </c>
      <c r="AF6" s="892" t="s">
        <v>1008</v>
      </c>
      <c r="AG6" s="893" t="s">
        <v>1009</v>
      </c>
      <c r="AH6" s="894" t="s">
        <v>1010</v>
      </c>
      <c r="AI6" s="892" t="s">
        <v>1008</v>
      </c>
      <c r="AJ6" s="893" t="s">
        <v>1009</v>
      </c>
      <c r="AK6" s="894" t="s">
        <v>1010</v>
      </c>
      <c r="AM6" s="485"/>
      <c r="AN6" s="485"/>
      <c r="AO6" s="485"/>
    </row>
    <row r="7" spans="1:44" ht="18" customHeight="1">
      <c r="A7" s="17"/>
      <c r="B7" s="1367" t="s">
        <v>1011</v>
      </c>
      <c r="C7" s="1368"/>
      <c r="D7" s="1368"/>
      <c r="E7" s="1369"/>
      <c r="F7" s="1370">
        <v>1000</v>
      </c>
      <c r="G7" s="1243">
        <f>F7*C8</f>
        <v>210</v>
      </c>
      <c r="H7" s="1226">
        <f>F7*D8</f>
        <v>60</v>
      </c>
      <c r="I7" s="1226">
        <f>F7*E8</f>
        <v>60</v>
      </c>
      <c r="J7" s="1226">
        <f>G7*6</f>
        <v>1260</v>
      </c>
      <c r="K7" s="1245">
        <f>G7*6</f>
        <v>1260</v>
      </c>
      <c r="L7" s="1226">
        <f>H7*12</f>
        <v>720</v>
      </c>
      <c r="M7" s="1226">
        <f>I7*12</f>
        <v>720</v>
      </c>
      <c r="N7" s="1226">
        <f>(J7+K7)*$N$6</f>
        <v>1890</v>
      </c>
      <c r="O7" s="1226">
        <f>J7*$O$6</f>
        <v>0</v>
      </c>
      <c r="P7" s="1226">
        <f>G7*20%</f>
        <v>42</v>
      </c>
      <c r="Q7" s="1226">
        <f>P7*11</f>
        <v>462</v>
      </c>
      <c r="R7" s="1226">
        <f>G7*18%</f>
        <v>37.799999999999997</v>
      </c>
      <c r="S7" s="1347">
        <f>R7*11</f>
        <v>415.79999999999995</v>
      </c>
      <c r="T7" s="153">
        <f>J7+N7+O7+P7+R7</f>
        <v>3229.8</v>
      </c>
      <c r="U7" s="155">
        <f>J7+K7+N7+O7+P7+Q7+R7+S7</f>
        <v>5367.6</v>
      </c>
      <c r="V7" s="154">
        <f>J7+K7+L7+M7+N7+O7+P7+Q7+R7+S7</f>
        <v>6807.6</v>
      </c>
      <c r="W7" s="152">
        <f>T7*$Y$5</f>
        <v>3003.7140000000004</v>
      </c>
      <c r="X7" s="155">
        <f>U7*$Y$5</f>
        <v>4991.8680000000004</v>
      </c>
      <c r="Y7" s="154">
        <f>V7*$Y$5</f>
        <v>6331.0680000000011</v>
      </c>
      <c r="Z7" s="153">
        <f>T7*$AB$5</f>
        <v>2777.6280000000002</v>
      </c>
      <c r="AA7" s="155">
        <f>U7*$AB$5</f>
        <v>4616.1360000000004</v>
      </c>
      <c r="AB7" s="156">
        <f>V7*$AB$5</f>
        <v>5854.5360000000001</v>
      </c>
      <c r="AC7" s="152">
        <f>T7*$AE$5</f>
        <v>2680.7339999999999</v>
      </c>
      <c r="AD7" s="155">
        <f>U7*$AE$5</f>
        <v>4455.1080000000002</v>
      </c>
      <c r="AE7" s="154">
        <f>V7*$AE$5</f>
        <v>5650.308</v>
      </c>
      <c r="AF7" s="153">
        <f>T7*$AH$5</f>
        <v>2422.3500000000004</v>
      </c>
      <c r="AG7" s="156">
        <f>U7*$AH$5</f>
        <v>4025.7000000000003</v>
      </c>
      <c r="AH7" s="156">
        <f>V7*$AH$5</f>
        <v>5105.7000000000007</v>
      </c>
      <c r="AI7" s="152">
        <f>T7*$AK$5</f>
        <v>2260.86</v>
      </c>
      <c r="AJ7" s="156">
        <f>U7*$AK$5</f>
        <v>3757.32</v>
      </c>
      <c r="AK7" s="154">
        <f>V7*$AK$5</f>
        <v>4765.32</v>
      </c>
      <c r="AM7" s="485"/>
      <c r="AN7" s="485"/>
      <c r="AO7" s="485"/>
      <c r="AP7" s="896"/>
      <c r="AQ7" s="896"/>
      <c r="AR7" s="896"/>
    </row>
    <row r="8" spans="1:44" ht="18" customHeight="1">
      <c r="A8" s="17"/>
      <c r="B8" s="216" t="s">
        <v>1012</v>
      </c>
      <c r="C8" s="897">
        <v>0.21</v>
      </c>
      <c r="D8" s="897">
        <v>0.06</v>
      </c>
      <c r="E8" s="1005">
        <v>0.06</v>
      </c>
      <c r="F8" s="1371"/>
      <c r="G8" s="1244"/>
      <c r="H8" s="1227"/>
      <c r="I8" s="1227"/>
      <c r="J8" s="1227"/>
      <c r="K8" s="1232"/>
      <c r="L8" s="1227"/>
      <c r="M8" s="1227"/>
      <c r="N8" s="1227"/>
      <c r="O8" s="1227"/>
      <c r="P8" s="1227"/>
      <c r="Q8" s="1227"/>
      <c r="R8" s="1227"/>
      <c r="S8" s="1348"/>
      <c r="T8" s="187">
        <f>T7/F7</f>
        <v>3.2298</v>
      </c>
      <c r="U8" s="189">
        <f>U7/F7</f>
        <v>5.3676000000000004</v>
      </c>
      <c r="V8" s="188">
        <f>V7/F7</f>
        <v>6.8076000000000008</v>
      </c>
      <c r="W8" s="186">
        <f>W7/F7</f>
        <v>3.0037140000000004</v>
      </c>
      <c r="X8" s="189">
        <f>X7/F7</f>
        <v>4.9918680000000002</v>
      </c>
      <c r="Y8" s="188">
        <f>Y7/F7</f>
        <v>6.331068000000001</v>
      </c>
      <c r="Z8" s="187">
        <f>Z7/F7</f>
        <v>2.777628</v>
      </c>
      <c r="AA8" s="189">
        <f>AA7/F7</f>
        <v>4.616136</v>
      </c>
      <c r="AB8" s="190">
        <f>AB7/F7</f>
        <v>5.8545360000000004</v>
      </c>
      <c r="AC8" s="186">
        <f>AC7/F7</f>
        <v>2.6807339999999997</v>
      </c>
      <c r="AD8" s="189">
        <f>AD7/F7</f>
        <v>4.4551080000000001</v>
      </c>
      <c r="AE8" s="188">
        <f>AE7/F7</f>
        <v>5.6503079999999999</v>
      </c>
      <c r="AF8" s="187">
        <f>AF7/F7</f>
        <v>2.4223500000000002</v>
      </c>
      <c r="AG8" s="190">
        <f>AG7/F7</f>
        <v>4.0257000000000005</v>
      </c>
      <c r="AH8" s="190">
        <f>AH7/F7</f>
        <v>5.1057000000000006</v>
      </c>
      <c r="AI8" s="186">
        <f>AI7/F7</f>
        <v>2.2608600000000001</v>
      </c>
      <c r="AJ8" s="190">
        <f>AJ7/F7</f>
        <v>3.75732</v>
      </c>
      <c r="AK8" s="188">
        <f>AK7/F7</f>
        <v>4.76532</v>
      </c>
      <c r="AM8" s="485"/>
      <c r="AN8" s="485"/>
      <c r="AO8" s="485"/>
      <c r="AP8" s="896"/>
      <c r="AQ8" s="896"/>
      <c r="AR8" s="896"/>
    </row>
    <row r="9" spans="1:44" ht="18" customHeight="1">
      <c r="A9" s="17"/>
      <c r="B9" s="1372" t="s">
        <v>1013</v>
      </c>
      <c r="C9" s="1373"/>
      <c r="D9" s="1373"/>
      <c r="E9" s="1374"/>
      <c r="F9" s="1371">
        <v>1000</v>
      </c>
      <c r="G9" s="1244">
        <f>F9*C10</f>
        <v>190</v>
      </c>
      <c r="H9" s="1227">
        <f>F9*D10</f>
        <v>80</v>
      </c>
      <c r="I9" s="1227">
        <f>F9*E10</f>
        <v>80</v>
      </c>
      <c r="J9" s="1227">
        <f>G9*6</f>
        <v>1140</v>
      </c>
      <c r="K9" s="1268">
        <f>G9*6</f>
        <v>1140</v>
      </c>
      <c r="L9" s="1227">
        <f>H9*12</f>
        <v>960</v>
      </c>
      <c r="M9" s="1227">
        <f>I9*12</f>
        <v>960</v>
      </c>
      <c r="N9" s="1227">
        <f>(J9+K9)*$N$6</f>
        <v>1710</v>
      </c>
      <c r="O9" s="1227">
        <f t="shared" ref="O9" si="0">J9*$O$6</f>
        <v>0</v>
      </c>
      <c r="P9" s="1268">
        <f>G9*20%</f>
        <v>38</v>
      </c>
      <c r="Q9" s="1227">
        <f>P9*11</f>
        <v>418</v>
      </c>
      <c r="R9" s="1227">
        <f>G9*18%</f>
        <v>34.199999999999996</v>
      </c>
      <c r="S9" s="1348">
        <f t="shared" ref="S9" si="1">R9*11</f>
        <v>376.19999999999993</v>
      </c>
      <c r="T9" s="36">
        <f>J9+N9+O9+P9+R9</f>
        <v>2922.2</v>
      </c>
      <c r="U9" s="26">
        <f>J9+K9+N9+O9+P9+Q9+R9+S9</f>
        <v>4856.3999999999996</v>
      </c>
      <c r="V9" s="27">
        <f>J9+K9+L9+M9+N9+O9+P9+Q9+R9+S9</f>
        <v>6776.4</v>
      </c>
      <c r="W9" s="25">
        <f>T9*$Y$5</f>
        <v>2717.6460000000002</v>
      </c>
      <c r="X9" s="26">
        <f>U9*$Y$5</f>
        <v>4516.4520000000002</v>
      </c>
      <c r="Y9" s="27">
        <f>V9*$Y$5</f>
        <v>6302.0519999999997</v>
      </c>
      <c r="Z9" s="36">
        <f t="shared" ref="Z9:AB9" si="2">T9*$AB$5</f>
        <v>2513.0919999999996</v>
      </c>
      <c r="AA9" s="26">
        <f t="shared" si="2"/>
        <v>4176.5039999999999</v>
      </c>
      <c r="AB9" s="110">
        <f t="shared" si="2"/>
        <v>5827.7039999999997</v>
      </c>
      <c r="AC9" s="25">
        <f>T9*$AE$5</f>
        <v>2425.4259999999999</v>
      </c>
      <c r="AD9" s="26">
        <f>U9*$AE$5</f>
        <v>4030.8119999999994</v>
      </c>
      <c r="AE9" s="27">
        <f>V9*$AE$5</f>
        <v>5624.4119999999994</v>
      </c>
      <c r="AF9" s="36">
        <f>T9*$AH$5</f>
        <v>2191.6499999999996</v>
      </c>
      <c r="AG9" s="110">
        <f>U9*$AH$5</f>
        <v>3642.2999999999997</v>
      </c>
      <c r="AH9" s="110">
        <f>V9*$AH$5</f>
        <v>5082.2999999999993</v>
      </c>
      <c r="AI9" s="25">
        <f>T9*$AK$5</f>
        <v>2045.5399999999997</v>
      </c>
      <c r="AJ9" s="110">
        <f>U9*$AK$5</f>
        <v>3399.4799999999996</v>
      </c>
      <c r="AK9" s="27">
        <f>V9*$AK$5</f>
        <v>4743.4799999999996</v>
      </c>
      <c r="AM9" s="485"/>
      <c r="AN9" s="485"/>
      <c r="AO9" s="485"/>
      <c r="AP9" s="896"/>
      <c r="AQ9" s="896"/>
      <c r="AR9" s="896"/>
    </row>
    <row r="10" spans="1:44" ht="18" customHeight="1">
      <c r="A10" s="17"/>
      <c r="B10" s="216" t="s">
        <v>1012</v>
      </c>
      <c r="C10" s="897">
        <v>0.19</v>
      </c>
      <c r="D10" s="897">
        <v>0.08</v>
      </c>
      <c r="E10" s="1005">
        <v>0.08</v>
      </c>
      <c r="F10" s="1371"/>
      <c r="G10" s="1244"/>
      <c r="H10" s="1227"/>
      <c r="I10" s="1227"/>
      <c r="J10" s="1227"/>
      <c r="K10" s="1232"/>
      <c r="L10" s="1227"/>
      <c r="M10" s="1227"/>
      <c r="N10" s="1227"/>
      <c r="O10" s="1227"/>
      <c r="P10" s="1232"/>
      <c r="Q10" s="1227"/>
      <c r="R10" s="1227"/>
      <c r="S10" s="1348"/>
      <c r="T10" s="187">
        <f>T9/F9</f>
        <v>2.9221999999999997</v>
      </c>
      <c r="U10" s="189">
        <f>U9/F9</f>
        <v>4.8563999999999998</v>
      </c>
      <c r="V10" s="188">
        <f>V9/F9</f>
        <v>6.7763999999999998</v>
      </c>
      <c r="W10" s="186">
        <f>W9/F9</f>
        <v>2.7176460000000002</v>
      </c>
      <c r="X10" s="189">
        <f>X9/F9</f>
        <v>4.5164520000000001</v>
      </c>
      <c r="Y10" s="188">
        <f>Y9/F9</f>
        <v>6.3020519999999998</v>
      </c>
      <c r="Z10" s="187">
        <f t="shared" ref="Z10" si="3">Z9/F9</f>
        <v>2.5130919999999994</v>
      </c>
      <c r="AA10" s="189">
        <f t="shared" ref="AA10" si="4">AA9/F9</f>
        <v>4.1765039999999996</v>
      </c>
      <c r="AB10" s="190">
        <f t="shared" ref="AB10" si="5">AB9/F9</f>
        <v>5.8277039999999998</v>
      </c>
      <c r="AC10" s="186">
        <f>AC9/F9</f>
        <v>2.4254259999999999</v>
      </c>
      <c r="AD10" s="189">
        <f>AD9/F9</f>
        <v>4.0308119999999992</v>
      </c>
      <c r="AE10" s="188">
        <f>AE9/F9</f>
        <v>5.6244119999999995</v>
      </c>
      <c r="AF10" s="187">
        <f>AF9/F9</f>
        <v>2.1916499999999997</v>
      </c>
      <c r="AG10" s="190">
        <f>AG9/F9</f>
        <v>3.6422999999999996</v>
      </c>
      <c r="AH10" s="190">
        <f>AH9/F9</f>
        <v>5.0822999999999992</v>
      </c>
      <c r="AI10" s="186">
        <f>AI9/F9</f>
        <v>2.0455399999999999</v>
      </c>
      <c r="AJ10" s="190">
        <f>AJ9/F9</f>
        <v>3.3994799999999996</v>
      </c>
      <c r="AK10" s="188">
        <f>AK9/F9</f>
        <v>4.7434799999999999</v>
      </c>
      <c r="AM10" s="485"/>
      <c r="AN10" s="485"/>
      <c r="AO10" s="485"/>
      <c r="AP10" s="896"/>
      <c r="AQ10" s="896"/>
      <c r="AR10" s="896"/>
    </row>
    <row r="11" spans="1:44" ht="18" customHeight="1">
      <c r="A11" s="17"/>
      <c r="B11" s="1372" t="s">
        <v>1014</v>
      </c>
      <c r="C11" s="1373"/>
      <c r="D11" s="1373"/>
      <c r="E11" s="1374"/>
      <c r="F11" s="1371">
        <v>1000</v>
      </c>
      <c r="G11" s="1244">
        <f>F11*C12</f>
        <v>210</v>
      </c>
      <c r="H11" s="1227">
        <f>F11*D12</f>
        <v>60</v>
      </c>
      <c r="I11" s="1227">
        <f>F11*E12</f>
        <v>60</v>
      </c>
      <c r="J11" s="1227">
        <f>G11*6</f>
        <v>1260</v>
      </c>
      <c r="K11" s="1268">
        <f>G11*6</f>
        <v>1260</v>
      </c>
      <c r="L11" s="1227">
        <f>H11*12</f>
        <v>720</v>
      </c>
      <c r="M11" s="1227">
        <f>I11*12</f>
        <v>720</v>
      </c>
      <c r="N11" s="1227">
        <f>(J11+K11)*$N$6</f>
        <v>1890</v>
      </c>
      <c r="O11" s="1227">
        <f t="shared" ref="O11" si="6">J11*$O$6</f>
        <v>0</v>
      </c>
      <c r="P11" s="1268">
        <f>G11*20%</f>
        <v>42</v>
      </c>
      <c r="Q11" s="1227">
        <f t="shared" ref="Q11" si="7">P11*11</f>
        <v>462</v>
      </c>
      <c r="R11" s="1227">
        <f>G11*18%</f>
        <v>37.799999999999997</v>
      </c>
      <c r="S11" s="1348">
        <f t="shared" ref="S11" si="8">R11*11</f>
        <v>415.79999999999995</v>
      </c>
      <c r="T11" s="36">
        <f>J11+N11+O11+P11+R11</f>
        <v>3229.8</v>
      </c>
      <c r="U11" s="26">
        <f>J11+K11+N11+O11+P11+Q11+R11+S11</f>
        <v>5367.6</v>
      </c>
      <c r="V11" s="27">
        <f>J11+K11+L11+M11+N11+O11+P11+Q11+R11+S11</f>
        <v>6807.6</v>
      </c>
      <c r="W11" s="25">
        <f>T11*$Y$5</f>
        <v>3003.7140000000004</v>
      </c>
      <c r="X11" s="26">
        <f>U11*$Y$5</f>
        <v>4991.8680000000004</v>
      </c>
      <c r="Y11" s="27">
        <f>V11*$Y$5</f>
        <v>6331.0680000000011</v>
      </c>
      <c r="Z11" s="36">
        <f t="shared" ref="Z11:AB11" si="9">T11*$AB$5</f>
        <v>2777.6280000000002</v>
      </c>
      <c r="AA11" s="26">
        <f t="shared" si="9"/>
        <v>4616.1360000000004</v>
      </c>
      <c r="AB11" s="110">
        <f t="shared" si="9"/>
        <v>5854.5360000000001</v>
      </c>
      <c r="AC11" s="25">
        <f>T11*$AE$5</f>
        <v>2680.7339999999999</v>
      </c>
      <c r="AD11" s="26">
        <f>U11*$AE$5</f>
        <v>4455.1080000000002</v>
      </c>
      <c r="AE11" s="27">
        <f>V11*$AE$5</f>
        <v>5650.308</v>
      </c>
      <c r="AF11" s="36">
        <f>T11*$AH$5</f>
        <v>2422.3500000000004</v>
      </c>
      <c r="AG11" s="110">
        <f>U11*$AH$5</f>
        <v>4025.7000000000003</v>
      </c>
      <c r="AH11" s="110">
        <f>V11*$AH$5</f>
        <v>5105.7000000000007</v>
      </c>
      <c r="AI11" s="25">
        <f>T11*$AK$5</f>
        <v>2260.86</v>
      </c>
      <c r="AJ11" s="110">
        <f>U11*$AK$5</f>
        <v>3757.32</v>
      </c>
      <c r="AK11" s="27">
        <f>V11*$AK$5</f>
        <v>4765.32</v>
      </c>
      <c r="AM11" s="485"/>
      <c r="AN11" s="485"/>
      <c r="AO11" s="485"/>
      <c r="AP11" s="896"/>
      <c r="AQ11" s="896"/>
      <c r="AR11" s="896"/>
    </row>
    <row r="12" spans="1:44" ht="18" customHeight="1">
      <c r="A12" s="17"/>
      <c r="B12" s="433" t="s">
        <v>1015</v>
      </c>
      <c r="C12" s="897">
        <v>0.21</v>
      </c>
      <c r="D12" s="897">
        <v>0.06</v>
      </c>
      <c r="E12" s="1005">
        <v>0.06</v>
      </c>
      <c r="F12" s="1371"/>
      <c r="G12" s="1244"/>
      <c r="H12" s="1227"/>
      <c r="I12" s="1227"/>
      <c r="J12" s="1227"/>
      <c r="K12" s="1232"/>
      <c r="L12" s="1227"/>
      <c r="M12" s="1227"/>
      <c r="N12" s="1227"/>
      <c r="O12" s="1227"/>
      <c r="P12" s="1232"/>
      <c r="Q12" s="1227"/>
      <c r="R12" s="1227"/>
      <c r="S12" s="1348"/>
      <c r="T12" s="187">
        <f>T11/F11</f>
        <v>3.2298</v>
      </c>
      <c r="U12" s="189">
        <f>U11/F11</f>
        <v>5.3676000000000004</v>
      </c>
      <c r="V12" s="188">
        <f>V11/F11</f>
        <v>6.8076000000000008</v>
      </c>
      <c r="W12" s="186">
        <f>W11/F11</f>
        <v>3.0037140000000004</v>
      </c>
      <c r="X12" s="189">
        <f>X11/F11</f>
        <v>4.9918680000000002</v>
      </c>
      <c r="Y12" s="188">
        <f>Y11/F11</f>
        <v>6.331068000000001</v>
      </c>
      <c r="Z12" s="187">
        <f t="shared" ref="Z12" si="10">Z11/F11</f>
        <v>2.777628</v>
      </c>
      <c r="AA12" s="189">
        <f t="shared" ref="AA12" si="11">AA11/F11</f>
        <v>4.616136</v>
      </c>
      <c r="AB12" s="190">
        <f t="shared" ref="AB12" si="12">AB11/F11</f>
        <v>5.8545360000000004</v>
      </c>
      <c r="AC12" s="186">
        <f>AC11/F11</f>
        <v>2.6807339999999997</v>
      </c>
      <c r="AD12" s="189">
        <f>AD11/F11</f>
        <v>4.4551080000000001</v>
      </c>
      <c r="AE12" s="188">
        <f>AE11/F11</f>
        <v>5.6503079999999999</v>
      </c>
      <c r="AF12" s="187">
        <f>AF11/F11</f>
        <v>2.4223500000000002</v>
      </c>
      <c r="AG12" s="190">
        <f>AG11/F11</f>
        <v>4.0257000000000005</v>
      </c>
      <c r="AH12" s="190">
        <f>AH11/F11</f>
        <v>5.1057000000000006</v>
      </c>
      <c r="AI12" s="186">
        <f>AI11/F11</f>
        <v>2.2608600000000001</v>
      </c>
      <c r="AJ12" s="190">
        <f>AJ11/F11</f>
        <v>3.75732</v>
      </c>
      <c r="AK12" s="188">
        <f>AK11/F11</f>
        <v>4.76532</v>
      </c>
      <c r="AM12" s="485"/>
      <c r="AN12" s="485"/>
      <c r="AO12" s="485"/>
      <c r="AP12" s="896"/>
      <c r="AQ12" s="896"/>
      <c r="AR12" s="896"/>
    </row>
    <row r="13" spans="1:44" ht="18" customHeight="1">
      <c r="A13" s="17"/>
      <c r="B13" s="1379" t="s">
        <v>1016</v>
      </c>
      <c r="C13" s="1380"/>
      <c r="D13" s="1380"/>
      <c r="E13" s="1381"/>
      <c r="F13" s="1382">
        <v>1000</v>
      </c>
      <c r="G13" s="1244">
        <f>F13*C14</f>
        <v>190</v>
      </c>
      <c r="H13" s="1227">
        <f>F13*D14</f>
        <v>75</v>
      </c>
      <c r="I13" s="1227">
        <f>F13*E14</f>
        <v>70</v>
      </c>
      <c r="J13" s="1227">
        <f>G13*6</f>
        <v>1140</v>
      </c>
      <c r="K13" s="1268">
        <f>G13*6</f>
        <v>1140</v>
      </c>
      <c r="L13" s="1227">
        <f>H13*12</f>
        <v>900</v>
      </c>
      <c r="M13" s="1227">
        <f>I13*12</f>
        <v>840</v>
      </c>
      <c r="N13" s="1227">
        <f>(J13+K13)*$N$6</f>
        <v>1710</v>
      </c>
      <c r="O13" s="1227">
        <f t="shared" ref="O13" si="13">J13*$O$6</f>
        <v>0</v>
      </c>
      <c r="P13" s="1268">
        <f>G13*20%</f>
        <v>38</v>
      </c>
      <c r="Q13" s="1227">
        <f t="shared" ref="Q13" si="14">P13*11</f>
        <v>418</v>
      </c>
      <c r="R13" s="1227">
        <f>G13*18%</f>
        <v>34.199999999999996</v>
      </c>
      <c r="S13" s="1348">
        <f t="shared" ref="S13" si="15">R13*11</f>
        <v>376.19999999999993</v>
      </c>
      <c r="T13" s="36">
        <f>J13+N13+O13+P13+R13</f>
        <v>2922.2</v>
      </c>
      <c r="U13" s="26">
        <f>J13+K13+N13+O13+P13+Q13+R13+S13</f>
        <v>4856.3999999999996</v>
      </c>
      <c r="V13" s="27">
        <f>J13+K13+L13+M13+N13+O13+P13+Q13+R13+S13</f>
        <v>6596.4</v>
      </c>
      <c r="W13" s="25">
        <f>T13*$Y$5</f>
        <v>2717.6460000000002</v>
      </c>
      <c r="X13" s="26">
        <f>U13*$Y$5</f>
        <v>4516.4520000000002</v>
      </c>
      <c r="Y13" s="27">
        <f>V13*$Y$5</f>
        <v>6134.652</v>
      </c>
      <c r="Z13" s="36">
        <f t="shared" ref="Z13:AB13" si="16">T13*$AB$5</f>
        <v>2513.0919999999996</v>
      </c>
      <c r="AA13" s="26">
        <f t="shared" si="16"/>
        <v>4176.5039999999999</v>
      </c>
      <c r="AB13" s="110">
        <f t="shared" si="16"/>
        <v>5672.9039999999995</v>
      </c>
      <c r="AC13" s="25">
        <f>T13*$AE$5</f>
        <v>2425.4259999999999</v>
      </c>
      <c r="AD13" s="26">
        <f>U13*$AE$5</f>
        <v>4030.8119999999994</v>
      </c>
      <c r="AE13" s="27">
        <f>V13*$AE$5</f>
        <v>5475.0119999999997</v>
      </c>
      <c r="AF13" s="36">
        <f>T13*$AH$5</f>
        <v>2191.6499999999996</v>
      </c>
      <c r="AG13" s="26">
        <f>U13*$AH$5</f>
        <v>3642.2999999999997</v>
      </c>
      <c r="AH13" s="110">
        <f>V13*$AH$5</f>
        <v>4947.2999999999993</v>
      </c>
      <c r="AI13" s="25">
        <f>T13*$AK$5</f>
        <v>2045.5399999999997</v>
      </c>
      <c r="AJ13" s="26">
        <f>U13*$AK$5</f>
        <v>3399.4799999999996</v>
      </c>
      <c r="AK13" s="27">
        <f>V13*$AK$5</f>
        <v>4617.4799999999996</v>
      </c>
      <c r="AM13" s="485"/>
      <c r="AN13" s="485"/>
      <c r="AO13" s="485"/>
      <c r="AP13" s="896"/>
      <c r="AQ13" s="896"/>
      <c r="AR13" s="896"/>
    </row>
    <row r="14" spans="1:44" ht="18" customHeight="1">
      <c r="A14" s="17"/>
      <c r="B14" s="216" t="s">
        <v>1012</v>
      </c>
      <c r="C14" s="897">
        <v>0.19</v>
      </c>
      <c r="D14" s="897">
        <v>7.4999999999999997E-2</v>
      </c>
      <c r="E14" s="1005">
        <v>7.0000000000000007E-2</v>
      </c>
      <c r="F14" s="1371"/>
      <c r="G14" s="1244"/>
      <c r="H14" s="1227"/>
      <c r="I14" s="1227"/>
      <c r="J14" s="1227"/>
      <c r="K14" s="1232"/>
      <c r="L14" s="1227"/>
      <c r="M14" s="1227"/>
      <c r="N14" s="1227"/>
      <c r="O14" s="1227"/>
      <c r="P14" s="1232"/>
      <c r="Q14" s="1227"/>
      <c r="R14" s="1227"/>
      <c r="S14" s="1348"/>
      <c r="T14" s="187">
        <f>T13/F13</f>
        <v>2.9221999999999997</v>
      </c>
      <c r="U14" s="189">
        <f>U13/F13</f>
        <v>4.8563999999999998</v>
      </c>
      <c r="V14" s="188">
        <f>V13/F13</f>
        <v>6.5964</v>
      </c>
      <c r="W14" s="186">
        <f>W13/F13</f>
        <v>2.7176460000000002</v>
      </c>
      <c r="X14" s="189">
        <f>X13/F13</f>
        <v>4.5164520000000001</v>
      </c>
      <c r="Y14" s="188">
        <f>Y13/F13</f>
        <v>6.134652</v>
      </c>
      <c r="Z14" s="187">
        <f t="shared" ref="Z14" si="17">Z13/F13</f>
        <v>2.5130919999999994</v>
      </c>
      <c r="AA14" s="189">
        <f t="shared" ref="AA14" si="18">AA13/F13</f>
        <v>4.1765039999999996</v>
      </c>
      <c r="AB14" s="190">
        <f t="shared" ref="AB14" si="19">AB13/F13</f>
        <v>5.6729039999999999</v>
      </c>
      <c r="AC14" s="186">
        <f>AC13/F13</f>
        <v>2.4254259999999999</v>
      </c>
      <c r="AD14" s="189">
        <f>AD13/F13</f>
        <v>4.0308119999999992</v>
      </c>
      <c r="AE14" s="188">
        <f>AE13/F13</f>
        <v>5.4750119999999995</v>
      </c>
      <c r="AF14" s="187">
        <f>AF13/F13</f>
        <v>2.1916499999999997</v>
      </c>
      <c r="AG14" s="189">
        <f>AG13/F13</f>
        <v>3.6422999999999996</v>
      </c>
      <c r="AH14" s="190">
        <f>AH13/F13</f>
        <v>4.9472999999999994</v>
      </c>
      <c r="AI14" s="186">
        <f>AI13/F13</f>
        <v>2.0455399999999999</v>
      </c>
      <c r="AJ14" s="189">
        <f>AJ13/F13</f>
        <v>3.3994799999999996</v>
      </c>
      <c r="AK14" s="188">
        <f>AK13/F13</f>
        <v>4.6174799999999996</v>
      </c>
      <c r="AM14" s="485"/>
      <c r="AN14" s="485"/>
      <c r="AO14" s="485"/>
      <c r="AP14" s="896"/>
      <c r="AQ14" s="896"/>
      <c r="AR14" s="896"/>
    </row>
    <row r="15" spans="1:44" ht="18" customHeight="1">
      <c r="A15" s="17"/>
      <c r="B15" s="1376" t="s">
        <v>1017</v>
      </c>
      <c r="C15" s="1377"/>
      <c r="D15" s="1377"/>
      <c r="E15" s="1378"/>
      <c r="F15" s="1371">
        <v>1000</v>
      </c>
      <c r="G15" s="1244">
        <f>F15*C16</f>
        <v>490</v>
      </c>
      <c r="H15" s="1227">
        <f>F15*D16</f>
        <v>205</v>
      </c>
      <c r="I15" s="1227">
        <f>F15*E16</f>
        <v>205</v>
      </c>
      <c r="J15" s="1227">
        <f>G15*6</f>
        <v>2940</v>
      </c>
      <c r="K15" s="1268">
        <f>G15*6</f>
        <v>2940</v>
      </c>
      <c r="L15" s="1227">
        <f>H15*12</f>
        <v>2460</v>
      </c>
      <c r="M15" s="1227">
        <f>I15*12</f>
        <v>2460</v>
      </c>
      <c r="N15" s="1227">
        <f>(J15+K15)*$N$6</f>
        <v>4410</v>
      </c>
      <c r="O15" s="1227">
        <f t="shared" ref="O15" si="20">J15*$O$6</f>
        <v>0</v>
      </c>
      <c r="P15" s="1268">
        <f>G15*20%</f>
        <v>98</v>
      </c>
      <c r="Q15" s="1227">
        <f t="shared" ref="Q15" si="21">P15*11</f>
        <v>1078</v>
      </c>
      <c r="R15" s="1227">
        <f>G15*23%</f>
        <v>112.7</v>
      </c>
      <c r="S15" s="1375">
        <f t="shared" ref="S15" si="22">R15*11</f>
        <v>1239.7</v>
      </c>
      <c r="T15" s="36">
        <f>J15+N15+O15+P15+R15</f>
        <v>7560.7</v>
      </c>
      <c r="U15" s="26">
        <f>J15+K15+N15+O15+P15+Q15+R15+S15</f>
        <v>12818.400000000001</v>
      </c>
      <c r="V15" s="27">
        <f>J15+K15+L15+M15+N15+O15+P15+Q15+R15+S15</f>
        <v>17738.400000000001</v>
      </c>
      <c r="W15" s="25">
        <f>T15*$Y$5</f>
        <v>7031.451</v>
      </c>
      <c r="X15" s="26">
        <f>U15*$Y$5</f>
        <v>11921.112000000003</v>
      </c>
      <c r="Y15" s="27">
        <f>V15*$Y$5</f>
        <v>16496.712000000003</v>
      </c>
      <c r="Z15" s="36">
        <f t="shared" ref="Z15:AB15" si="23">T15*$AB$5</f>
        <v>6502.2019999999993</v>
      </c>
      <c r="AA15" s="26">
        <f t="shared" si="23"/>
        <v>11023.824000000001</v>
      </c>
      <c r="AB15" s="110">
        <f t="shared" si="23"/>
        <v>15255.024000000001</v>
      </c>
      <c r="AC15" s="25">
        <f>T15*$AE$5</f>
        <v>6275.3809999999994</v>
      </c>
      <c r="AD15" s="26">
        <f>U15*$AE$5</f>
        <v>10639.272000000001</v>
      </c>
      <c r="AE15" s="27">
        <f>V15*$AE$5</f>
        <v>14722.872000000001</v>
      </c>
      <c r="AF15" s="36">
        <f>T15*$AH$5</f>
        <v>5670.5249999999996</v>
      </c>
      <c r="AG15" s="110">
        <f>U15*$AH$5</f>
        <v>9613.8000000000011</v>
      </c>
      <c r="AH15" s="110">
        <f>V15*$AH$5</f>
        <v>13303.800000000001</v>
      </c>
      <c r="AI15" s="25">
        <f>T15*$AK$5</f>
        <v>5292.49</v>
      </c>
      <c r="AJ15" s="110">
        <f>U15*$AK$5</f>
        <v>8972.880000000001</v>
      </c>
      <c r="AK15" s="27">
        <f>V15*$AK$5</f>
        <v>12416.880000000001</v>
      </c>
      <c r="AM15" s="485"/>
      <c r="AN15" s="485"/>
      <c r="AO15" s="485"/>
      <c r="AP15" s="896"/>
      <c r="AQ15" s="896"/>
      <c r="AR15" s="896"/>
    </row>
    <row r="16" spans="1:44" ht="18" customHeight="1">
      <c r="A16" s="17"/>
      <c r="B16" s="898" t="s">
        <v>1018</v>
      </c>
      <c r="C16" s="899">
        <v>0.49</v>
      </c>
      <c r="D16" s="899">
        <v>0.20499999999999999</v>
      </c>
      <c r="E16" s="900">
        <v>0.20499999999999999</v>
      </c>
      <c r="F16" s="1371"/>
      <c r="G16" s="1244"/>
      <c r="H16" s="1227"/>
      <c r="I16" s="1227"/>
      <c r="J16" s="1227"/>
      <c r="K16" s="1232"/>
      <c r="L16" s="1227"/>
      <c r="M16" s="1227"/>
      <c r="N16" s="1227"/>
      <c r="O16" s="1227"/>
      <c r="P16" s="1232"/>
      <c r="Q16" s="1227"/>
      <c r="R16" s="1227"/>
      <c r="S16" s="1375"/>
      <c r="T16" s="187">
        <f>T15/F15</f>
        <v>7.5606999999999998</v>
      </c>
      <c r="U16" s="189">
        <f>U15/F15</f>
        <v>12.818400000000002</v>
      </c>
      <c r="V16" s="188">
        <f>V15/F15</f>
        <v>17.738400000000002</v>
      </c>
      <c r="W16" s="186">
        <f>W15/F15</f>
        <v>7.0314509999999997</v>
      </c>
      <c r="X16" s="189">
        <f>X15/F15</f>
        <v>11.921112000000003</v>
      </c>
      <c r="Y16" s="188">
        <f>Y15/F15</f>
        <v>16.496712000000002</v>
      </c>
      <c r="Z16" s="187">
        <f t="shared" ref="Z16" si="24">Z15/F15</f>
        <v>6.5022019999999996</v>
      </c>
      <c r="AA16" s="189">
        <f t="shared" ref="AA16" si="25">AA15/F15</f>
        <v>11.023824000000001</v>
      </c>
      <c r="AB16" s="190">
        <f t="shared" ref="AB16" si="26">AB15/F15</f>
        <v>15.255024000000001</v>
      </c>
      <c r="AC16" s="186">
        <f>AC15/F15</f>
        <v>6.2753809999999994</v>
      </c>
      <c r="AD16" s="189">
        <f>AD15/F15</f>
        <v>10.639272</v>
      </c>
      <c r="AE16" s="188">
        <f>AE15/F15</f>
        <v>14.722872000000001</v>
      </c>
      <c r="AF16" s="187">
        <f>AF15/F15</f>
        <v>5.6705249999999996</v>
      </c>
      <c r="AG16" s="190">
        <f>AG15/F15</f>
        <v>9.6138000000000012</v>
      </c>
      <c r="AH16" s="190">
        <f>AH15/F15</f>
        <v>13.303800000000001</v>
      </c>
      <c r="AI16" s="186">
        <f>AI15/F15</f>
        <v>5.2924899999999999</v>
      </c>
      <c r="AJ16" s="190">
        <f>AJ15/F15</f>
        <v>8.9728800000000017</v>
      </c>
      <c r="AK16" s="188">
        <f>AK15/F15</f>
        <v>12.416880000000001</v>
      </c>
      <c r="AM16" s="485"/>
      <c r="AN16" s="485"/>
      <c r="AO16" s="485"/>
      <c r="AP16" s="896"/>
      <c r="AQ16" s="896"/>
      <c r="AR16" s="896"/>
    </row>
    <row r="17" spans="1:44" ht="18" customHeight="1">
      <c r="A17" s="17"/>
      <c r="B17" s="1383" t="s">
        <v>1019</v>
      </c>
      <c r="C17" s="1384"/>
      <c r="D17" s="1384"/>
      <c r="E17" s="1387"/>
      <c r="F17" s="1388">
        <v>1000</v>
      </c>
      <c r="G17" s="1244">
        <f>F17*C18</f>
        <v>430</v>
      </c>
      <c r="H17" s="1227">
        <f>F17*D18</f>
        <v>65</v>
      </c>
      <c r="I17" s="1227">
        <f>F17*E18</f>
        <v>65</v>
      </c>
      <c r="J17" s="1227">
        <f>G17*6</f>
        <v>2580</v>
      </c>
      <c r="K17" s="1268">
        <f>G17*6</f>
        <v>2580</v>
      </c>
      <c r="L17" s="1227">
        <f>H17*12</f>
        <v>780</v>
      </c>
      <c r="M17" s="1227">
        <f>I17*12</f>
        <v>780</v>
      </c>
      <c r="N17" s="1227">
        <f>(J17+K17)*$N$6</f>
        <v>3870</v>
      </c>
      <c r="O17" s="1227">
        <f t="shared" ref="O17" si="27">J17*$O$6</f>
        <v>0</v>
      </c>
      <c r="P17" s="1268">
        <f>G17*20%</f>
        <v>86</v>
      </c>
      <c r="Q17" s="1227">
        <f t="shared" ref="Q17" si="28">P17*11</f>
        <v>946</v>
      </c>
      <c r="R17" s="1227">
        <f>G17*23%</f>
        <v>98.9</v>
      </c>
      <c r="S17" s="1375">
        <f t="shared" ref="S17" si="29">R17*11</f>
        <v>1087.9000000000001</v>
      </c>
      <c r="T17" s="36">
        <f>J17+N17+O17+P17+R17</f>
        <v>6634.9</v>
      </c>
      <c r="U17" s="26">
        <f>J17+K17+N17+O17+P17+Q17+R17+S17</f>
        <v>11248.8</v>
      </c>
      <c r="V17" s="27">
        <f>J17+K17+L17+M17+N17+O17+P17+Q17+R17+S17</f>
        <v>12808.8</v>
      </c>
      <c r="W17" s="25">
        <f>T17*$Y$5</f>
        <v>6170.4570000000003</v>
      </c>
      <c r="X17" s="26">
        <f>U17*$Y$5</f>
        <v>10461.384</v>
      </c>
      <c r="Y17" s="27">
        <f>V17*$Y$5</f>
        <v>11912.183999999999</v>
      </c>
      <c r="Z17" s="36">
        <f t="shared" ref="Z17:AB17" si="30">T17*$AB$5</f>
        <v>5706.0139999999992</v>
      </c>
      <c r="AA17" s="26">
        <f t="shared" si="30"/>
        <v>9673.9679999999989</v>
      </c>
      <c r="AB17" s="110">
        <f t="shared" si="30"/>
        <v>11015.567999999999</v>
      </c>
      <c r="AC17" s="25">
        <f>T17*$AE$5</f>
        <v>5506.9669999999996</v>
      </c>
      <c r="AD17" s="26">
        <f>U17*$AE$5</f>
        <v>9336.503999999999</v>
      </c>
      <c r="AE17" s="27">
        <f>V17*$AE$5</f>
        <v>10631.303999999998</v>
      </c>
      <c r="AF17" s="36">
        <f>T17*$AH$5</f>
        <v>4976.1749999999993</v>
      </c>
      <c r="AG17" s="110">
        <f>U17*$AH$5</f>
        <v>8436.5999999999985</v>
      </c>
      <c r="AH17" s="110">
        <f>V17*$AH$5</f>
        <v>9606.5999999999985</v>
      </c>
      <c r="AI17" s="25">
        <f>T17*$AK$5</f>
        <v>4644.4299999999994</v>
      </c>
      <c r="AJ17" s="110">
        <f>U17*$AK$5</f>
        <v>7874.1599999999989</v>
      </c>
      <c r="AK17" s="27">
        <f>V17*$AK$5</f>
        <v>8966.159999999998</v>
      </c>
      <c r="AM17" s="485"/>
      <c r="AN17" s="485"/>
      <c r="AO17" s="485"/>
      <c r="AP17" s="896"/>
      <c r="AQ17" s="896"/>
      <c r="AR17" s="896"/>
    </row>
    <row r="18" spans="1:44" ht="18" customHeight="1" thickBot="1">
      <c r="A18" s="17"/>
      <c r="B18" s="586" t="s">
        <v>1018</v>
      </c>
      <c r="C18" s="901">
        <v>0.43</v>
      </c>
      <c r="D18" s="901">
        <v>6.5000000000000002E-2</v>
      </c>
      <c r="E18" s="1008">
        <v>6.5000000000000002E-2</v>
      </c>
      <c r="F18" s="1389"/>
      <c r="G18" s="1390"/>
      <c r="H18" s="1268"/>
      <c r="I18" s="1268"/>
      <c r="J18" s="1268"/>
      <c r="K18" s="1234"/>
      <c r="L18" s="1268"/>
      <c r="M18" s="1268"/>
      <c r="N18" s="1268"/>
      <c r="O18" s="1268"/>
      <c r="P18" s="1234"/>
      <c r="Q18" s="1268"/>
      <c r="R18" s="1268"/>
      <c r="S18" s="1393"/>
      <c r="T18" s="193">
        <f>T17/F17</f>
        <v>6.6349</v>
      </c>
      <c r="U18" s="175">
        <f>U17/F17</f>
        <v>11.248799999999999</v>
      </c>
      <c r="V18" s="176">
        <f>V17/F17</f>
        <v>12.8088</v>
      </c>
      <c r="W18" s="174">
        <f>W17/F17</f>
        <v>6.1704570000000007</v>
      </c>
      <c r="X18" s="175">
        <f>X17/F17</f>
        <v>10.461384000000001</v>
      </c>
      <c r="Y18" s="176">
        <f>Y17/F17</f>
        <v>11.912184</v>
      </c>
      <c r="Z18" s="193">
        <f t="shared" ref="Z18" si="31">Z17/F17</f>
        <v>5.7060139999999988</v>
      </c>
      <c r="AA18" s="175">
        <f t="shared" ref="AA18" si="32">AA17/F17</f>
        <v>9.6739679999999986</v>
      </c>
      <c r="AB18" s="194">
        <f t="shared" ref="AB18" si="33">AB17/F17</f>
        <v>11.015568</v>
      </c>
      <c r="AC18" s="174">
        <f>AC17/F17</f>
        <v>5.5069669999999995</v>
      </c>
      <c r="AD18" s="175">
        <f>AD17/F17</f>
        <v>9.3365039999999997</v>
      </c>
      <c r="AE18" s="176">
        <f>AE17/F17</f>
        <v>10.631303999999998</v>
      </c>
      <c r="AF18" s="193">
        <f>AF17/F17</f>
        <v>4.9761749999999996</v>
      </c>
      <c r="AG18" s="194">
        <f>AG17/F17</f>
        <v>8.4365999999999985</v>
      </c>
      <c r="AH18" s="194">
        <f>AH17/F17</f>
        <v>9.6065999999999985</v>
      </c>
      <c r="AI18" s="174">
        <f>AI17/F17</f>
        <v>4.6444299999999989</v>
      </c>
      <c r="AJ18" s="194">
        <f>AJ17/F17</f>
        <v>7.8741599999999989</v>
      </c>
      <c r="AK18" s="176">
        <f>AK17/F17</f>
        <v>8.9661599999999986</v>
      </c>
      <c r="AM18" s="485"/>
      <c r="AN18" s="485"/>
      <c r="AO18" s="485"/>
      <c r="AP18" s="896"/>
      <c r="AQ18" s="896"/>
      <c r="AR18" s="896"/>
    </row>
    <row r="19" spans="1:44" ht="18" customHeight="1">
      <c r="A19" s="17"/>
      <c r="B19" s="1383" t="s">
        <v>1020</v>
      </c>
      <c r="C19" s="1384"/>
      <c r="D19" s="1384"/>
      <c r="E19" s="1384"/>
      <c r="F19" s="1385">
        <v>100000</v>
      </c>
      <c r="G19" s="1263">
        <f>F19*C20</f>
        <v>3000</v>
      </c>
      <c r="H19" s="1245">
        <f>F19*D20</f>
        <v>0</v>
      </c>
      <c r="I19" s="1245">
        <f>F19*E20</f>
        <v>0</v>
      </c>
      <c r="J19" s="1245">
        <f>G19</f>
        <v>3000</v>
      </c>
      <c r="K19" s="1245"/>
      <c r="L19" s="1245"/>
      <c r="M19" s="1245"/>
      <c r="N19" s="1245">
        <f>(G19*0.1)*$N$6</f>
        <v>225</v>
      </c>
      <c r="O19" s="1245">
        <f t="shared" ref="O19" si="34">J19*$O$6</f>
        <v>0</v>
      </c>
      <c r="P19" s="1245">
        <f>(G19*0.1)*20%</f>
        <v>60</v>
      </c>
      <c r="Q19" s="1245"/>
      <c r="R19" s="1245">
        <f>(G19*0.1)*18%</f>
        <v>54</v>
      </c>
      <c r="S19" s="1391"/>
      <c r="T19" s="36">
        <f>J19+N19+O19+P19+R19</f>
        <v>3339</v>
      </c>
      <c r="U19" s="26">
        <f>J19+K19+N19+O19+P19+Q19+R19+S19</f>
        <v>3339</v>
      </c>
      <c r="V19" s="27">
        <f>J19+K19+L19+M19+N19+O19+P19+Q19+R19+S19</f>
        <v>3339</v>
      </c>
      <c r="W19" s="25">
        <f>T19*$Y$5</f>
        <v>3105.27</v>
      </c>
      <c r="X19" s="26">
        <f>U19*$Y$5</f>
        <v>3105.27</v>
      </c>
      <c r="Y19" s="27">
        <f>V19*$Y$5</f>
        <v>3105.27</v>
      </c>
      <c r="Z19" s="36">
        <f t="shared" ref="Z19:AB19" si="35">T19*$AB$5</f>
        <v>2871.54</v>
      </c>
      <c r="AA19" s="26">
        <f t="shared" si="35"/>
        <v>2871.54</v>
      </c>
      <c r="AB19" s="110">
        <f t="shared" si="35"/>
        <v>2871.54</v>
      </c>
      <c r="AC19" s="25">
        <f>T19*$AE$5</f>
        <v>2771.37</v>
      </c>
      <c r="AD19" s="26">
        <f>U19*$AE$5</f>
        <v>2771.37</v>
      </c>
      <c r="AE19" s="27">
        <f>V19*$AE$5</f>
        <v>2771.37</v>
      </c>
      <c r="AF19" s="36">
        <f>T19*$AH$5</f>
        <v>2504.25</v>
      </c>
      <c r="AG19" s="110">
        <f>U19*$AH$5</f>
        <v>2504.25</v>
      </c>
      <c r="AH19" s="110">
        <f>V19*$AH$5</f>
        <v>2504.25</v>
      </c>
      <c r="AI19" s="25">
        <f>T19*$AK$5</f>
        <v>2337.2999999999997</v>
      </c>
      <c r="AJ19" s="110">
        <f>U19*$AK$5</f>
        <v>2337.2999999999997</v>
      </c>
      <c r="AK19" s="27">
        <f>V19*$AK$5</f>
        <v>2337.2999999999997</v>
      </c>
      <c r="AM19" s="485"/>
      <c r="AN19" s="485"/>
      <c r="AO19" s="485"/>
      <c r="AP19" s="896"/>
      <c r="AQ19" s="896"/>
      <c r="AR19" s="896"/>
    </row>
    <row r="20" spans="1:44" ht="18" customHeight="1" thickBot="1">
      <c r="A20" s="17"/>
      <c r="B20" s="439" t="s">
        <v>1021</v>
      </c>
      <c r="C20" s="901">
        <v>0.03</v>
      </c>
      <c r="D20" s="901"/>
      <c r="E20" s="1008"/>
      <c r="F20" s="1386"/>
      <c r="G20" s="1255"/>
      <c r="H20" s="1235"/>
      <c r="I20" s="1235"/>
      <c r="J20" s="1235"/>
      <c r="K20" s="1235"/>
      <c r="L20" s="1235"/>
      <c r="M20" s="1235"/>
      <c r="N20" s="1235"/>
      <c r="O20" s="1235"/>
      <c r="P20" s="1235"/>
      <c r="Q20" s="1235"/>
      <c r="R20" s="1235"/>
      <c r="S20" s="1392"/>
      <c r="T20" s="193">
        <f>T19/F19</f>
        <v>3.3390000000000003E-2</v>
      </c>
      <c r="U20" s="175">
        <f>U19/F19</f>
        <v>3.3390000000000003E-2</v>
      </c>
      <c r="V20" s="176">
        <f>V19/F19</f>
        <v>3.3390000000000003E-2</v>
      </c>
      <c r="W20" s="174">
        <f>W19/F19</f>
        <v>3.1052699999999999E-2</v>
      </c>
      <c r="X20" s="175">
        <f>X19/F19</f>
        <v>3.1052699999999999E-2</v>
      </c>
      <c r="Y20" s="176">
        <f>Y19/F19</f>
        <v>3.1052699999999999E-2</v>
      </c>
      <c r="Z20" s="193">
        <f t="shared" ref="Z20" si="36">Z19/F19</f>
        <v>2.8715399999999999E-2</v>
      </c>
      <c r="AA20" s="175">
        <f t="shared" ref="AA20" si="37">AA19/F19</f>
        <v>2.8715399999999999E-2</v>
      </c>
      <c r="AB20" s="194">
        <f t="shared" ref="AB20" si="38">AB19/F19</f>
        <v>2.8715399999999999E-2</v>
      </c>
      <c r="AC20" s="174">
        <f>AC19/F19</f>
        <v>2.7713699999999997E-2</v>
      </c>
      <c r="AD20" s="175">
        <f>AD19/F19</f>
        <v>2.7713699999999997E-2</v>
      </c>
      <c r="AE20" s="176">
        <f>AE19/F19</f>
        <v>2.7713699999999997E-2</v>
      </c>
      <c r="AF20" s="193">
        <f>AF19/F19</f>
        <v>2.5042499999999999E-2</v>
      </c>
      <c r="AG20" s="194">
        <f>AG19/F19</f>
        <v>2.5042499999999999E-2</v>
      </c>
      <c r="AH20" s="194">
        <f>AH19/F19</f>
        <v>2.5042499999999999E-2</v>
      </c>
      <c r="AI20" s="174">
        <f>AI19/F19</f>
        <v>2.3372999999999998E-2</v>
      </c>
      <c r="AJ20" s="194">
        <f>AJ19/F19</f>
        <v>2.3372999999999998E-2</v>
      </c>
      <c r="AK20" s="176">
        <f>AK19/F19</f>
        <v>2.3372999999999998E-2</v>
      </c>
      <c r="AM20" s="485"/>
      <c r="AN20" s="485"/>
      <c r="AO20" s="485"/>
      <c r="AP20" s="896"/>
      <c r="AQ20" s="896"/>
      <c r="AR20" s="896"/>
    </row>
    <row r="21" spans="1:44" ht="18" customHeight="1">
      <c r="A21" s="17"/>
      <c r="B21" s="217"/>
      <c r="C21" s="902"/>
      <c r="D21" s="902"/>
      <c r="E21" s="28"/>
      <c r="F21" s="28" t="s">
        <v>1022</v>
      </c>
      <c r="G21" s="28"/>
      <c r="H21" s="28"/>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row>
    <row r="22" spans="1:44" ht="18" customHeight="1">
      <c r="A22" s="17"/>
      <c r="B22" s="217"/>
      <c r="C22" s="902"/>
      <c r="D22" s="902"/>
      <c r="E22" s="28"/>
      <c r="F22" s="28"/>
      <c r="G22" s="28"/>
      <c r="H22" s="28"/>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4" ht="18" customHeight="1">
      <c r="A23" s="17"/>
      <c r="B23" s="903" t="s">
        <v>1023</v>
      </c>
      <c r="C23" s="904"/>
      <c r="D23" s="904"/>
      <c r="E23" s="74"/>
      <c r="F23" s="74"/>
      <c r="G23" s="74"/>
      <c r="H23" s="74"/>
      <c r="I23" s="74"/>
      <c r="J23" s="74"/>
      <c r="K23" s="74"/>
      <c r="L23" s="74"/>
      <c r="M23" s="74"/>
      <c r="N23" s="17"/>
      <c r="O23" s="17"/>
      <c r="P23" s="17"/>
      <c r="Q23" s="17"/>
      <c r="R23" s="17"/>
      <c r="S23" s="17"/>
      <c r="T23" s="17"/>
      <c r="U23" s="17"/>
      <c r="V23" s="17"/>
      <c r="W23" s="17"/>
      <c r="X23" s="17"/>
      <c r="Y23" s="17"/>
      <c r="Z23" s="17"/>
      <c r="AA23" s="17"/>
      <c r="AB23" s="17"/>
      <c r="AC23" s="17"/>
      <c r="AD23" s="17"/>
      <c r="AE23" s="17"/>
      <c r="AF23" s="17"/>
      <c r="AG23" s="17"/>
      <c r="AH23" s="17"/>
      <c r="AI23" s="59"/>
      <c r="AJ23" s="59"/>
      <c r="AK23" s="17"/>
    </row>
    <row r="24" spans="1:44">
      <c r="A24" s="17"/>
      <c r="B24" s="905" t="s">
        <v>1024</v>
      </c>
      <c r="C24" s="904"/>
      <c r="D24" s="904"/>
      <c r="E24" s="74"/>
      <c r="F24" s="74"/>
      <c r="G24" s="74"/>
      <c r="H24" s="74"/>
      <c r="I24" s="74"/>
      <c r="J24" s="74"/>
      <c r="K24" s="74"/>
      <c r="L24" s="74"/>
      <c r="M24" s="74"/>
      <c r="N24" s="17"/>
      <c r="O24" s="17"/>
      <c r="P24" s="17"/>
      <c r="Q24" s="17"/>
      <c r="R24" s="17"/>
      <c r="S24" s="17"/>
      <c r="T24" s="17"/>
      <c r="U24" s="17"/>
      <c r="V24" s="17"/>
      <c r="W24" s="17"/>
      <c r="X24" s="17"/>
      <c r="Y24" s="17"/>
      <c r="Z24" s="17"/>
      <c r="AA24" s="17"/>
      <c r="AB24" s="17"/>
      <c r="AC24" s="17"/>
      <c r="AD24" s="17"/>
      <c r="AE24" s="17"/>
      <c r="AF24" s="17"/>
      <c r="AG24" s="17"/>
      <c r="AH24" s="17"/>
      <c r="AI24" s="59"/>
      <c r="AJ24" s="59"/>
      <c r="AK24" s="17"/>
    </row>
    <row r="25" spans="1:44">
      <c r="B25" s="906" t="s">
        <v>1025</v>
      </c>
    </row>
    <row r="26" spans="1:44">
      <c r="A26" s="17"/>
      <c r="B26" s="908" t="s">
        <v>1026</v>
      </c>
      <c r="C26" s="909"/>
      <c r="D26" s="909"/>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row>
    <row r="27" spans="1:44" s="161" customFormat="1">
      <c r="A27" s="18"/>
      <c r="B27" s="910" t="s">
        <v>1027</v>
      </c>
      <c r="C27" s="911"/>
      <c r="D27" s="911"/>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row>
    <row r="28" spans="1:44" s="161" customFormat="1">
      <c r="A28" s="18"/>
      <c r="B28" s="910" t="s">
        <v>1028</v>
      </c>
      <c r="C28" s="911"/>
      <c r="D28" s="911"/>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1:44" s="161" customFormat="1">
      <c r="B29" s="910" t="s">
        <v>1724</v>
      </c>
      <c r="C29" s="912"/>
      <c r="D29" s="912"/>
    </row>
    <row r="30" spans="1:44" s="161" customFormat="1">
      <c r="B30" s="913" t="s">
        <v>1029</v>
      </c>
      <c r="C30" s="912"/>
      <c r="D30" s="912"/>
    </row>
    <row r="31" spans="1:44">
      <c r="B31" s="905" t="s">
        <v>1030</v>
      </c>
    </row>
    <row r="32" spans="1:44">
      <c r="B32" s="914" t="s">
        <v>1031</v>
      </c>
      <c r="C32" s="149"/>
      <c r="D32" s="149"/>
      <c r="E32" s="149"/>
      <c r="F32" s="149"/>
      <c r="G32" s="149"/>
      <c r="H32" s="149"/>
      <c r="I32" s="149"/>
      <c r="J32" s="149"/>
      <c r="K32" s="149"/>
      <c r="L32" s="149"/>
      <c r="M32" s="149"/>
      <c r="AI32" s="149"/>
      <c r="AJ32" s="149"/>
    </row>
  </sheetData>
  <mergeCells count="120">
    <mergeCell ref="R19:R20"/>
    <mergeCell ref="S19:S20"/>
    <mergeCell ref="L19:L20"/>
    <mergeCell ref="M19:M20"/>
    <mergeCell ref="N19:N20"/>
    <mergeCell ref="O19:O20"/>
    <mergeCell ref="P19:P20"/>
    <mergeCell ref="Q19:Q20"/>
    <mergeCell ref="Q17:Q18"/>
    <mergeCell ref="R17:R18"/>
    <mergeCell ref="S17:S18"/>
    <mergeCell ref="M17:M18"/>
    <mergeCell ref="N17:N18"/>
    <mergeCell ref="O17:O18"/>
    <mergeCell ref="P17:P18"/>
    <mergeCell ref="B19:E19"/>
    <mergeCell ref="F19:F20"/>
    <mergeCell ref="G19:G20"/>
    <mergeCell ref="H19:H20"/>
    <mergeCell ref="I19:I20"/>
    <mergeCell ref="J19:J20"/>
    <mergeCell ref="K19:K20"/>
    <mergeCell ref="K17:K18"/>
    <mergeCell ref="L17:L18"/>
    <mergeCell ref="B17:E17"/>
    <mergeCell ref="F17:F18"/>
    <mergeCell ref="G17:G18"/>
    <mergeCell ref="H17:H18"/>
    <mergeCell ref="I17:I18"/>
    <mergeCell ref="J17:J18"/>
    <mergeCell ref="S15:S16"/>
    <mergeCell ref="S13:S14"/>
    <mergeCell ref="B15:E15"/>
    <mergeCell ref="F15:F16"/>
    <mergeCell ref="G15:G16"/>
    <mergeCell ref="H15:H16"/>
    <mergeCell ref="I15:I16"/>
    <mergeCell ref="J15:J16"/>
    <mergeCell ref="K15:K16"/>
    <mergeCell ref="L15:L16"/>
    <mergeCell ref="M15:M16"/>
    <mergeCell ref="M13:M14"/>
    <mergeCell ref="N13:N14"/>
    <mergeCell ref="O13:O14"/>
    <mergeCell ref="P13:P14"/>
    <mergeCell ref="Q13:Q14"/>
    <mergeCell ref="R13:R14"/>
    <mergeCell ref="B13:E13"/>
    <mergeCell ref="F13:F14"/>
    <mergeCell ref="R9:R10"/>
    <mergeCell ref="H9:H10"/>
    <mergeCell ref="I9:I10"/>
    <mergeCell ref="J9:J10"/>
    <mergeCell ref="N15:N16"/>
    <mergeCell ref="O15:O16"/>
    <mergeCell ref="P15:P16"/>
    <mergeCell ref="Q15:Q16"/>
    <mergeCell ref="R15:R16"/>
    <mergeCell ref="O11:O12"/>
    <mergeCell ref="P11:P12"/>
    <mergeCell ref="Q11:Q12"/>
    <mergeCell ref="Q9:Q10"/>
    <mergeCell ref="B9:E9"/>
    <mergeCell ref="F9:F10"/>
    <mergeCell ref="G9:G10"/>
    <mergeCell ref="G13:G14"/>
    <mergeCell ref="H13:H14"/>
    <mergeCell ref="I13:I14"/>
    <mergeCell ref="J13:J14"/>
    <mergeCell ref="K13:K14"/>
    <mergeCell ref="L13:L14"/>
    <mergeCell ref="L11:L12"/>
    <mergeCell ref="B7:E7"/>
    <mergeCell ref="F7:F8"/>
    <mergeCell ref="G7:G8"/>
    <mergeCell ref="H7:H8"/>
    <mergeCell ref="I7:I8"/>
    <mergeCell ref="P7:P8"/>
    <mergeCell ref="S9:S10"/>
    <mergeCell ref="B11:E11"/>
    <mergeCell ref="F11:F12"/>
    <mergeCell ref="G11:G12"/>
    <mergeCell ref="H11:H12"/>
    <mergeCell ref="I11:I12"/>
    <mergeCell ref="J11:J12"/>
    <mergeCell ref="K11:K12"/>
    <mergeCell ref="K9:K10"/>
    <mergeCell ref="L9:L10"/>
    <mergeCell ref="M9:M10"/>
    <mergeCell ref="N9:N10"/>
    <mergeCell ref="O9:O10"/>
    <mergeCell ref="P9:P10"/>
    <mergeCell ref="R11:R12"/>
    <mergeCell ref="S11:S12"/>
    <mergeCell ref="M11:M12"/>
    <mergeCell ref="N11:N12"/>
    <mergeCell ref="Q7:Q8"/>
    <mergeCell ref="R7:R8"/>
    <mergeCell ref="S7:S8"/>
    <mergeCell ref="M7:M8"/>
    <mergeCell ref="N7:N8"/>
    <mergeCell ref="O7:O8"/>
    <mergeCell ref="B1:AK1"/>
    <mergeCell ref="B5:E5"/>
    <mergeCell ref="F5:F6"/>
    <mergeCell ref="G5:I5"/>
    <mergeCell ref="J5:K5"/>
    <mergeCell ref="L5:L6"/>
    <mergeCell ref="M5:M6"/>
    <mergeCell ref="P5:Q5"/>
    <mergeCell ref="R5:S5"/>
    <mergeCell ref="T5:V5"/>
    <mergeCell ref="W5:X5"/>
    <mergeCell ref="Z5:AA5"/>
    <mergeCell ref="AC5:AD5"/>
    <mergeCell ref="AF5:AG5"/>
    <mergeCell ref="AI5:AJ5"/>
    <mergeCell ref="J7:J8"/>
    <mergeCell ref="K7:K8"/>
    <mergeCell ref="L7:L8"/>
  </mergeCells>
  <phoneticPr fontId="99" type="noConversion"/>
  <pageMargins left="0.31496062992125984" right="0.31496062992125984" top="0.31496062992125984" bottom="0.31496062992125984" header="0.31496062992125984" footer="0.31496062992125984"/>
  <pageSetup paperSize="9" scale="48"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B1:U23"/>
  <sheetViews>
    <sheetView zoomScaleNormal="100" workbookViewId="0"/>
  </sheetViews>
  <sheetFormatPr defaultColWidth="11" defaultRowHeight="18" customHeight="1"/>
  <cols>
    <col min="1" max="1" width="0.75" style="73" customWidth="1"/>
    <col min="2" max="17" width="10.5" style="73" customWidth="1"/>
    <col min="18" max="16384" width="11" style="73"/>
  </cols>
  <sheetData>
    <row r="1" spans="2:21" s="66" customFormat="1" ht="30" customHeight="1" thickBot="1">
      <c r="B1" s="1140" t="s">
        <v>1494</v>
      </c>
      <c r="C1" s="1140"/>
      <c r="D1" s="1140"/>
      <c r="E1" s="1140"/>
      <c r="F1" s="1140"/>
      <c r="G1" s="1140"/>
      <c r="H1" s="1140"/>
      <c r="I1" s="1140"/>
      <c r="J1" s="1140"/>
      <c r="K1" s="1140"/>
      <c r="L1" s="1140"/>
      <c r="M1" s="1140"/>
      <c r="N1" s="1140"/>
      <c r="O1" s="1140"/>
      <c r="P1" s="1140"/>
      <c r="Q1" s="1140"/>
    </row>
    <row r="2" spans="2:21" s="68" customFormat="1" ht="20.100000000000001" customHeight="1" thickTop="1">
      <c r="B2" s="67"/>
      <c r="C2" s="67"/>
      <c r="D2" s="67"/>
      <c r="G2" s="69"/>
      <c r="H2" s="69"/>
      <c r="I2" s="69"/>
      <c r="J2" s="69"/>
    </row>
    <row r="3" spans="2:21" s="69" customFormat="1" ht="20.100000000000001" customHeight="1" thickBot="1">
      <c r="B3" s="52" t="s">
        <v>1495</v>
      </c>
      <c r="C3" s="70"/>
      <c r="D3" s="68"/>
      <c r="F3" s="68"/>
      <c r="K3" s="68"/>
    </row>
    <row r="4" spans="2:21" s="69" customFormat="1" ht="20.100000000000001" customHeight="1">
      <c r="B4" s="1201" t="s">
        <v>1496</v>
      </c>
      <c r="C4" s="1394"/>
      <c r="D4" s="1395" t="s">
        <v>1497</v>
      </c>
      <c r="E4" s="1396"/>
      <c r="F4" s="1396"/>
      <c r="G4" s="1396"/>
      <c r="H4" s="1396"/>
      <c r="I4" s="1396"/>
      <c r="J4" s="1396"/>
      <c r="K4" s="1396"/>
      <c r="L4" s="1397"/>
      <c r="M4" s="1398" t="s">
        <v>1498</v>
      </c>
      <c r="N4" s="1396"/>
      <c r="O4" s="1396"/>
      <c r="P4" s="1396"/>
      <c r="Q4" s="1399"/>
    </row>
    <row r="5" spans="2:21" s="69" customFormat="1" ht="20.100000000000001" customHeight="1" thickBot="1">
      <c r="B5" s="1400" t="s">
        <v>1499</v>
      </c>
      <c r="C5" s="1401"/>
      <c r="D5" s="1402" t="s">
        <v>1500</v>
      </c>
      <c r="E5" s="1403"/>
      <c r="F5" s="1403"/>
      <c r="G5" s="1403"/>
      <c r="H5" s="1403"/>
      <c r="I5" s="1403"/>
      <c r="J5" s="1403"/>
      <c r="K5" s="1403"/>
      <c r="L5" s="1404"/>
      <c r="M5" s="1405" t="s">
        <v>1501</v>
      </c>
      <c r="N5" s="1406"/>
      <c r="O5" s="1406"/>
      <c r="P5" s="1406"/>
      <c r="Q5" s="1407"/>
    </row>
    <row r="6" spans="2:21" s="69" customFormat="1" ht="20.100000000000001" customHeight="1">
      <c r="D6" s="68"/>
      <c r="F6" s="68"/>
      <c r="K6" s="68"/>
    </row>
    <row r="7" spans="2:21" s="69" customFormat="1" ht="20.100000000000001" customHeight="1" thickBot="1">
      <c r="B7" s="52" t="s">
        <v>1502</v>
      </c>
      <c r="C7" s="70"/>
      <c r="D7" s="68"/>
      <c r="F7" s="68"/>
      <c r="K7" s="68"/>
    </row>
    <row r="8" spans="2:21" s="69" customFormat="1" ht="20.100000000000001" customHeight="1">
      <c r="B8" s="1201" t="s">
        <v>1496</v>
      </c>
      <c r="C8" s="1394"/>
      <c r="D8" s="1395" t="s">
        <v>1497</v>
      </c>
      <c r="E8" s="1396"/>
      <c r="F8" s="1396"/>
      <c r="G8" s="1396"/>
      <c r="H8" s="1396"/>
      <c r="I8" s="1396"/>
      <c r="J8" s="1396"/>
      <c r="K8" s="1396"/>
      <c r="L8" s="1397"/>
      <c r="M8" s="1398" t="s">
        <v>1498</v>
      </c>
      <c r="N8" s="1396"/>
      <c r="O8" s="1396"/>
      <c r="P8" s="1396"/>
      <c r="Q8" s="1399"/>
    </row>
    <row r="9" spans="2:21" s="69" customFormat="1" ht="20.100000000000001" customHeight="1">
      <c r="B9" s="1408" t="s">
        <v>1503</v>
      </c>
      <c r="C9" s="1409"/>
      <c r="D9" s="1412" t="s">
        <v>1504</v>
      </c>
      <c r="E9" s="1413"/>
      <c r="F9" s="1413"/>
      <c r="G9" s="1413"/>
      <c r="H9" s="1413"/>
      <c r="I9" s="1413"/>
      <c r="J9" s="1413"/>
      <c r="K9" s="1413"/>
      <c r="L9" s="1414"/>
      <c r="M9" s="1418" t="s">
        <v>1505</v>
      </c>
      <c r="N9" s="1219"/>
      <c r="O9" s="1219"/>
      <c r="P9" s="1219"/>
      <c r="Q9" s="1220"/>
      <c r="T9" s="50"/>
    </row>
    <row r="10" spans="2:21" s="69" customFormat="1" ht="20.100000000000001" customHeight="1" thickBot="1">
      <c r="B10" s="1410"/>
      <c r="C10" s="1411"/>
      <c r="D10" s="1415"/>
      <c r="E10" s="1416"/>
      <c r="F10" s="1416"/>
      <c r="G10" s="1416"/>
      <c r="H10" s="1416"/>
      <c r="I10" s="1416"/>
      <c r="J10" s="1416"/>
      <c r="K10" s="1416"/>
      <c r="L10" s="1417"/>
      <c r="M10" s="1342"/>
      <c r="N10" s="1221"/>
      <c r="O10" s="1221"/>
      <c r="P10" s="1221"/>
      <c r="Q10" s="1222"/>
    </row>
    <row r="11" spans="2:21" s="69" customFormat="1" ht="20.100000000000001" customHeight="1">
      <c r="B11" s="337"/>
      <c r="C11" s="337"/>
      <c r="D11" s="337"/>
      <c r="E11" s="337"/>
      <c r="F11" s="1111"/>
      <c r="G11" s="337"/>
      <c r="H11" s="337"/>
      <c r="I11" s="337"/>
      <c r="J11" s="337"/>
      <c r="K11" s="1111"/>
      <c r="L11" s="337"/>
      <c r="M11" s="337"/>
      <c r="N11" s="337"/>
      <c r="O11" s="337"/>
      <c r="P11" s="337"/>
      <c r="Q11" s="337"/>
      <c r="S11" s="68"/>
      <c r="T11" s="68"/>
      <c r="U11" s="68"/>
    </row>
    <row r="12" spans="2:21" s="68" customFormat="1" ht="20.100000000000001" customHeight="1" thickBot="1">
      <c r="B12" s="70" t="s">
        <v>1506</v>
      </c>
      <c r="C12" s="338"/>
      <c r="D12" s="337"/>
      <c r="G12" s="69"/>
      <c r="H12" s="69"/>
      <c r="I12" s="69"/>
      <c r="J12" s="69"/>
    </row>
    <row r="13" spans="2:21" s="68" customFormat="1" ht="20.100000000000001" customHeight="1" thickBot="1">
      <c r="B13" s="1419" t="s">
        <v>1496</v>
      </c>
      <c r="C13" s="1420"/>
      <c r="D13" s="1421" t="s">
        <v>1507</v>
      </c>
      <c r="E13" s="1422"/>
      <c r="F13" s="1422"/>
      <c r="G13" s="1422"/>
      <c r="H13" s="1422"/>
      <c r="I13" s="1422"/>
      <c r="J13" s="1422"/>
      <c r="K13" s="1422"/>
      <c r="L13" s="1422"/>
      <c r="M13" s="1423" t="s">
        <v>1508</v>
      </c>
      <c r="N13" s="1423"/>
      <c r="O13" s="1423"/>
      <c r="P13" s="1424"/>
      <c r="Q13" s="1099" t="s">
        <v>1509</v>
      </c>
    </row>
    <row r="14" spans="2:21" s="68" customFormat="1" ht="20.100000000000001" customHeight="1">
      <c r="B14" s="1184" t="s">
        <v>1510</v>
      </c>
      <c r="C14" s="1425"/>
      <c r="D14" s="1426" t="s">
        <v>1511</v>
      </c>
      <c r="E14" s="1427"/>
      <c r="F14" s="1428"/>
      <c r="G14" s="527" t="s">
        <v>1512</v>
      </c>
      <c r="H14" s="343" t="s">
        <v>1513</v>
      </c>
      <c r="I14" s="344" t="s">
        <v>1514</v>
      </c>
      <c r="J14" s="1083" t="s">
        <v>1515</v>
      </c>
      <c r="K14" s="1083" t="s">
        <v>1516</v>
      </c>
      <c r="L14" s="1108" t="s">
        <v>1517</v>
      </c>
      <c r="M14" s="1432" t="s">
        <v>1518</v>
      </c>
      <c r="N14" s="1315"/>
      <c r="O14" s="1315"/>
      <c r="P14" s="1433"/>
      <c r="Q14" s="1438" t="s">
        <v>1519</v>
      </c>
      <c r="R14" s="142"/>
    </row>
    <row r="15" spans="2:21" ht="18" customHeight="1" thickBot="1">
      <c r="B15" s="1184"/>
      <c r="C15" s="1425"/>
      <c r="D15" s="1429"/>
      <c r="E15" s="1430"/>
      <c r="F15" s="1431"/>
      <c r="G15" s="1107" t="s">
        <v>41</v>
      </c>
      <c r="H15" s="345">
        <v>2.6</v>
      </c>
      <c r="I15" s="350">
        <v>2.4500000000000002</v>
      </c>
      <c r="J15" s="430">
        <v>2.2999999999999998</v>
      </c>
      <c r="K15" s="430">
        <v>2.2000000000000002</v>
      </c>
      <c r="L15" s="1112">
        <v>2.1</v>
      </c>
      <c r="M15" s="1434"/>
      <c r="N15" s="1219"/>
      <c r="O15" s="1219"/>
      <c r="P15" s="1435"/>
      <c r="Q15" s="1439"/>
    </row>
    <row r="16" spans="2:21" ht="18" customHeight="1">
      <c r="B16" s="1184" t="s">
        <v>1520</v>
      </c>
      <c r="C16" s="1425"/>
      <c r="D16" s="1441" t="s">
        <v>1521</v>
      </c>
      <c r="E16" s="1442"/>
      <c r="F16" s="1443"/>
      <c r="G16" s="1447" t="s">
        <v>1512</v>
      </c>
      <c r="H16" s="1448"/>
      <c r="I16" s="343" t="s">
        <v>1515</v>
      </c>
      <c r="J16" s="344" t="s">
        <v>1516</v>
      </c>
      <c r="K16" s="1083" t="s">
        <v>1517</v>
      </c>
      <c r="L16" s="1108" t="s">
        <v>1522</v>
      </c>
      <c r="M16" s="1434"/>
      <c r="N16" s="1219"/>
      <c r="O16" s="1219"/>
      <c r="P16" s="1435"/>
      <c r="Q16" s="1439"/>
    </row>
    <row r="17" spans="2:17" ht="18" customHeight="1" thickBot="1">
      <c r="B17" s="1184"/>
      <c r="C17" s="1425"/>
      <c r="D17" s="1444"/>
      <c r="E17" s="1445"/>
      <c r="F17" s="1446"/>
      <c r="G17" s="1449" t="s">
        <v>41</v>
      </c>
      <c r="H17" s="1450"/>
      <c r="I17" s="345">
        <v>0.65</v>
      </c>
      <c r="J17" s="271">
        <v>0.6</v>
      </c>
      <c r="K17" s="985">
        <v>0.55000000000000004</v>
      </c>
      <c r="L17" s="272">
        <v>0.5</v>
      </c>
      <c r="M17" s="1434"/>
      <c r="N17" s="1219"/>
      <c r="O17" s="1219"/>
      <c r="P17" s="1435"/>
      <c r="Q17" s="1439"/>
    </row>
    <row r="18" spans="2:17" ht="18" customHeight="1">
      <c r="B18" s="1184" t="s">
        <v>1523</v>
      </c>
      <c r="C18" s="1425"/>
      <c r="D18" s="1451" t="s">
        <v>1524</v>
      </c>
      <c r="E18" s="1452"/>
      <c r="F18" s="1452"/>
      <c r="G18" s="1453"/>
      <c r="H18" s="1447" t="s">
        <v>1525</v>
      </c>
      <c r="I18" s="1454"/>
      <c r="J18" s="536" t="s">
        <v>1526</v>
      </c>
      <c r="K18" s="536" t="s">
        <v>1527</v>
      </c>
      <c r="L18" s="537" t="s">
        <v>1528</v>
      </c>
      <c r="M18" s="1434"/>
      <c r="N18" s="1219"/>
      <c r="O18" s="1219"/>
      <c r="P18" s="1435"/>
      <c r="Q18" s="1439"/>
    </row>
    <row r="19" spans="2:17" ht="18" customHeight="1" thickBot="1">
      <c r="B19" s="1184"/>
      <c r="C19" s="1425"/>
      <c r="D19" s="1444"/>
      <c r="E19" s="1445"/>
      <c r="F19" s="1445"/>
      <c r="G19" s="1446"/>
      <c r="H19" s="1449" t="s">
        <v>1529</v>
      </c>
      <c r="I19" s="1455"/>
      <c r="J19" s="985">
        <v>1.1000000000000001</v>
      </c>
      <c r="K19" s="985">
        <v>1.25</v>
      </c>
      <c r="L19" s="272">
        <v>0.65</v>
      </c>
      <c r="M19" s="1436"/>
      <c r="N19" s="1318"/>
      <c r="O19" s="1318"/>
      <c r="P19" s="1437"/>
      <c r="Q19" s="1440"/>
    </row>
    <row r="20" spans="2:17" ht="18" customHeight="1">
      <c r="B20" s="1456" t="s">
        <v>1530</v>
      </c>
      <c r="C20" s="1457"/>
      <c r="D20" s="1460" t="s">
        <v>1531</v>
      </c>
      <c r="E20" s="1461"/>
      <c r="F20" s="1461"/>
      <c r="G20" s="1462"/>
      <c r="H20" s="1082" t="s">
        <v>1532</v>
      </c>
      <c r="I20" s="1083" t="s">
        <v>1526</v>
      </c>
      <c r="J20" s="1083" t="s">
        <v>1527</v>
      </c>
      <c r="K20" s="1083" t="s">
        <v>1528</v>
      </c>
      <c r="L20" s="528" t="s">
        <v>1533</v>
      </c>
      <c r="M20" s="1466" t="s">
        <v>1534</v>
      </c>
      <c r="N20" s="1467"/>
      <c r="O20" s="1467"/>
      <c r="P20" s="1468"/>
      <c r="Q20" s="1472" t="s">
        <v>1535</v>
      </c>
    </row>
    <row r="21" spans="2:17" ht="18" customHeight="1">
      <c r="B21" s="1456"/>
      <c r="C21" s="1457"/>
      <c r="D21" s="1460"/>
      <c r="E21" s="1461"/>
      <c r="F21" s="1461"/>
      <c r="G21" s="1462"/>
      <c r="H21" s="1084" t="s">
        <v>1536</v>
      </c>
      <c r="I21" s="339">
        <v>0.08</v>
      </c>
      <c r="J21" s="339">
        <v>0.03</v>
      </c>
      <c r="K21" s="339">
        <v>0.04</v>
      </c>
      <c r="L21" s="1475" t="s">
        <v>1537</v>
      </c>
      <c r="M21" s="1466"/>
      <c r="N21" s="1467"/>
      <c r="O21" s="1467"/>
      <c r="P21" s="1468"/>
      <c r="Q21" s="1473"/>
    </row>
    <row r="22" spans="2:17" ht="18" customHeight="1">
      <c r="B22" s="1456"/>
      <c r="C22" s="1457"/>
      <c r="D22" s="1460"/>
      <c r="E22" s="1461"/>
      <c r="F22" s="1461"/>
      <c r="G22" s="1462"/>
      <c r="H22" s="1084" t="s">
        <v>1538</v>
      </c>
      <c r="I22" s="339">
        <v>0.12</v>
      </c>
      <c r="J22" s="339">
        <v>0.04</v>
      </c>
      <c r="K22" s="339">
        <v>0.04</v>
      </c>
      <c r="L22" s="1476"/>
      <c r="M22" s="1466"/>
      <c r="N22" s="1467"/>
      <c r="O22" s="1467"/>
      <c r="P22" s="1468"/>
      <c r="Q22" s="1473"/>
    </row>
    <row r="23" spans="2:17" ht="18" customHeight="1" thickBot="1">
      <c r="B23" s="1458"/>
      <c r="C23" s="1459"/>
      <c r="D23" s="1463"/>
      <c r="E23" s="1464"/>
      <c r="F23" s="1464"/>
      <c r="G23" s="1465"/>
      <c r="H23" s="1086" t="s">
        <v>1539</v>
      </c>
      <c r="I23" s="985">
        <v>0.06</v>
      </c>
      <c r="J23" s="985">
        <v>0.04</v>
      </c>
      <c r="K23" s="985">
        <v>0.04</v>
      </c>
      <c r="L23" s="1477"/>
      <c r="M23" s="1469"/>
      <c r="N23" s="1470"/>
      <c r="O23" s="1470"/>
      <c r="P23" s="1471"/>
      <c r="Q23" s="1474"/>
    </row>
  </sheetData>
  <mergeCells count="33">
    <mergeCell ref="B20:C23"/>
    <mergeCell ref="D20:G23"/>
    <mergeCell ref="M20:P23"/>
    <mergeCell ref="Q20:Q23"/>
    <mergeCell ref="L21:L23"/>
    <mergeCell ref="Q14:Q19"/>
    <mergeCell ref="B16:C17"/>
    <mergeCell ref="D16:F17"/>
    <mergeCell ref="G16:H16"/>
    <mergeCell ref="G17:H17"/>
    <mergeCell ref="B18:C19"/>
    <mergeCell ref="D18:G19"/>
    <mergeCell ref="H18:I18"/>
    <mergeCell ref="H19:I19"/>
    <mergeCell ref="B13:C13"/>
    <mergeCell ref="D13:L13"/>
    <mergeCell ref="M13:P13"/>
    <mergeCell ref="B14:C15"/>
    <mergeCell ref="D14:F15"/>
    <mergeCell ref="M14:P19"/>
    <mergeCell ref="B8:C8"/>
    <mergeCell ref="D8:L8"/>
    <mergeCell ref="M8:Q8"/>
    <mergeCell ref="B9:C10"/>
    <mergeCell ref="D9:L10"/>
    <mergeCell ref="M9:Q10"/>
    <mergeCell ref="B1:Q1"/>
    <mergeCell ref="B4:C4"/>
    <mergeCell ref="D4:L4"/>
    <mergeCell ref="M4:Q4"/>
    <mergeCell ref="B5:C5"/>
    <mergeCell ref="D5:L5"/>
    <mergeCell ref="M5:Q5"/>
  </mergeCells>
  <phoneticPr fontId="99" type="noConversion"/>
  <printOptions horizontalCentered="1"/>
  <pageMargins left="0.31496062992125984" right="0.31496062992125984" top="0.31496062992125984" bottom="0.31496062992125984" header="0" footer="0"/>
  <pageSetup paperSize="9" scale="76"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8"/>
  <sheetViews>
    <sheetView zoomScaleNormal="100" workbookViewId="0">
      <pane xSplit="4" ySplit="6" topLeftCell="E7" activePane="bottomRight" state="frozen"/>
      <selection pane="topRight"/>
      <selection pane="bottomLeft"/>
      <selection pane="bottomRight"/>
    </sheetView>
  </sheetViews>
  <sheetFormatPr defaultColWidth="9.125" defaultRowHeight="18" customHeight="1"/>
  <cols>
    <col min="1" max="1" width="0.625" style="58" customWidth="1"/>
    <col min="2" max="2" width="5.625" style="58" customWidth="1"/>
    <col min="3" max="3" width="16.25" style="58" customWidth="1"/>
    <col min="4" max="4" width="10.375" style="58" customWidth="1"/>
    <col min="5" max="5" width="7.625" style="58" bestFit="1" customWidth="1"/>
    <col min="6" max="6" width="5.875" style="58" bestFit="1" customWidth="1"/>
    <col min="7" max="9" width="9" style="58" bestFit="1" customWidth="1"/>
    <col min="10" max="10" width="6.625" style="58" bestFit="1" customWidth="1"/>
    <col min="11" max="12" width="7.5" style="58" bestFit="1" customWidth="1"/>
    <col min="13" max="13" width="7.5" style="58" customWidth="1"/>
    <col min="14" max="14" width="8.5" style="58" bestFit="1" customWidth="1"/>
    <col min="15" max="16" width="7.5" style="58" bestFit="1" customWidth="1"/>
    <col min="17" max="17" width="8.5" style="58" bestFit="1" customWidth="1"/>
    <col min="18" max="18" width="7.5" style="58" bestFit="1" customWidth="1"/>
    <col min="19" max="19" width="6.625" style="58" bestFit="1" customWidth="1"/>
    <col min="20" max="20" width="8.5" style="58" bestFit="1" customWidth="1"/>
    <col min="21" max="21" width="7.5" style="58" bestFit="1" customWidth="1"/>
    <col min="22" max="22" width="6.625" style="58" bestFit="1" customWidth="1"/>
    <col min="23" max="23" width="8.5" style="58" bestFit="1" customWidth="1"/>
    <col min="24" max="24" width="7.5" style="58" bestFit="1" customWidth="1"/>
    <col min="25" max="25" width="6.625" style="58" bestFit="1" customWidth="1"/>
    <col min="26" max="26" width="8.5" style="58" bestFit="1" customWidth="1"/>
    <col min="27" max="27" width="7.5" style="58" bestFit="1" customWidth="1"/>
    <col min="28" max="28" width="6.625" style="58" bestFit="1" customWidth="1"/>
    <col min="29" max="29" width="8.5" style="58" bestFit="1" customWidth="1"/>
    <col min="30" max="30" width="7.5" style="58" bestFit="1" customWidth="1"/>
    <col min="31" max="16384" width="9.125" style="58"/>
  </cols>
  <sheetData>
    <row r="1" spans="1:37" s="66" customFormat="1" ht="30" customHeight="1" thickBot="1">
      <c r="B1" s="1140" t="s">
        <v>1540</v>
      </c>
      <c r="C1" s="1140"/>
      <c r="D1" s="1140"/>
      <c r="E1" s="1140"/>
      <c r="F1" s="1140"/>
      <c r="G1" s="1140"/>
      <c r="H1" s="1140"/>
      <c r="I1" s="1140"/>
      <c r="J1" s="1140"/>
      <c r="K1" s="1140"/>
      <c r="L1" s="1140"/>
      <c r="M1" s="1140"/>
      <c r="N1" s="1140"/>
      <c r="O1" s="1140"/>
      <c r="P1" s="1140"/>
      <c r="Q1" s="1140"/>
      <c r="R1" s="1140"/>
      <c r="S1" s="1140"/>
      <c r="T1" s="1140"/>
      <c r="U1" s="1140"/>
      <c r="V1" s="1140"/>
      <c r="W1" s="1140"/>
      <c r="X1" s="1140"/>
      <c r="Y1" s="1140"/>
      <c r="Z1" s="1140"/>
      <c r="AA1" s="1140"/>
      <c r="AB1" s="1140"/>
      <c r="AC1" s="1140"/>
      <c r="AD1" s="1140"/>
    </row>
    <row r="2" spans="1:37" s="246" customFormat="1" ht="6" customHeight="1" thickTop="1">
      <c r="A2" s="68"/>
      <c r="B2" s="67"/>
      <c r="C2" s="67"/>
      <c r="D2" s="67"/>
      <c r="E2" s="67"/>
      <c r="F2" s="67"/>
      <c r="G2" s="67"/>
      <c r="H2" s="67"/>
      <c r="I2" s="67"/>
      <c r="J2" s="68"/>
      <c r="K2" s="68"/>
      <c r="L2" s="68"/>
      <c r="M2" s="69"/>
      <c r="N2" s="68"/>
      <c r="O2" s="68"/>
      <c r="P2" s="68"/>
      <c r="Q2" s="68"/>
      <c r="R2" s="68"/>
      <c r="S2" s="68"/>
      <c r="T2" s="68"/>
      <c r="U2" s="68"/>
      <c r="V2" s="68"/>
      <c r="W2" s="68"/>
      <c r="X2" s="68"/>
      <c r="Y2" s="68"/>
      <c r="Z2" s="68"/>
      <c r="AA2" s="68"/>
      <c r="AB2" s="68"/>
      <c r="AC2" s="68"/>
      <c r="AD2" s="68"/>
      <c r="AE2" s="68"/>
      <c r="AF2" s="68"/>
      <c r="AG2" s="68"/>
      <c r="AH2" s="68"/>
      <c r="AI2" s="68"/>
      <c r="AJ2" s="68"/>
      <c r="AK2" s="68"/>
    </row>
    <row r="3" spans="1:37" s="274" customFormat="1" ht="34.5" customHeight="1">
      <c r="B3" s="1124" t="s">
        <v>1541</v>
      </c>
      <c r="C3" s="273"/>
      <c r="D3" s="273"/>
      <c r="E3" s="273"/>
      <c r="F3" s="273"/>
      <c r="G3" s="273"/>
      <c r="M3" s="275"/>
    </row>
    <row r="4" spans="1:37" s="246" customFormat="1" ht="6" customHeight="1" thickBot="1">
      <c r="A4" s="68"/>
      <c r="B4" s="67"/>
      <c r="C4" s="67"/>
      <c r="D4" s="67"/>
      <c r="E4" s="67"/>
      <c r="F4" s="67"/>
      <c r="G4" s="67"/>
      <c r="H4" s="67"/>
      <c r="I4" s="67"/>
      <c r="J4" s="68"/>
      <c r="K4" s="68"/>
      <c r="L4" s="68"/>
      <c r="M4" s="69"/>
      <c r="N4" s="68"/>
      <c r="O4" s="68"/>
      <c r="P4" s="68"/>
      <c r="Q4" s="68"/>
      <c r="R4" s="68"/>
      <c r="S4" s="68"/>
      <c r="T4" s="68"/>
      <c r="U4" s="68"/>
      <c r="V4" s="68"/>
      <c r="W4" s="68"/>
      <c r="X4" s="68"/>
      <c r="Y4" s="68"/>
      <c r="Z4" s="68"/>
      <c r="AA4" s="68"/>
      <c r="AB4" s="68"/>
      <c r="AC4" s="68"/>
      <c r="AD4" s="68"/>
      <c r="AE4" s="68"/>
      <c r="AF4" s="68"/>
      <c r="AG4" s="68"/>
      <c r="AH4" s="68"/>
      <c r="AI4" s="68"/>
      <c r="AJ4" s="68"/>
      <c r="AK4" s="68"/>
    </row>
    <row r="5" spans="1:37" s="473" customFormat="1" ht="24">
      <c r="B5" s="1272" t="s">
        <v>1542</v>
      </c>
      <c r="C5" s="1273"/>
      <c r="D5" s="1274"/>
      <c r="E5" s="1275" t="s">
        <v>1543</v>
      </c>
      <c r="F5" s="1277" t="s">
        <v>1544</v>
      </c>
      <c r="G5" s="1104" t="s">
        <v>1510</v>
      </c>
      <c r="H5" s="1091" t="s">
        <v>1545</v>
      </c>
      <c r="I5" s="1279" t="s">
        <v>1546</v>
      </c>
      <c r="J5" s="1282" t="s">
        <v>1530</v>
      </c>
      <c r="K5" s="1478"/>
      <c r="L5" s="1479"/>
      <c r="M5" s="1480" t="s">
        <v>1547</v>
      </c>
      <c r="N5" s="1481"/>
      <c r="O5" s="1482"/>
      <c r="P5" s="1483" t="s">
        <v>1548</v>
      </c>
      <c r="Q5" s="1357"/>
      <c r="R5" s="244">
        <v>0.93</v>
      </c>
      <c r="S5" s="1484" t="s">
        <v>1549</v>
      </c>
      <c r="T5" s="1485"/>
      <c r="U5" s="244">
        <v>0.86</v>
      </c>
      <c r="V5" s="1484" t="s">
        <v>1550</v>
      </c>
      <c r="W5" s="1485"/>
      <c r="X5" s="244">
        <v>0.83</v>
      </c>
      <c r="Y5" s="1483" t="s">
        <v>1551</v>
      </c>
      <c r="Z5" s="1357"/>
      <c r="AA5" s="244">
        <v>0.75</v>
      </c>
      <c r="AB5" s="1351" t="s">
        <v>1552</v>
      </c>
      <c r="AC5" s="1288"/>
      <c r="AD5" s="244">
        <v>0.7</v>
      </c>
    </row>
    <row r="6" spans="1:37" s="473" customFormat="1" ht="24.75" thickBot="1">
      <c r="B6" s="1092" t="s">
        <v>1553</v>
      </c>
      <c r="C6" s="1109" t="s">
        <v>1554</v>
      </c>
      <c r="D6" s="446" t="s">
        <v>1555</v>
      </c>
      <c r="E6" s="1276"/>
      <c r="F6" s="1278"/>
      <c r="G6" s="474">
        <v>2.6</v>
      </c>
      <c r="H6" s="474">
        <v>0.65</v>
      </c>
      <c r="I6" s="1280"/>
      <c r="J6" s="475" t="s">
        <v>1556</v>
      </c>
      <c r="K6" s="475" t="s">
        <v>1557</v>
      </c>
      <c r="L6" s="476" t="s">
        <v>1558</v>
      </c>
      <c r="M6" s="1125" t="s">
        <v>1559</v>
      </c>
      <c r="N6" s="1126" t="s">
        <v>1560</v>
      </c>
      <c r="O6" s="1127" t="s">
        <v>1561</v>
      </c>
      <c r="P6" s="1125" t="s">
        <v>1559</v>
      </c>
      <c r="Q6" s="1126" t="s">
        <v>1560</v>
      </c>
      <c r="R6" s="1127" t="s">
        <v>1561</v>
      </c>
      <c r="S6" s="1125" t="s">
        <v>1559</v>
      </c>
      <c r="T6" s="1126" t="s">
        <v>1560</v>
      </c>
      <c r="U6" s="1127" t="s">
        <v>1561</v>
      </c>
      <c r="V6" s="1125" t="s">
        <v>1559</v>
      </c>
      <c r="W6" s="1126" t="s">
        <v>1560</v>
      </c>
      <c r="X6" s="1127" t="s">
        <v>1561</v>
      </c>
      <c r="Y6" s="1125" t="s">
        <v>1559</v>
      </c>
      <c r="Z6" s="1126" t="s">
        <v>1560</v>
      </c>
      <c r="AA6" s="1127" t="s">
        <v>1561</v>
      </c>
      <c r="AB6" s="1128" t="s">
        <v>1559</v>
      </c>
      <c r="AC6" s="1126" t="s">
        <v>1560</v>
      </c>
      <c r="AD6" s="1127" t="s">
        <v>1561</v>
      </c>
      <c r="AE6" s="292"/>
      <c r="AF6" s="292"/>
      <c r="AG6" s="292"/>
      <c r="AH6" s="292"/>
      <c r="AI6" s="292"/>
    </row>
    <row r="7" spans="1:37" ht="18" customHeight="1">
      <c r="B7" s="1258" t="s">
        <v>1562</v>
      </c>
      <c r="C7" s="1261" t="s">
        <v>1563</v>
      </c>
      <c r="D7" s="1262"/>
      <c r="E7" s="1263">
        <v>1000</v>
      </c>
      <c r="F7" s="1245">
        <f>E7*D8</f>
        <v>2150</v>
      </c>
      <c r="G7" s="1245">
        <f>F7*$G$6</f>
        <v>5590</v>
      </c>
      <c r="H7" s="1245">
        <f>F7*$H$6</f>
        <v>1397.5</v>
      </c>
      <c r="I7" s="1245">
        <f>F7*110%</f>
        <v>2365</v>
      </c>
      <c r="J7" s="1245">
        <f>F7*8%*12</f>
        <v>2064</v>
      </c>
      <c r="K7" s="1245">
        <f>F7*12%*12</f>
        <v>3096</v>
      </c>
      <c r="L7" s="1250">
        <f>F7*6%*12</f>
        <v>1548</v>
      </c>
      <c r="M7" s="499">
        <f>G7+H7+I7+(J7/12)</f>
        <v>9524.5</v>
      </c>
      <c r="N7" s="500">
        <f>G7+H7+I7+J7</f>
        <v>11416.5</v>
      </c>
      <c r="O7" s="464">
        <f>G7+H7+I7+J7+K7+L7</f>
        <v>16060.5</v>
      </c>
      <c r="P7" s="499">
        <f>$M7*$R$5</f>
        <v>8857.7849999999999</v>
      </c>
      <c r="Q7" s="500">
        <f>$N7*$R$5</f>
        <v>10617.345000000001</v>
      </c>
      <c r="R7" s="464">
        <f>$O7*$R$5</f>
        <v>14936.265000000001</v>
      </c>
      <c r="S7" s="499">
        <f>$M7*$U$5</f>
        <v>8191.07</v>
      </c>
      <c r="T7" s="500">
        <f t="shared" ref="T7:U7" si="0">N7*$U$5</f>
        <v>9818.19</v>
      </c>
      <c r="U7" s="464">
        <f t="shared" si="0"/>
        <v>13812.03</v>
      </c>
      <c r="V7" s="499">
        <f>$M7*$X$5</f>
        <v>7905.335</v>
      </c>
      <c r="W7" s="500">
        <f>$N7*$X$5</f>
        <v>9475.6949999999997</v>
      </c>
      <c r="X7" s="464">
        <f>$O7*$X$5</f>
        <v>13330.215</v>
      </c>
      <c r="Y7" s="499">
        <f>$M7*$AA$5</f>
        <v>7143.375</v>
      </c>
      <c r="Z7" s="500">
        <f>$N7*$AA$5</f>
        <v>8562.375</v>
      </c>
      <c r="AA7" s="464">
        <f>$O7*$AA$5</f>
        <v>12045.375</v>
      </c>
      <c r="AB7" s="501">
        <f>$M7*$AD$5</f>
        <v>6667.15</v>
      </c>
      <c r="AC7" s="500">
        <f>$N7*$AD$5</f>
        <v>7991.5499999999993</v>
      </c>
      <c r="AD7" s="464">
        <f>$O7*$AD$5</f>
        <v>11242.349999999999</v>
      </c>
      <c r="AE7" s="292"/>
      <c r="AF7" s="292"/>
      <c r="AG7" s="292"/>
      <c r="AH7" s="292"/>
      <c r="AI7" s="292"/>
      <c r="AJ7" s="292"/>
    </row>
    <row r="8" spans="1:37" ht="18" customHeight="1">
      <c r="B8" s="1259"/>
      <c r="C8" s="334" t="s">
        <v>1564</v>
      </c>
      <c r="D8" s="109">
        <v>2.15</v>
      </c>
      <c r="E8" s="1230"/>
      <c r="F8" s="1232"/>
      <c r="G8" s="1232"/>
      <c r="H8" s="1232"/>
      <c r="I8" s="1232"/>
      <c r="J8" s="1232"/>
      <c r="K8" s="1232"/>
      <c r="L8" s="1251"/>
      <c r="M8" s="186">
        <f>M7/E7</f>
        <v>9.5244999999999997</v>
      </c>
      <c r="N8" s="189">
        <f>N7/E7</f>
        <v>11.416499999999999</v>
      </c>
      <c r="O8" s="188">
        <f>O7/E7</f>
        <v>16.060500000000001</v>
      </c>
      <c r="P8" s="186">
        <f>P7/E7</f>
        <v>8.8577849999999998</v>
      </c>
      <c r="Q8" s="189">
        <f>Q7/E7</f>
        <v>10.617345000000002</v>
      </c>
      <c r="R8" s="188">
        <f>R7/E7</f>
        <v>14.936265000000001</v>
      </c>
      <c r="S8" s="186">
        <f>S7/$E7</f>
        <v>8.1910699999999999</v>
      </c>
      <c r="T8" s="189">
        <f t="shared" ref="T8:U8" si="1">T7/$E7</f>
        <v>9.8181900000000013</v>
      </c>
      <c r="U8" s="188">
        <f t="shared" si="1"/>
        <v>13.81203</v>
      </c>
      <c r="V8" s="186">
        <f>V7/E7</f>
        <v>7.905335</v>
      </c>
      <c r="W8" s="189">
        <f>W7/E7</f>
        <v>9.475695</v>
      </c>
      <c r="X8" s="188">
        <f>X7/E7</f>
        <v>13.330215000000001</v>
      </c>
      <c r="Y8" s="186">
        <f>Y7/E7</f>
        <v>7.1433749999999998</v>
      </c>
      <c r="Z8" s="189">
        <f>Z7/E7</f>
        <v>8.5623749999999994</v>
      </c>
      <c r="AA8" s="188">
        <f>AA7/E7</f>
        <v>12.045375</v>
      </c>
      <c r="AB8" s="187">
        <f>AB7/E7</f>
        <v>6.6671499999999995</v>
      </c>
      <c r="AC8" s="189">
        <f>AC7/E7</f>
        <v>7.9915499999999993</v>
      </c>
      <c r="AD8" s="188">
        <f>AD7/E7</f>
        <v>11.242349999999998</v>
      </c>
      <c r="AE8" s="292"/>
      <c r="AF8" s="292"/>
      <c r="AG8" s="292"/>
      <c r="AH8" s="292"/>
      <c r="AI8" s="292"/>
      <c r="AJ8" s="292"/>
    </row>
    <row r="9" spans="1:37" ht="18" customHeight="1">
      <c r="B9" s="1259"/>
      <c r="C9" s="1252" t="s">
        <v>1565</v>
      </c>
      <c r="D9" s="1253"/>
      <c r="E9" s="1254">
        <v>1000</v>
      </c>
      <c r="F9" s="1234">
        <f>E9*D10</f>
        <v>2200</v>
      </c>
      <c r="G9" s="1234">
        <f>F9*$G$6</f>
        <v>5720</v>
      </c>
      <c r="H9" s="1234">
        <f>F9*$H$6</f>
        <v>1430</v>
      </c>
      <c r="I9" s="1234">
        <f>F9*110%</f>
        <v>2420</v>
      </c>
      <c r="J9" s="1234">
        <f>F9*8%*12</f>
        <v>2112</v>
      </c>
      <c r="K9" s="1234">
        <f>F9*12%*12</f>
        <v>3168</v>
      </c>
      <c r="L9" s="1256">
        <f>F9*6%*12</f>
        <v>1584</v>
      </c>
      <c r="M9" s="670">
        <f>G9+H9+I9+(J9/12)</f>
        <v>9746</v>
      </c>
      <c r="N9" s="969">
        <f>G9+H9+I9+J9</f>
        <v>11682</v>
      </c>
      <c r="O9" s="970">
        <f>G9+H9+I9+J9+K9+L9</f>
        <v>16434</v>
      </c>
      <c r="P9" s="670">
        <f>$M9*$R$5</f>
        <v>9063.7800000000007</v>
      </c>
      <c r="Q9" s="969">
        <f>$N9*$R$5</f>
        <v>10864.26</v>
      </c>
      <c r="R9" s="970">
        <f>$O9*$R$5</f>
        <v>15283.62</v>
      </c>
      <c r="S9" s="670">
        <f>$M9*$U$5</f>
        <v>8381.56</v>
      </c>
      <c r="T9" s="969">
        <f t="shared" ref="T9:U9" si="2">N9*$U$5</f>
        <v>10046.52</v>
      </c>
      <c r="U9" s="970">
        <f t="shared" si="2"/>
        <v>14133.24</v>
      </c>
      <c r="V9" s="670">
        <f>$M9*$X$5</f>
        <v>8089.1799999999994</v>
      </c>
      <c r="W9" s="969">
        <f>$N9*$X$5</f>
        <v>9696.06</v>
      </c>
      <c r="X9" s="970">
        <f>$O9*$X$5</f>
        <v>13640.22</v>
      </c>
      <c r="Y9" s="670">
        <f>$M9*$AA$5</f>
        <v>7309.5</v>
      </c>
      <c r="Z9" s="969">
        <f>$N9*$AA$5</f>
        <v>8761.5</v>
      </c>
      <c r="AA9" s="970">
        <f>$O9*$AA$5</f>
        <v>12325.5</v>
      </c>
      <c r="AB9" s="971">
        <f>$M9*$AD$5</f>
        <v>6822.2</v>
      </c>
      <c r="AC9" s="969">
        <f>$N9*$AD$5</f>
        <v>8177.4</v>
      </c>
      <c r="AD9" s="970">
        <f>$O9*$AD$5</f>
        <v>11503.8</v>
      </c>
      <c r="AE9" s="292"/>
      <c r="AF9" s="292"/>
      <c r="AG9" s="292"/>
      <c r="AH9" s="292"/>
      <c r="AI9" s="292"/>
      <c r="AJ9" s="292"/>
    </row>
    <row r="10" spans="1:37" ht="18" customHeight="1">
      <c r="B10" s="1259"/>
      <c r="C10" s="334" t="s">
        <v>1566</v>
      </c>
      <c r="D10" s="109">
        <v>2.2000000000000002</v>
      </c>
      <c r="E10" s="1230"/>
      <c r="F10" s="1232"/>
      <c r="G10" s="1232"/>
      <c r="H10" s="1232"/>
      <c r="I10" s="1232"/>
      <c r="J10" s="1232"/>
      <c r="K10" s="1232"/>
      <c r="L10" s="1251"/>
      <c r="M10" s="186">
        <f t="shared" ref="M10:R10" si="3">M9/$E9</f>
        <v>9.7460000000000004</v>
      </c>
      <c r="N10" s="189">
        <f t="shared" si="3"/>
        <v>11.682</v>
      </c>
      <c r="O10" s="188">
        <f t="shared" si="3"/>
        <v>16.434000000000001</v>
      </c>
      <c r="P10" s="186">
        <f t="shared" si="3"/>
        <v>9.0637800000000013</v>
      </c>
      <c r="Q10" s="189">
        <f t="shared" si="3"/>
        <v>10.86426</v>
      </c>
      <c r="R10" s="188">
        <f t="shared" si="3"/>
        <v>15.283620000000001</v>
      </c>
      <c r="S10" s="186">
        <f>S9/$E9</f>
        <v>8.3815600000000003</v>
      </c>
      <c r="T10" s="189">
        <f t="shared" ref="T10:AD10" si="4">T9/$E9</f>
        <v>10.046520000000001</v>
      </c>
      <c r="U10" s="188">
        <f t="shared" si="4"/>
        <v>14.133239999999999</v>
      </c>
      <c r="V10" s="186">
        <f t="shared" si="4"/>
        <v>8.0891799999999989</v>
      </c>
      <c r="W10" s="189">
        <f t="shared" si="4"/>
        <v>9.6960599999999992</v>
      </c>
      <c r="X10" s="188">
        <f t="shared" si="4"/>
        <v>13.640219999999999</v>
      </c>
      <c r="Y10" s="186">
        <f t="shared" si="4"/>
        <v>7.3094999999999999</v>
      </c>
      <c r="Z10" s="189">
        <f t="shared" si="4"/>
        <v>8.7614999999999998</v>
      </c>
      <c r="AA10" s="188">
        <f t="shared" si="4"/>
        <v>12.3255</v>
      </c>
      <c r="AB10" s="187">
        <f t="shared" si="4"/>
        <v>6.8221999999999996</v>
      </c>
      <c r="AC10" s="189">
        <f t="shared" si="4"/>
        <v>8.1774000000000004</v>
      </c>
      <c r="AD10" s="188">
        <f t="shared" si="4"/>
        <v>11.5038</v>
      </c>
      <c r="AE10" s="292"/>
      <c r="AF10" s="292"/>
      <c r="AG10" s="292"/>
      <c r="AH10" s="292"/>
      <c r="AI10" s="292"/>
      <c r="AJ10" s="292"/>
    </row>
    <row r="11" spans="1:37" ht="18" customHeight="1">
      <c r="B11" s="1259"/>
      <c r="C11" s="1486" t="s">
        <v>1567</v>
      </c>
      <c r="D11" s="1487"/>
      <c r="E11" s="1254">
        <v>1000</v>
      </c>
      <c r="F11" s="1234">
        <f>E11*D12</f>
        <v>160</v>
      </c>
      <c r="G11" s="1234">
        <f>F11*25%*12</f>
        <v>480</v>
      </c>
      <c r="H11" s="1234">
        <f>F11*5.5%*12</f>
        <v>105.60000000000001</v>
      </c>
      <c r="I11" s="1488"/>
      <c r="J11" s="1234">
        <f>F11*8.6%*12</f>
        <v>165.11999999999998</v>
      </c>
      <c r="K11" s="1488"/>
      <c r="L11" s="1488"/>
      <c r="M11" s="469">
        <f>(G11+H11+J11)/12</f>
        <v>62.56</v>
      </c>
      <c r="N11" s="1095">
        <f>G11+H11+I11+J11+K11</f>
        <v>750.72</v>
      </c>
      <c r="O11" s="1096">
        <f>N11</f>
        <v>750.72</v>
      </c>
      <c r="P11" s="469">
        <f>$M11*$R$5</f>
        <v>58.180800000000005</v>
      </c>
      <c r="Q11" s="1095">
        <f>$N11*$R$5</f>
        <v>698.16960000000006</v>
      </c>
      <c r="R11" s="1096">
        <f>$O11*$R$5</f>
        <v>698.16960000000006</v>
      </c>
      <c r="S11" s="469">
        <f>$M11*$U$5</f>
        <v>53.801600000000001</v>
      </c>
      <c r="T11" s="1095">
        <f t="shared" ref="T11:U11" si="5">N11*$U$5</f>
        <v>645.61919999999998</v>
      </c>
      <c r="U11" s="1096">
        <f t="shared" si="5"/>
        <v>645.61919999999998</v>
      </c>
      <c r="V11" s="469">
        <f>$M11*$X$5</f>
        <v>51.924799999999998</v>
      </c>
      <c r="W11" s="1095">
        <f>$N11*$X$5</f>
        <v>623.09759999999994</v>
      </c>
      <c r="X11" s="1096">
        <f>$O11*$X$5</f>
        <v>623.09759999999994</v>
      </c>
      <c r="Y11" s="469">
        <f>$M11*$AA$5</f>
        <v>46.92</v>
      </c>
      <c r="Z11" s="1095">
        <f>$N11*$AA$5</f>
        <v>563.04</v>
      </c>
      <c r="AA11" s="1096">
        <f>$O11*$AA$5</f>
        <v>563.04</v>
      </c>
      <c r="AB11" s="470">
        <f>$M11*$AD$5</f>
        <v>43.792000000000002</v>
      </c>
      <c r="AC11" s="1095">
        <f>$N11*$AD$5</f>
        <v>525.50400000000002</v>
      </c>
      <c r="AD11" s="1096">
        <f>$O11*$AD$5</f>
        <v>525.50400000000002</v>
      </c>
      <c r="AE11" s="292"/>
      <c r="AF11" s="292"/>
      <c r="AG11" s="292"/>
      <c r="AH11" s="292"/>
      <c r="AI11" s="292"/>
      <c r="AJ11" s="292"/>
    </row>
    <row r="12" spans="1:37" ht="18" customHeight="1" thickBot="1">
      <c r="B12" s="1260"/>
      <c r="C12" s="280" t="s">
        <v>808</v>
      </c>
      <c r="D12" s="918">
        <v>0.16</v>
      </c>
      <c r="E12" s="1255"/>
      <c r="F12" s="1235"/>
      <c r="G12" s="1235"/>
      <c r="H12" s="1235"/>
      <c r="I12" s="1489"/>
      <c r="J12" s="1235"/>
      <c r="K12" s="1489"/>
      <c r="L12" s="1489"/>
      <c r="M12" s="174">
        <f>M11/E11</f>
        <v>6.2560000000000004E-2</v>
      </c>
      <c r="N12" s="175">
        <f>N11/E11</f>
        <v>0.75072000000000005</v>
      </c>
      <c r="O12" s="176">
        <f>O11/E11</f>
        <v>0.75072000000000005</v>
      </c>
      <c r="P12" s="174">
        <f>P11/E11</f>
        <v>5.8180800000000005E-2</v>
      </c>
      <c r="Q12" s="175">
        <f>Q11/E11</f>
        <v>0.69816960000000006</v>
      </c>
      <c r="R12" s="176">
        <f>R11/E11</f>
        <v>0.69816960000000006</v>
      </c>
      <c r="S12" s="174">
        <f>S11/$E11</f>
        <v>5.3801599999999998E-2</v>
      </c>
      <c r="T12" s="175">
        <f t="shared" ref="T12:U12" si="6">T11/$E11</f>
        <v>0.64561919999999995</v>
      </c>
      <c r="U12" s="176">
        <f t="shared" si="6"/>
        <v>0.64561919999999995</v>
      </c>
      <c r="V12" s="174">
        <f>V11/E11</f>
        <v>5.19248E-2</v>
      </c>
      <c r="W12" s="175">
        <f>W11/E11</f>
        <v>0.62309759999999992</v>
      </c>
      <c r="X12" s="176">
        <f>X11/E11</f>
        <v>0.62309759999999992</v>
      </c>
      <c r="Y12" s="174">
        <f>Y11/E11</f>
        <v>4.6920000000000003E-2</v>
      </c>
      <c r="Z12" s="175">
        <f>Z11/E11</f>
        <v>0.56303999999999998</v>
      </c>
      <c r="AA12" s="176">
        <f>AA11/E11</f>
        <v>0.56303999999999998</v>
      </c>
      <c r="AB12" s="193">
        <f>AB11/E11</f>
        <v>4.3792000000000005E-2</v>
      </c>
      <c r="AC12" s="175">
        <f>AC11/E11</f>
        <v>0.52550399999999997</v>
      </c>
      <c r="AD12" s="176">
        <f>AD11/E11</f>
        <v>0.52550399999999997</v>
      </c>
      <c r="AE12" s="292"/>
      <c r="AF12" s="292"/>
      <c r="AG12" s="292"/>
      <c r="AH12" s="292"/>
      <c r="AI12" s="292"/>
      <c r="AJ12" s="292"/>
    </row>
    <row r="13" spans="1:37" ht="18" customHeight="1">
      <c r="B13" s="1259" t="s">
        <v>809</v>
      </c>
      <c r="C13" s="1252" t="s">
        <v>1568</v>
      </c>
      <c r="D13" s="1253"/>
      <c r="E13" s="1254">
        <v>1000</v>
      </c>
      <c r="F13" s="1234">
        <f>E13*D14</f>
        <v>2250</v>
      </c>
      <c r="G13" s="1234">
        <f>F13*$G$6</f>
        <v>5850</v>
      </c>
      <c r="H13" s="1234">
        <f>F13*$H$6</f>
        <v>1462.5</v>
      </c>
      <c r="I13" s="1234">
        <f t="shared" ref="I13" si="7">F13*110%</f>
        <v>2475</v>
      </c>
      <c r="J13" s="1234">
        <f t="shared" ref="J13" si="8">F13*8%*12</f>
        <v>2160</v>
      </c>
      <c r="K13" s="1234">
        <f t="shared" ref="K13" si="9">F13*12%*12</f>
        <v>3240</v>
      </c>
      <c r="L13" s="1256">
        <f t="shared" ref="L13" si="10">F13*6%*12</f>
        <v>1620</v>
      </c>
      <c r="M13" s="469">
        <f>G13+H13+I13+(J13/12)</f>
        <v>9967.5</v>
      </c>
      <c r="N13" s="1095">
        <f>G13+H13+I13+J13</f>
        <v>11947.5</v>
      </c>
      <c r="O13" s="1096">
        <f>G13+H13+I13+J13+K13+L13</f>
        <v>16807.5</v>
      </c>
      <c r="P13" s="469">
        <f>$M13*$R$5</f>
        <v>9269.7749999999996</v>
      </c>
      <c r="Q13" s="1095">
        <f>$N13*$R$5</f>
        <v>11111.175000000001</v>
      </c>
      <c r="R13" s="1096">
        <f>$O13*$R$5</f>
        <v>15630.975</v>
      </c>
      <c r="S13" s="469">
        <f>$M13*$U$5</f>
        <v>8572.0499999999993</v>
      </c>
      <c r="T13" s="1095">
        <f t="shared" ref="T13:U13" si="11">N13*$U$5</f>
        <v>10274.85</v>
      </c>
      <c r="U13" s="1096">
        <f t="shared" si="11"/>
        <v>14454.449999999999</v>
      </c>
      <c r="V13" s="469">
        <f>$M13*$X$5</f>
        <v>8273.0249999999996</v>
      </c>
      <c r="W13" s="1095">
        <f>$N13*$X$5</f>
        <v>9916.4249999999993</v>
      </c>
      <c r="X13" s="1096">
        <f>$O13*$X$5</f>
        <v>13950.224999999999</v>
      </c>
      <c r="Y13" s="469">
        <f>$M13*$AA$5</f>
        <v>7475.625</v>
      </c>
      <c r="Z13" s="1095">
        <f>$N13*$AA$5</f>
        <v>8960.625</v>
      </c>
      <c r="AA13" s="1096">
        <f>$O13*$AA$5</f>
        <v>12605.625</v>
      </c>
      <c r="AB13" s="470">
        <f>$M13*$AD$5</f>
        <v>6977.25</v>
      </c>
      <c r="AC13" s="1095">
        <f>$N13*$AD$5</f>
        <v>8363.25</v>
      </c>
      <c r="AD13" s="1096">
        <f>$O13*$AD$5</f>
        <v>11765.25</v>
      </c>
      <c r="AE13" s="292"/>
      <c r="AF13" s="292"/>
      <c r="AG13" s="292"/>
      <c r="AH13" s="292"/>
      <c r="AI13" s="292"/>
    </row>
    <row r="14" spans="1:37" ht="18" customHeight="1">
      <c r="B14" s="1259"/>
      <c r="C14" s="334" t="s">
        <v>1569</v>
      </c>
      <c r="D14" s="109">
        <v>2.25</v>
      </c>
      <c r="E14" s="1230"/>
      <c r="F14" s="1232"/>
      <c r="G14" s="1232"/>
      <c r="H14" s="1232"/>
      <c r="I14" s="1232"/>
      <c r="J14" s="1232"/>
      <c r="K14" s="1232"/>
      <c r="L14" s="1251"/>
      <c r="M14" s="186">
        <f>M13/E13</f>
        <v>9.9674999999999994</v>
      </c>
      <c r="N14" s="189">
        <f>N13/E13</f>
        <v>11.9475</v>
      </c>
      <c r="O14" s="188">
        <f>O13/E13</f>
        <v>16.807500000000001</v>
      </c>
      <c r="P14" s="186">
        <f>P13/E13</f>
        <v>9.2697749999999992</v>
      </c>
      <c r="Q14" s="189">
        <f>Q13/E13</f>
        <v>11.111175000000001</v>
      </c>
      <c r="R14" s="188">
        <f>R13/E13</f>
        <v>15.630975000000001</v>
      </c>
      <c r="S14" s="186">
        <f>S13/$E13</f>
        <v>8.5720499999999991</v>
      </c>
      <c r="T14" s="189">
        <f t="shared" ref="T14:U14" si="12">T13/$E13</f>
        <v>10.274850000000001</v>
      </c>
      <c r="U14" s="188">
        <f t="shared" si="12"/>
        <v>14.45445</v>
      </c>
      <c r="V14" s="186">
        <f>V13/E13</f>
        <v>8.2730250000000005</v>
      </c>
      <c r="W14" s="189">
        <f>W13/E13</f>
        <v>9.9164249999999985</v>
      </c>
      <c r="X14" s="188">
        <f>X13/E13</f>
        <v>13.950224999999998</v>
      </c>
      <c r="Y14" s="186">
        <f>Y13/E13</f>
        <v>7.475625</v>
      </c>
      <c r="Z14" s="189">
        <f>Z13/E13</f>
        <v>8.9606250000000003</v>
      </c>
      <c r="AA14" s="188">
        <f>AA13/E13</f>
        <v>12.605625</v>
      </c>
      <c r="AB14" s="187">
        <f>AB13/E13</f>
        <v>6.9772499999999997</v>
      </c>
      <c r="AC14" s="189">
        <f>AC13/E13</f>
        <v>8.3632500000000007</v>
      </c>
      <c r="AD14" s="188">
        <f>AD13/E13</f>
        <v>11.76525</v>
      </c>
      <c r="AE14" s="292"/>
      <c r="AF14" s="292"/>
      <c r="AG14" s="292"/>
      <c r="AH14" s="292"/>
      <c r="AI14" s="292"/>
    </row>
    <row r="15" spans="1:37" ht="18" customHeight="1">
      <c r="B15" s="1259"/>
      <c r="C15" s="1490" t="s">
        <v>1570</v>
      </c>
      <c r="D15" s="1491"/>
      <c r="E15" s="1390">
        <v>1000</v>
      </c>
      <c r="F15" s="1268">
        <f>E15*D16</f>
        <v>1950</v>
      </c>
      <c r="G15" s="1268">
        <f>F15*$G$6</f>
        <v>5070</v>
      </c>
      <c r="H15" s="1268">
        <f>F15*$H$6</f>
        <v>1267.5</v>
      </c>
      <c r="I15" s="1268">
        <f t="shared" ref="I15" si="13">F15*110%</f>
        <v>2145</v>
      </c>
      <c r="J15" s="1268">
        <f t="shared" ref="J15" si="14">F15*8%*12</f>
        <v>1872</v>
      </c>
      <c r="K15" s="1268">
        <f t="shared" ref="K15" si="15">F15*12%*12</f>
        <v>2808</v>
      </c>
      <c r="L15" s="1492">
        <f t="shared" ref="L15" si="16">F15*6%*12</f>
        <v>1404</v>
      </c>
      <c r="M15" s="463">
        <f>G15+H15+I15+(J15/12)</f>
        <v>8638.5</v>
      </c>
      <c r="N15" s="671">
        <f>G15+H15+I15+J15</f>
        <v>10354.5</v>
      </c>
      <c r="O15" s="466">
        <f>G15+H15+I15+J15+K15+L15</f>
        <v>14566.5</v>
      </c>
      <c r="P15" s="463">
        <f>$M15*$R$5</f>
        <v>8033.8050000000003</v>
      </c>
      <c r="Q15" s="671">
        <f>$N15*$R$5</f>
        <v>9629.6850000000013</v>
      </c>
      <c r="R15" s="466">
        <f>$O15*$R$5</f>
        <v>13546.845000000001</v>
      </c>
      <c r="S15" s="463">
        <f>$M15*$U$5</f>
        <v>7429.11</v>
      </c>
      <c r="T15" s="671">
        <f t="shared" ref="T15:U15" si="17">N15*$U$5</f>
        <v>8904.869999999999</v>
      </c>
      <c r="U15" s="466">
        <f t="shared" si="17"/>
        <v>12527.19</v>
      </c>
      <c r="V15" s="463">
        <f>$M15*$X$5</f>
        <v>7169.9549999999999</v>
      </c>
      <c r="W15" s="671">
        <f>$N15*$X$5</f>
        <v>8594.2349999999988</v>
      </c>
      <c r="X15" s="466">
        <f>$O15*$X$5</f>
        <v>12090.195</v>
      </c>
      <c r="Y15" s="463">
        <f>$M15*$AA$5</f>
        <v>6478.875</v>
      </c>
      <c r="Z15" s="671">
        <f>$N15*$AA$5</f>
        <v>7765.875</v>
      </c>
      <c r="AA15" s="466">
        <f>$O15*$AA$5</f>
        <v>10924.875</v>
      </c>
      <c r="AB15" s="465">
        <f>$M15*$AD$5</f>
        <v>6046.95</v>
      </c>
      <c r="AC15" s="671">
        <f>$N15*$AD$5</f>
        <v>7248.15</v>
      </c>
      <c r="AD15" s="466">
        <f>$O15*$AD$5</f>
        <v>10196.549999999999</v>
      </c>
      <c r="AE15" s="292"/>
      <c r="AF15" s="292"/>
      <c r="AG15" s="292"/>
      <c r="AH15" s="292"/>
      <c r="AI15" s="292"/>
    </row>
    <row r="16" spans="1:37" ht="18" customHeight="1">
      <c r="B16" s="1259"/>
      <c r="C16" s="334" t="s">
        <v>1569</v>
      </c>
      <c r="D16" s="109">
        <v>1.95</v>
      </c>
      <c r="E16" s="1230"/>
      <c r="F16" s="1232"/>
      <c r="G16" s="1232"/>
      <c r="H16" s="1232"/>
      <c r="I16" s="1232"/>
      <c r="J16" s="1232"/>
      <c r="K16" s="1232"/>
      <c r="L16" s="1251"/>
      <c r="M16" s="186">
        <f>M15/E15</f>
        <v>8.6385000000000005</v>
      </c>
      <c r="N16" s="189">
        <f>N15/E15</f>
        <v>10.3545</v>
      </c>
      <c r="O16" s="188">
        <f>O15/E15</f>
        <v>14.5665</v>
      </c>
      <c r="P16" s="186">
        <f>P15/E15</f>
        <v>8.033805000000001</v>
      </c>
      <c r="Q16" s="189">
        <f>Q15/E15</f>
        <v>9.629685000000002</v>
      </c>
      <c r="R16" s="188">
        <f>R15/E15</f>
        <v>13.546845000000001</v>
      </c>
      <c r="S16" s="186">
        <f>S15/$E15</f>
        <v>7.4291099999999997</v>
      </c>
      <c r="T16" s="189">
        <f t="shared" ref="T16:U16" si="18">T15/$E15</f>
        <v>8.904869999999999</v>
      </c>
      <c r="U16" s="188">
        <f t="shared" si="18"/>
        <v>12.527190000000001</v>
      </c>
      <c r="V16" s="186">
        <f>V15/E15</f>
        <v>7.1699549999999999</v>
      </c>
      <c r="W16" s="189">
        <f>W15/E15</f>
        <v>8.5942349999999994</v>
      </c>
      <c r="X16" s="188">
        <f>X15/E15</f>
        <v>12.090195</v>
      </c>
      <c r="Y16" s="186">
        <f>Y15/E15</f>
        <v>6.4788750000000004</v>
      </c>
      <c r="Z16" s="189">
        <f>Z15/E15</f>
        <v>7.7658750000000003</v>
      </c>
      <c r="AA16" s="188">
        <f>AA15/E15</f>
        <v>10.924875</v>
      </c>
      <c r="AB16" s="187">
        <f>AB15/E15</f>
        <v>6.0469499999999998</v>
      </c>
      <c r="AC16" s="189">
        <f>AC15/E15</f>
        <v>7.2481499999999999</v>
      </c>
      <c r="AD16" s="188">
        <f>AD15/E15</f>
        <v>10.196549999999998</v>
      </c>
      <c r="AE16" s="292"/>
      <c r="AF16" s="292"/>
      <c r="AG16" s="292"/>
      <c r="AH16" s="292"/>
      <c r="AI16" s="292"/>
    </row>
    <row r="17" spans="2:35" ht="18" customHeight="1">
      <c r="B17" s="1259"/>
      <c r="C17" s="1490" t="s">
        <v>1571</v>
      </c>
      <c r="D17" s="1491"/>
      <c r="E17" s="1390">
        <v>1000</v>
      </c>
      <c r="F17" s="1268">
        <f>E17*D18</f>
        <v>1900</v>
      </c>
      <c r="G17" s="1268">
        <f>F17*$G$6</f>
        <v>4940</v>
      </c>
      <c r="H17" s="1268">
        <f>F17*$H$6</f>
        <v>1235</v>
      </c>
      <c r="I17" s="1268">
        <f t="shared" ref="I17" si="19">F17*110%</f>
        <v>2090</v>
      </c>
      <c r="J17" s="1268">
        <f t="shared" ref="J17" si="20">F17*8%*12</f>
        <v>1824</v>
      </c>
      <c r="K17" s="1268">
        <f t="shared" ref="K17" si="21">F17*12%*12</f>
        <v>2736</v>
      </c>
      <c r="L17" s="1492">
        <f t="shared" ref="L17" si="22">F17*6%*12</f>
        <v>1368</v>
      </c>
      <c r="M17" s="463">
        <f>G17+H17+I17+(J17/12)</f>
        <v>8417</v>
      </c>
      <c r="N17" s="671">
        <f>G17+H17+I17+J17</f>
        <v>10089</v>
      </c>
      <c r="O17" s="466">
        <f>G17+H17+I17+J17+K17+L17</f>
        <v>14193</v>
      </c>
      <c r="P17" s="463">
        <f>$M17*$R$5</f>
        <v>7827.81</v>
      </c>
      <c r="Q17" s="671">
        <f>$N17*$R$5</f>
        <v>9382.77</v>
      </c>
      <c r="R17" s="466">
        <f>$O17*$R$5</f>
        <v>13199.490000000002</v>
      </c>
      <c r="S17" s="463">
        <f>$M17*$U$5</f>
        <v>7238.62</v>
      </c>
      <c r="T17" s="671">
        <f t="shared" ref="T17:U17" si="23">N17*$U$5</f>
        <v>8676.5399999999991</v>
      </c>
      <c r="U17" s="466">
        <f t="shared" si="23"/>
        <v>12205.98</v>
      </c>
      <c r="V17" s="463">
        <f>$M17*$X$5</f>
        <v>6986.11</v>
      </c>
      <c r="W17" s="671">
        <f>$N17*$X$5</f>
        <v>8373.869999999999</v>
      </c>
      <c r="X17" s="466">
        <f>$O17*$X$5</f>
        <v>11780.189999999999</v>
      </c>
      <c r="Y17" s="463">
        <f>$M17*$AA$5</f>
        <v>6312.75</v>
      </c>
      <c r="Z17" s="671">
        <f>$N17*$AA$5</f>
        <v>7566.75</v>
      </c>
      <c r="AA17" s="466">
        <f>$O17*$AA$5</f>
        <v>10644.75</v>
      </c>
      <c r="AB17" s="465">
        <f>$M17*$AD$5</f>
        <v>5891.9</v>
      </c>
      <c r="AC17" s="671">
        <f>$N17*$AD$5</f>
        <v>7062.2999999999993</v>
      </c>
      <c r="AD17" s="466">
        <f>$O17*$AD$5</f>
        <v>9935.0999999999985</v>
      </c>
      <c r="AE17" s="292"/>
      <c r="AF17" s="292"/>
      <c r="AG17" s="292"/>
      <c r="AH17" s="292"/>
      <c r="AI17" s="292"/>
    </row>
    <row r="18" spans="2:35" ht="18" customHeight="1">
      <c r="B18" s="1259"/>
      <c r="C18" s="334" t="s">
        <v>1572</v>
      </c>
      <c r="D18" s="109">
        <v>1.9</v>
      </c>
      <c r="E18" s="1230"/>
      <c r="F18" s="1232"/>
      <c r="G18" s="1232"/>
      <c r="H18" s="1232"/>
      <c r="I18" s="1232"/>
      <c r="J18" s="1232"/>
      <c r="K18" s="1232"/>
      <c r="L18" s="1251"/>
      <c r="M18" s="186">
        <f>M17/E17</f>
        <v>8.4169999999999998</v>
      </c>
      <c r="N18" s="189">
        <f>N17/E17</f>
        <v>10.089</v>
      </c>
      <c r="O18" s="188">
        <f>O17/E17</f>
        <v>14.193</v>
      </c>
      <c r="P18" s="186">
        <f>P17/E17</f>
        <v>7.8278100000000004</v>
      </c>
      <c r="Q18" s="189">
        <f>Q17/E17</f>
        <v>9.3827700000000007</v>
      </c>
      <c r="R18" s="188">
        <f>R17/E17</f>
        <v>13.199490000000001</v>
      </c>
      <c r="S18" s="186">
        <f>S17/$E17</f>
        <v>7.2386200000000001</v>
      </c>
      <c r="T18" s="189">
        <f t="shared" ref="T18:U18" si="24">T17/$E17</f>
        <v>8.6765399999999993</v>
      </c>
      <c r="U18" s="188">
        <f t="shared" si="24"/>
        <v>12.20598</v>
      </c>
      <c r="V18" s="186">
        <f>V17/E17</f>
        <v>6.98611</v>
      </c>
      <c r="W18" s="189">
        <f>W17/E17</f>
        <v>8.3738699999999984</v>
      </c>
      <c r="X18" s="188">
        <f>X17/E17</f>
        <v>11.780189999999999</v>
      </c>
      <c r="Y18" s="186">
        <f>Y17/E17</f>
        <v>6.3127500000000003</v>
      </c>
      <c r="Z18" s="189">
        <f>Z17/E17</f>
        <v>7.5667499999999999</v>
      </c>
      <c r="AA18" s="188">
        <f>AA17/E17</f>
        <v>10.64475</v>
      </c>
      <c r="AB18" s="187">
        <f>AB17/E17</f>
        <v>5.8918999999999997</v>
      </c>
      <c r="AC18" s="189">
        <f>AC17/E17</f>
        <v>7.0622999999999996</v>
      </c>
      <c r="AD18" s="188">
        <f>AD17/E17</f>
        <v>9.9350999999999985</v>
      </c>
      <c r="AE18" s="292"/>
      <c r="AF18" s="292"/>
      <c r="AG18" s="292"/>
      <c r="AH18" s="292"/>
      <c r="AI18" s="292"/>
    </row>
    <row r="19" spans="2:35" ht="18" customHeight="1">
      <c r="B19" s="1259"/>
      <c r="C19" s="1490" t="s">
        <v>1573</v>
      </c>
      <c r="D19" s="1491"/>
      <c r="E19" s="1390">
        <v>1000</v>
      </c>
      <c r="F19" s="1268">
        <f>E19*D20</f>
        <v>1500</v>
      </c>
      <c r="G19" s="1268">
        <f>F19*$G$6</f>
        <v>3900</v>
      </c>
      <c r="H19" s="1268">
        <f>F19*$H$6</f>
        <v>975</v>
      </c>
      <c r="I19" s="1268">
        <f t="shared" ref="I19" si="25">F19*110%</f>
        <v>1650.0000000000002</v>
      </c>
      <c r="J19" s="1268">
        <f t="shared" ref="J19" si="26">F19*8%*12</f>
        <v>1440</v>
      </c>
      <c r="K19" s="1268">
        <f t="shared" ref="K19" si="27">F19*12%*12</f>
        <v>2160</v>
      </c>
      <c r="L19" s="1492">
        <f t="shared" ref="L19" si="28">F19*6%*12</f>
        <v>1080</v>
      </c>
      <c r="M19" s="463">
        <f>G19+H19+I19+(J19/12)</f>
        <v>6645</v>
      </c>
      <c r="N19" s="671">
        <f>G19+H19+I19+J19</f>
        <v>7965</v>
      </c>
      <c r="O19" s="466">
        <f>G19+H19+I19+J19+K19+L19</f>
        <v>11205</v>
      </c>
      <c r="P19" s="463">
        <f>$M19*$R$5</f>
        <v>6179.85</v>
      </c>
      <c r="Q19" s="671">
        <f>$N19*$R$5</f>
        <v>7407.4500000000007</v>
      </c>
      <c r="R19" s="466">
        <f>$O19*$R$5</f>
        <v>10420.650000000001</v>
      </c>
      <c r="S19" s="463">
        <f>$M19*$U$5</f>
        <v>5714.7</v>
      </c>
      <c r="T19" s="671">
        <f t="shared" ref="T19:U19" si="29">N19*$U$5</f>
        <v>6849.9</v>
      </c>
      <c r="U19" s="466">
        <f t="shared" si="29"/>
        <v>9636.2999999999993</v>
      </c>
      <c r="V19" s="463">
        <f>$M19*$X$5</f>
        <v>5515.3499999999995</v>
      </c>
      <c r="W19" s="671">
        <f>$N19*$X$5</f>
        <v>6610.95</v>
      </c>
      <c r="X19" s="466">
        <f>$O19*$X$5</f>
        <v>9300.15</v>
      </c>
      <c r="Y19" s="463">
        <f>$M19*$AA$5</f>
        <v>4983.75</v>
      </c>
      <c r="Z19" s="671">
        <f>$N19*$AA$5</f>
        <v>5973.75</v>
      </c>
      <c r="AA19" s="466">
        <f>$O19*$AA$5</f>
        <v>8403.75</v>
      </c>
      <c r="AB19" s="465">
        <f>$M19*$AD$5</f>
        <v>4651.5</v>
      </c>
      <c r="AC19" s="671">
        <f>$N19*$AD$5</f>
        <v>5575.5</v>
      </c>
      <c r="AD19" s="466">
        <f>$O19*$AD$5</f>
        <v>7843.4999999999991</v>
      </c>
      <c r="AE19" s="292"/>
      <c r="AF19" s="292"/>
      <c r="AG19" s="292"/>
      <c r="AH19" s="292"/>
      <c r="AI19" s="292"/>
    </row>
    <row r="20" spans="2:35" ht="18" customHeight="1">
      <c r="B20" s="1259"/>
      <c r="C20" s="334" t="s">
        <v>1574</v>
      </c>
      <c r="D20" s="109">
        <v>1.5</v>
      </c>
      <c r="E20" s="1230"/>
      <c r="F20" s="1232"/>
      <c r="G20" s="1232"/>
      <c r="H20" s="1232"/>
      <c r="I20" s="1232"/>
      <c r="J20" s="1232"/>
      <c r="K20" s="1232"/>
      <c r="L20" s="1251"/>
      <c r="M20" s="186">
        <f>M19/E19</f>
        <v>6.6449999999999996</v>
      </c>
      <c r="N20" s="189">
        <f>N19/E19</f>
        <v>7.9649999999999999</v>
      </c>
      <c r="O20" s="188">
        <f>O19/E19</f>
        <v>11.205</v>
      </c>
      <c r="P20" s="186">
        <f>P19/E19</f>
        <v>6.1798500000000001</v>
      </c>
      <c r="Q20" s="189">
        <f>Q19/E19</f>
        <v>7.4074500000000008</v>
      </c>
      <c r="R20" s="188">
        <f>R19/E19</f>
        <v>10.420650000000002</v>
      </c>
      <c r="S20" s="186">
        <f>S19/$E19</f>
        <v>5.7146999999999997</v>
      </c>
      <c r="T20" s="189">
        <f t="shared" ref="T20:U20" si="30">T19/$E19</f>
        <v>6.8498999999999999</v>
      </c>
      <c r="U20" s="188">
        <f t="shared" si="30"/>
        <v>9.6362999999999985</v>
      </c>
      <c r="V20" s="186">
        <f>V19/E19</f>
        <v>5.5153499999999998</v>
      </c>
      <c r="W20" s="189">
        <f>W19/E19</f>
        <v>6.6109499999999999</v>
      </c>
      <c r="X20" s="188">
        <f>X19/E19</f>
        <v>9.3001500000000004</v>
      </c>
      <c r="Y20" s="186">
        <f>Y19/E19</f>
        <v>4.9837499999999997</v>
      </c>
      <c r="Z20" s="189">
        <f>Z19/E19</f>
        <v>5.9737499999999999</v>
      </c>
      <c r="AA20" s="188">
        <f>AA19/E19</f>
        <v>8.4037500000000005</v>
      </c>
      <c r="AB20" s="187">
        <f>AB19/E19</f>
        <v>4.6515000000000004</v>
      </c>
      <c r="AC20" s="189">
        <f>AC19/E19</f>
        <v>5.5754999999999999</v>
      </c>
      <c r="AD20" s="188">
        <f>AD19/E19</f>
        <v>7.8434999999999988</v>
      </c>
      <c r="AE20" s="292"/>
      <c r="AF20" s="292"/>
      <c r="AG20" s="292"/>
      <c r="AH20" s="292"/>
      <c r="AI20" s="292"/>
    </row>
    <row r="21" spans="2:35" ht="18" customHeight="1">
      <c r="B21" s="1259"/>
      <c r="C21" s="1490" t="s">
        <v>1575</v>
      </c>
      <c r="D21" s="1491"/>
      <c r="E21" s="1390">
        <v>1000</v>
      </c>
      <c r="F21" s="1268">
        <f>E21*D22</f>
        <v>1600</v>
      </c>
      <c r="G21" s="1268">
        <f>F21*$G$6</f>
        <v>4160</v>
      </c>
      <c r="H21" s="1268">
        <f>F21*$H$6</f>
        <v>1040</v>
      </c>
      <c r="I21" s="1268">
        <f t="shared" ref="I21" si="31">F21*110%</f>
        <v>1760.0000000000002</v>
      </c>
      <c r="J21" s="1268">
        <f t="shared" ref="J21" si="32">F21*8%*12</f>
        <v>1536</v>
      </c>
      <c r="K21" s="1268">
        <f t="shared" ref="K21" si="33">F21*12%*12</f>
        <v>2304</v>
      </c>
      <c r="L21" s="1492">
        <f t="shared" ref="L21" si="34">F21*6%*12</f>
        <v>1152</v>
      </c>
      <c r="M21" s="463">
        <f>G21+H21+I21+(J21/12)</f>
        <v>7088</v>
      </c>
      <c r="N21" s="671">
        <f>G21+H21+I21+J21</f>
        <v>8496</v>
      </c>
      <c r="O21" s="466">
        <f>G21+H21+I21+J21+K21+L21</f>
        <v>11952</v>
      </c>
      <c r="P21" s="463">
        <f>$M21*$R$5</f>
        <v>6591.84</v>
      </c>
      <c r="Q21" s="671">
        <f>$N21*$R$5</f>
        <v>7901.2800000000007</v>
      </c>
      <c r="R21" s="466">
        <f>$O21*$R$5</f>
        <v>11115.36</v>
      </c>
      <c r="S21" s="463">
        <f>$M21*$U$5</f>
        <v>6095.68</v>
      </c>
      <c r="T21" s="671">
        <f t="shared" ref="T21:U21" si="35">N21*$U$5</f>
        <v>7306.5599999999995</v>
      </c>
      <c r="U21" s="466">
        <f t="shared" si="35"/>
        <v>10278.719999999999</v>
      </c>
      <c r="V21" s="463">
        <f>$M21*$X$5</f>
        <v>5883.04</v>
      </c>
      <c r="W21" s="671">
        <f>$N21*$X$5</f>
        <v>7051.6799999999994</v>
      </c>
      <c r="X21" s="466">
        <f>$O21*$X$5</f>
        <v>9920.16</v>
      </c>
      <c r="Y21" s="463">
        <f>$M21*$AA$5</f>
        <v>5316</v>
      </c>
      <c r="Z21" s="671">
        <f>$N21*$AA$5</f>
        <v>6372</v>
      </c>
      <c r="AA21" s="466">
        <f>$O21*$AA$5</f>
        <v>8964</v>
      </c>
      <c r="AB21" s="465">
        <f>$M21*$AD$5</f>
        <v>4961.5999999999995</v>
      </c>
      <c r="AC21" s="671">
        <f>$N21*$AD$5</f>
        <v>5947.2</v>
      </c>
      <c r="AD21" s="466">
        <f>$O21*$AD$5</f>
        <v>8366.4</v>
      </c>
      <c r="AE21" s="292"/>
      <c r="AF21" s="292"/>
      <c r="AG21" s="292"/>
      <c r="AH21" s="292"/>
      <c r="AI21" s="292"/>
    </row>
    <row r="22" spans="2:35" ht="18" customHeight="1">
      <c r="B22" s="1259"/>
      <c r="C22" s="526" t="s">
        <v>1576</v>
      </c>
      <c r="D22" s="627">
        <v>1.6</v>
      </c>
      <c r="E22" s="1230"/>
      <c r="F22" s="1232"/>
      <c r="G22" s="1232"/>
      <c r="H22" s="1232"/>
      <c r="I22" s="1232"/>
      <c r="J22" s="1232"/>
      <c r="K22" s="1232"/>
      <c r="L22" s="1251"/>
      <c r="M22" s="186">
        <f>M21/E21</f>
        <v>7.0880000000000001</v>
      </c>
      <c r="N22" s="189">
        <f>N21/E21</f>
        <v>8.4960000000000004</v>
      </c>
      <c r="O22" s="188">
        <f>O21/E21</f>
        <v>11.952</v>
      </c>
      <c r="P22" s="186">
        <f>P21/E21</f>
        <v>6.5918400000000004</v>
      </c>
      <c r="Q22" s="189">
        <f>Q21/E21</f>
        <v>7.9012800000000007</v>
      </c>
      <c r="R22" s="188">
        <f>R21/E21</f>
        <v>11.115360000000001</v>
      </c>
      <c r="S22" s="186">
        <f>S21/$E21</f>
        <v>6.0956800000000007</v>
      </c>
      <c r="T22" s="189">
        <f t="shared" ref="T22:U22" si="36">T21/$E21</f>
        <v>7.3065599999999993</v>
      </c>
      <c r="U22" s="188">
        <f t="shared" si="36"/>
        <v>10.27872</v>
      </c>
      <c r="V22" s="186">
        <f>V21/E21</f>
        <v>5.8830400000000003</v>
      </c>
      <c r="W22" s="189">
        <f>W21/E21</f>
        <v>7.0516799999999993</v>
      </c>
      <c r="X22" s="188">
        <f>X21/E21</f>
        <v>9.9201599999999992</v>
      </c>
      <c r="Y22" s="186">
        <f>Y21/E21</f>
        <v>5.3159999999999998</v>
      </c>
      <c r="Z22" s="189">
        <f>Z21/E21</f>
        <v>6.3719999999999999</v>
      </c>
      <c r="AA22" s="188">
        <f>AA21/E21</f>
        <v>8.9640000000000004</v>
      </c>
      <c r="AB22" s="187">
        <f>AB21/E21</f>
        <v>4.9615999999999998</v>
      </c>
      <c r="AC22" s="189">
        <f>AC21/E21</f>
        <v>5.9471999999999996</v>
      </c>
      <c r="AD22" s="188">
        <f>AD21/E21</f>
        <v>8.3664000000000005</v>
      </c>
      <c r="AE22" s="292"/>
      <c r="AF22" s="292"/>
      <c r="AG22" s="292"/>
      <c r="AH22" s="292"/>
      <c r="AI22" s="292"/>
    </row>
    <row r="23" spans="2:35" ht="18" customHeight="1">
      <c r="B23" s="1259"/>
      <c r="C23" s="1498" t="s">
        <v>1577</v>
      </c>
      <c r="D23" s="1499"/>
      <c r="E23" s="1390">
        <v>1000</v>
      </c>
      <c r="F23" s="1268">
        <f>E23*D24</f>
        <v>400</v>
      </c>
      <c r="G23" s="1268">
        <f>F23*25%*12</f>
        <v>1200</v>
      </c>
      <c r="H23" s="1268">
        <f>F23*5.5%*12</f>
        <v>264</v>
      </c>
      <c r="I23" s="1493"/>
      <c r="J23" s="1268">
        <f>F23*8.6%*12</f>
        <v>412.79999999999995</v>
      </c>
      <c r="K23" s="1493"/>
      <c r="L23" s="1494"/>
      <c r="M23" s="470">
        <f>(G23+H23+J23)/12</f>
        <v>156.4</v>
      </c>
      <c r="N23" s="1095">
        <f>G23+H23+I23+J23+K23</f>
        <v>1876.8</v>
      </c>
      <c r="O23" s="1096">
        <f>N23</f>
        <v>1876.8</v>
      </c>
      <c r="P23" s="463">
        <f>$M23*$R$5</f>
        <v>145.45200000000003</v>
      </c>
      <c r="Q23" s="671">
        <f>$N23*$R$5</f>
        <v>1745.424</v>
      </c>
      <c r="R23" s="466">
        <f>$O23*$R$5</f>
        <v>1745.424</v>
      </c>
      <c r="S23" s="463">
        <f>$M23*$U$5</f>
        <v>134.50399999999999</v>
      </c>
      <c r="T23" s="671">
        <f t="shared" ref="T23:U23" si="37">N23*$U$5</f>
        <v>1614.048</v>
      </c>
      <c r="U23" s="466">
        <f t="shared" si="37"/>
        <v>1614.048</v>
      </c>
      <c r="V23" s="463">
        <f>$M23*$X$5</f>
        <v>129.81200000000001</v>
      </c>
      <c r="W23" s="671">
        <f>$N23*$X$5</f>
        <v>1557.7439999999999</v>
      </c>
      <c r="X23" s="466">
        <f>$O23*$X$5</f>
        <v>1557.7439999999999</v>
      </c>
      <c r="Y23" s="463">
        <f>$M23*$AA$5</f>
        <v>117.30000000000001</v>
      </c>
      <c r="Z23" s="671">
        <f>$N23*$AA$5</f>
        <v>1407.6</v>
      </c>
      <c r="AA23" s="466">
        <f>$O23*$AA$5</f>
        <v>1407.6</v>
      </c>
      <c r="AB23" s="465">
        <f>$M23*$AD$5</f>
        <v>109.48</v>
      </c>
      <c r="AC23" s="671">
        <f>$N23*$AD$5</f>
        <v>1313.76</v>
      </c>
      <c r="AD23" s="466">
        <f>$O23*$AD$5</f>
        <v>1313.76</v>
      </c>
      <c r="AE23" s="292"/>
      <c r="AF23" s="292"/>
      <c r="AG23" s="292"/>
      <c r="AH23" s="292"/>
      <c r="AI23" s="292"/>
    </row>
    <row r="24" spans="2:35" ht="18" customHeight="1" thickBot="1">
      <c r="B24" s="1260"/>
      <c r="C24" s="280" t="s">
        <v>1578</v>
      </c>
      <c r="D24" s="918">
        <v>0.4</v>
      </c>
      <c r="E24" s="1255"/>
      <c r="F24" s="1235"/>
      <c r="G24" s="1235"/>
      <c r="H24" s="1235"/>
      <c r="I24" s="1489"/>
      <c r="J24" s="1235"/>
      <c r="K24" s="1489"/>
      <c r="L24" s="1495"/>
      <c r="M24" s="193">
        <f>M23/E23</f>
        <v>0.15640000000000001</v>
      </c>
      <c r="N24" s="175">
        <f>N23/E23</f>
        <v>1.8768</v>
      </c>
      <c r="O24" s="176">
        <f>O23/E23</f>
        <v>1.8768</v>
      </c>
      <c r="P24" s="174">
        <f>P23/E23</f>
        <v>0.14545200000000003</v>
      </c>
      <c r="Q24" s="175">
        <f>Q23/E23</f>
        <v>1.7454240000000001</v>
      </c>
      <c r="R24" s="176">
        <f>R23/E23</f>
        <v>1.7454240000000001</v>
      </c>
      <c r="S24" s="174">
        <f>S23/$E23</f>
        <v>0.13450399999999998</v>
      </c>
      <c r="T24" s="175">
        <f t="shared" ref="T24:U24" si="38">T23/$E23</f>
        <v>1.6140479999999999</v>
      </c>
      <c r="U24" s="176">
        <f t="shared" si="38"/>
        <v>1.6140479999999999</v>
      </c>
      <c r="V24" s="174">
        <f>V23/E23</f>
        <v>0.12981200000000001</v>
      </c>
      <c r="W24" s="175">
        <f>W23/E23</f>
        <v>1.557744</v>
      </c>
      <c r="X24" s="176">
        <f>X23/E23</f>
        <v>1.557744</v>
      </c>
      <c r="Y24" s="174">
        <f>Y23/E23</f>
        <v>0.11730000000000002</v>
      </c>
      <c r="Z24" s="175">
        <f>Z23/E23</f>
        <v>1.4076</v>
      </c>
      <c r="AA24" s="176">
        <f>AA23/E23</f>
        <v>1.4076</v>
      </c>
      <c r="AB24" s="193">
        <f>AB23/E23</f>
        <v>0.10948000000000001</v>
      </c>
      <c r="AC24" s="175">
        <f>AC23/E23</f>
        <v>1.31376</v>
      </c>
      <c r="AD24" s="176">
        <f>AD23/E23</f>
        <v>1.31376</v>
      </c>
      <c r="AE24" s="292"/>
      <c r="AF24" s="292"/>
      <c r="AG24" s="292"/>
      <c r="AH24" s="292"/>
      <c r="AI24" s="292"/>
    </row>
    <row r="25" spans="2:35" s="524" customFormat="1" ht="18" customHeight="1">
      <c r="B25" s="1258" t="s">
        <v>1579</v>
      </c>
      <c r="C25" s="1496" t="s">
        <v>1580</v>
      </c>
      <c r="D25" s="1497"/>
      <c r="E25" s="1263">
        <v>1000</v>
      </c>
      <c r="F25" s="1245">
        <f>E25*D26</f>
        <v>1250</v>
      </c>
      <c r="G25" s="1245">
        <f>F25*$G$6</f>
        <v>3250</v>
      </c>
      <c r="H25" s="1245"/>
      <c r="I25" s="1245">
        <f>F25*125%</f>
        <v>1562.5</v>
      </c>
      <c r="J25" s="1245">
        <f>F25*3%*12</f>
        <v>450</v>
      </c>
      <c r="K25" s="1245">
        <f>F25*4%*12</f>
        <v>600</v>
      </c>
      <c r="L25" s="1250">
        <f>F25*4%*12</f>
        <v>600</v>
      </c>
      <c r="M25" s="499">
        <f>G25+I25+(J25/12)</f>
        <v>4850</v>
      </c>
      <c r="N25" s="500">
        <f>G25+I25+J25</f>
        <v>5262.5</v>
      </c>
      <c r="O25" s="464">
        <f>G25+I25+J25+K25+L25</f>
        <v>6462.5</v>
      </c>
      <c r="P25" s="499">
        <f>$M25*$R$5</f>
        <v>4510.5</v>
      </c>
      <c r="Q25" s="500">
        <f>$N25*$R$5</f>
        <v>4894.125</v>
      </c>
      <c r="R25" s="464">
        <f>$O25*$R$5</f>
        <v>6010.125</v>
      </c>
      <c r="S25" s="499">
        <f>$M25*$U$5</f>
        <v>4171</v>
      </c>
      <c r="T25" s="500">
        <f t="shared" ref="T25:U25" si="39">N25*$U$5</f>
        <v>4525.75</v>
      </c>
      <c r="U25" s="464">
        <f t="shared" si="39"/>
        <v>5557.75</v>
      </c>
      <c r="V25" s="499">
        <f>$M25*$X$5</f>
        <v>4025.5</v>
      </c>
      <c r="W25" s="500">
        <f>$N25*$X$5</f>
        <v>4367.875</v>
      </c>
      <c r="X25" s="464">
        <f>$O25*$X$5</f>
        <v>5363.875</v>
      </c>
      <c r="Y25" s="499">
        <f>$M25*$AA$5</f>
        <v>3637.5</v>
      </c>
      <c r="Z25" s="500">
        <f>$N25*$AA$5</f>
        <v>3946.875</v>
      </c>
      <c r="AA25" s="464">
        <f>$O25*$AA$5</f>
        <v>4846.875</v>
      </c>
      <c r="AB25" s="501">
        <f>$M25*$AD$5</f>
        <v>3395</v>
      </c>
      <c r="AC25" s="500">
        <f>$N25*$AD$5</f>
        <v>3683.7499999999995</v>
      </c>
      <c r="AD25" s="464">
        <f>$O25*$AD$5</f>
        <v>4523.75</v>
      </c>
      <c r="AE25" s="292"/>
      <c r="AF25" s="292"/>
      <c r="AG25" s="292"/>
      <c r="AH25" s="292"/>
      <c r="AI25" s="292"/>
    </row>
    <row r="26" spans="2:35" s="524" customFormat="1" ht="18" customHeight="1" thickBot="1">
      <c r="B26" s="1260"/>
      <c r="C26" s="335" t="s">
        <v>1581</v>
      </c>
      <c r="D26" s="202">
        <v>1.25</v>
      </c>
      <c r="E26" s="1255"/>
      <c r="F26" s="1235"/>
      <c r="G26" s="1235"/>
      <c r="H26" s="1235"/>
      <c r="I26" s="1235"/>
      <c r="J26" s="1235"/>
      <c r="K26" s="1235"/>
      <c r="L26" s="1257"/>
      <c r="M26" s="174">
        <f>M25/E25</f>
        <v>4.8499999999999996</v>
      </c>
      <c r="N26" s="175">
        <f>N25/E25</f>
        <v>5.2625000000000002</v>
      </c>
      <c r="O26" s="176">
        <f>O25/E25</f>
        <v>6.4625000000000004</v>
      </c>
      <c r="P26" s="174">
        <f>P25/E25</f>
        <v>4.5105000000000004</v>
      </c>
      <c r="Q26" s="175">
        <f>Q25/E25</f>
        <v>4.8941249999999998</v>
      </c>
      <c r="R26" s="176">
        <f>R25/E25</f>
        <v>6.0101250000000004</v>
      </c>
      <c r="S26" s="174">
        <f>S25/$E25</f>
        <v>4.1710000000000003</v>
      </c>
      <c r="T26" s="175">
        <f t="shared" ref="T26:U26" si="40">T25/$E25</f>
        <v>4.5257500000000004</v>
      </c>
      <c r="U26" s="176">
        <f t="shared" si="40"/>
        <v>5.5577500000000004</v>
      </c>
      <c r="V26" s="174">
        <f>V25/E25</f>
        <v>4.0255000000000001</v>
      </c>
      <c r="W26" s="175">
        <f>W25/E25</f>
        <v>4.3678749999999997</v>
      </c>
      <c r="X26" s="176">
        <f>X25/E25</f>
        <v>5.3638750000000002</v>
      </c>
      <c r="Y26" s="174">
        <f>Y25/E25</f>
        <v>3.6375000000000002</v>
      </c>
      <c r="Z26" s="175">
        <f>Z25/E25</f>
        <v>3.9468749999999999</v>
      </c>
      <c r="AA26" s="176">
        <f>AA25/E25</f>
        <v>4.8468749999999998</v>
      </c>
      <c r="AB26" s="193">
        <f>AB25/E25</f>
        <v>3.395</v>
      </c>
      <c r="AC26" s="175">
        <f>AC25/E25</f>
        <v>3.6837499999999994</v>
      </c>
      <c r="AD26" s="176">
        <f>AD25/E25</f>
        <v>4.5237499999999997</v>
      </c>
      <c r="AE26" s="292"/>
      <c r="AF26" s="292"/>
      <c r="AG26" s="292"/>
      <c r="AH26" s="292"/>
      <c r="AI26" s="292"/>
    </row>
    <row r="27" spans="2:35" s="524" customFormat="1" ht="18" customHeight="1">
      <c r="B27" s="1258" t="s">
        <v>1582</v>
      </c>
      <c r="C27" s="1496" t="s">
        <v>1583</v>
      </c>
      <c r="D27" s="1497"/>
      <c r="E27" s="1263">
        <v>1000</v>
      </c>
      <c r="F27" s="1245">
        <f>E27*D28</f>
        <v>1150</v>
      </c>
      <c r="G27" s="1245">
        <f>F27*$G$6</f>
        <v>2990</v>
      </c>
      <c r="H27" s="1245"/>
      <c r="I27" s="1245">
        <f>F27*65%</f>
        <v>747.5</v>
      </c>
      <c r="J27" s="1245">
        <f>F27*4%*12</f>
        <v>552</v>
      </c>
      <c r="K27" s="1245">
        <f>F27*4%*12</f>
        <v>552</v>
      </c>
      <c r="L27" s="1250">
        <f>F27*4%*12</f>
        <v>552</v>
      </c>
      <c r="M27" s="469">
        <f>G27+I27+(J27/12)</f>
        <v>3783.5</v>
      </c>
      <c r="N27" s="1095">
        <f>G27+I27+J27</f>
        <v>4289.5</v>
      </c>
      <c r="O27" s="1096">
        <f>G27+I27+J27+K27+L27</f>
        <v>5393.5</v>
      </c>
      <c r="P27" s="469">
        <f>$M27*$R$5</f>
        <v>3518.6550000000002</v>
      </c>
      <c r="Q27" s="1095">
        <f>$N27*$R$5</f>
        <v>3989.2350000000001</v>
      </c>
      <c r="R27" s="1096">
        <f>$O27*$R$5</f>
        <v>5015.9549999999999</v>
      </c>
      <c r="S27" s="469">
        <f>$M27*$U$5</f>
        <v>3253.81</v>
      </c>
      <c r="T27" s="1095">
        <f t="shared" ref="T27:U27" si="41">N27*$U$5</f>
        <v>3688.97</v>
      </c>
      <c r="U27" s="1096">
        <f t="shared" si="41"/>
        <v>4638.41</v>
      </c>
      <c r="V27" s="469">
        <f>$M27*$X$5</f>
        <v>3140.3049999999998</v>
      </c>
      <c r="W27" s="1095">
        <f>$N27*$X$5</f>
        <v>3560.2849999999999</v>
      </c>
      <c r="X27" s="1096">
        <f>$O27*$X$5</f>
        <v>4476.6049999999996</v>
      </c>
      <c r="Y27" s="469">
        <f>$M27*$AA$5</f>
        <v>2837.625</v>
      </c>
      <c r="Z27" s="1095">
        <f>$N27*$AA$5</f>
        <v>3217.125</v>
      </c>
      <c r="AA27" s="1096">
        <f>$O27*$AA$5</f>
        <v>4045.125</v>
      </c>
      <c r="AB27" s="470">
        <f>$M27*$AD$5</f>
        <v>2648.45</v>
      </c>
      <c r="AC27" s="1095">
        <f>$N27*$AD$5</f>
        <v>3002.6499999999996</v>
      </c>
      <c r="AD27" s="1096">
        <f>$O27*$AD$5</f>
        <v>3775.45</v>
      </c>
      <c r="AE27" s="292"/>
      <c r="AF27" s="292"/>
      <c r="AG27" s="292"/>
      <c r="AH27" s="292"/>
      <c r="AI27" s="292"/>
    </row>
    <row r="28" spans="2:35" s="524" customFormat="1" ht="18" customHeight="1" thickBot="1">
      <c r="B28" s="1260"/>
      <c r="C28" s="335" t="s">
        <v>1584</v>
      </c>
      <c r="D28" s="202">
        <v>1.1499999999999999</v>
      </c>
      <c r="E28" s="1255"/>
      <c r="F28" s="1235"/>
      <c r="G28" s="1235"/>
      <c r="H28" s="1235"/>
      <c r="I28" s="1235"/>
      <c r="J28" s="1235"/>
      <c r="K28" s="1235"/>
      <c r="L28" s="1257"/>
      <c r="M28" s="174">
        <f>M27/E27</f>
        <v>3.7835000000000001</v>
      </c>
      <c r="N28" s="175">
        <f>N27/E27</f>
        <v>4.2895000000000003</v>
      </c>
      <c r="O28" s="176">
        <f>O27/E27</f>
        <v>5.3935000000000004</v>
      </c>
      <c r="P28" s="174">
        <f>P27/E27</f>
        <v>3.5186550000000003</v>
      </c>
      <c r="Q28" s="175">
        <f>Q27/E27</f>
        <v>3.9892350000000003</v>
      </c>
      <c r="R28" s="176">
        <f>R27/E27</f>
        <v>5.0159549999999999</v>
      </c>
      <c r="S28" s="174">
        <f>S27/$E27</f>
        <v>3.2538100000000001</v>
      </c>
      <c r="T28" s="175">
        <f t="shared" ref="T28:U28" si="42">T27/$E27</f>
        <v>3.6889699999999999</v>
      </c>
      <c r="U28" s="176">
        <f t="shared" si="42"/>
        <v>4.6384099999999995</v>
      </c>
      <c r="V28" s="174">
        <f>V27/E27</f>
        <v>3.1403049999999997</v>
      </c>
      <c r="W28" s="175">
        <f>W27/E27</f>
        <v>3.5602849999999999</v>
      </c>
      <c r="X28" s="176">
        <f>X27/E27</f>
        <v>4.4766049999999993</v>
      </c>
      <c r="Y28" s="174">
        <f>Y27/E27</f>
        <v>2.8376250000000001</v>
      </c>
      <c r="Z28" s="175">
        <f>Z27/E27</f>
        <v>3.2171249999999998</v>
      </c>
      <c r="AA28" s="176">
        <f>AA27/E27</f>
        <v>4.0451249999999996</v>
      </c>
      <c r="AB28" s="193">
        <f>AB27/E27</f>
        <v>2.64845</v>
      </c>
      <c r="AC28" s="175">
        <f>AC27/E27</f>
        <v>3.0026499999999996</v>
      </c>
      <c r="AD28" s="176">
        <f>AD27/E27</f>
        <v>3.7754499999999998</v>
      </c>
      <c r="AE28" s="292"/>
      <c r="AF28" s="292"/>
      <c r="AG28" s="292"/>
      <c r="AH28" s="292"/>
      <c r="AI28" s="292"/>
    </row>
    <row r="29" spans="2:35" s="477" customFormat="1" ht="18" customHeight="1">
      <c r="B29" s="1238" t="s">
        <v>1585</v>
      </c>
      <c r="C29" s="1500" t="s">
        <v>1567</v>
      </c>
      <c r="D29" s="1501"/>
      <c r="E29" s="1263">
        <v>100000</v>
      </c>
      <c r="F29" s="1245"/>
      <c r="G29" s="1245"/>
      <c r="H29" s="1245"/>
      <c r="I29" s="1245"/>
      <c r="J29" s="1245">
        <f>E29*D30</f>
        <v>7000.0000000000009</v>
      </c>
      <c r="K29" s="1245"/>
      <c r="L29" s="1250"/>
      <c r="M29" s="499">
        <f>J29</f>
        <v>7000.0000000000009</v>
      </c>
      <c r="N29" s="500">
        <f>J29</f>
        <v>7000.0000000000009</v>
      </c>
      <c r="O29" s="464">
        <f>J29</f>
        <v>7000.0000000000009</v>
      </c>
      <c r="P29" s="499">
        <f>$M29*$R$5</f>
        <v>6510.0000000000009</v>
      </c>
      <c r="Q29" s="500">
        <f>$N29*$R$5</f>
        <v>6510.0000000000009</v>
      </c>
      <c r="R29" s="464">
        <f>$O29*$R$5</f>
        <v>6510.0000000000009</v>
      </c>
      <c r="S29" s="499">
        <f>$M29*$U$5</f>
        <v>6020.0000000000009</v>
      </c>
      <c r="T29" s="500">
        <f t="shared" ref="T29:U29" si="43">N29*$U$5</f>
        <v>6020.0000000000009</v>
      </c>
      <c r="U29" s="464">
        <f t="shared" si="43"/>
        <v>6020.0000000000009</v>
      </c>
      <c r="V29" s="499">
        <f>$M29*$X$5</f>
        <v>5810.0000000000009</v>
      </c>
      <c r="W29" s="500">
        <f>$N29*$X$5</f>
        <v>5810.0000000000009</v>
      </c>
      <c r="X29" s="464">
        <f>$O29*$X$5</f>
        <v>5810.0000000000009</v>
      </c>
      <c r="Y29" s="499">
        <f>$M29*$AA$5</f>
        <v>5250.0000000000009</v>
      </c>
      <c r="Z29" s="500">
        <f>$N29*$AA$5</f>
        <v>5250.0000000000009</v>
      </c>
      <c r="AA29" s="464">
        <f>$O29*$AA$5</f>
        <v>5250.0000000000009</v>
      </c>
      <c r="AB29" s="501">
        <f>$M29*$AD$5</f>
        <v>4900</v>
      </c>
      <c r="AC29" s="500">
        <f>$N29*$AD$5</f>
        <v>4900</v>
      </c>
      <c r="AD29" s="464">
        <f>$O29*$AD$5</f>
        <v>4900</v>
      </c>
      <c r="AE29" s="292"/>
      <c r="AF29" s="292"/>
      <c r="AG29" s="292"/>
      <c r="AH29" s="292"/>
      <c r="AI29" s="292"/>
    </row>
    <row r="30" spans="2:35" s="477" customFormat="1" ht="18" customHeight="1">
      <c r="B30" s="1239"/>
      <c r="C30" s="673" t="s">
        <v>416</v>
      </c>
      <c r="D30" s="674">
        <v>7.0000000000000007E-2</v>
      </c>
      <c r="E30" s="1230"/>
      <c r="F30" s="1232"/>
      <c r="G30" s="1232"/>
      <c r="H30" s="1232"/>
      <c r="I30" s="1232"/>
      <c r="J30" s="1232"/>
      <c r="K30" s="1232"/>
      <c r="L30" s="1251"/>
      <c r="M30" s="186">
        <f>M29/E29</f>
        <v>7.0000000000000007E-2</v>
      </c>
      <c r="N30" s="189">
        <f>N29/E29</f>
        <v>7.0000000000000007E-2</v>
      </c>
      <c r="O30" s="188">
        <f>O29/E29</f>
        <v>7.0000000000000007E-2</v>
      </c>
      <c r="P30" s="186">
        <f>P29/E29</f>
        <v>6.5100000000000005E-2</v>
      </c>
      <c r="Q30" s="189">
        <f>Q29/E29</f>
        <v>6.5100000000000005E-2</v>
      </c>
      <c r="R30" s="188">
        <f>R29/E29</f>
        <v>6.5100000000000005E-2</v>
      </c>
      <c r="S30" s="186">
        <f>S29/$E29</f>
        <v>6.020000000000001E-2</v>
      </c>
      <c r="T30" s="189">
        <f t="shared" ref="T30:U30" si="44">T29/$E29</f>
        <v>6.020000000000001E-2</v>
      </c>
      <c r="U30" s="188">
        <f t="shared" si="44"/>
        <v>6.020000000000001E-2</v>
      </c>
      <c r="V30" s="186">
        <f>V29/E29</f>
        <v>5.8100000000000006E-2</v>
      </c>
      <c r="W30" s="189">
        <f>W29/E29</f>
        <v>5.8100000000000006E-2</v>
      </c>
      <c r="X30" s="188">
        <f>X29/E29</f>
        <v>5.8100000000000006E-2</v>
      </c>
      <c r="Y30" s="186">
        <f>Y29/E29</f>
        <v>5.2500000000000012E-2</v>
      </c>
      <c r="Z30" s="189">
        <f>Z29/E29</f>
        <v>5.2500000000000012E-2</v>
      </c>
      <c r="AA30" s="188">
        <f>AA29/E29</f>
        <v>5.2500000000000012E-2</v>
      </c>
      <c r="AB30" s="187">
        <f>AB29/E29</f>
        <v>4.9000000000000002E-2</v>
      </c>
      <c r="AC30" s="189">
        <f>AC29/E29</f>
        <v>4.9000000000000002E-2</v>
      </c>
      <c r="AD30" s="188">
        <f>AD29/E29</f>
        <v>4.9000000000000002E-2</v>
      </c>
      <c r="AE30" s="292"/>
      <c r="AF30" s="292"/>
      <c r="AG30" s="292"/>
      <c r="AH30" s="292"/>
      <c r="AI30" s="292"/>
    </row>
    <row r="31" spans="2:35" ht="18" customHeight="1">
      <c r="B31" s="1239"/>
      <c r="C31" s="1498" t="s">
        <v>1586</v>
      </c>
      <c r="D31" s="1499"/>
      <c r="E31" s="1390">
        <v>100000</v>
      </c>
      <c r="F31" s="1268"/>
      <c r="G31" s="1268"/>
      <c r="H31" s="1268"/>
      <c r="I31" s="1268"/>
      <c r="J31" s="1268">
        <f>E31*D32</f>
        <v>3000</v>
      </c>
      <c r="K31" s="1268"/>
      <c r="L31" s="1492"/>
      <c r="M31" s="469">
        <f>J31</f>
        <v>3000</v>
      </c>
      <c r="N31" s="1095">
        <f>J31</f>
        <v>3000</v>
      </c>
      <c r="O31" s="1096">
        <f>J31</f>
        <v>3000</v>
      </c>
      <c r="P31" s="469">
        <f>$M31*$R$5</f>
        <v>2790</v>
      </c>
      <c r="Q31" s="1095">
        <f>$N31*$R$5</f>
        <v>2790</v>
      </c>
      <c r="R31" s="1096">
        <f>$O31*$R$5</f>
        <v>2790</v>
      </c>
      <c r="S31" s="469">
        <f>$M31*$U$5</f>
        <v>2580</v>
      </c>
      <c r="T31" s="1095">
        <f t="shared" ref="T31:U31" si="45">N31*$U$5</f>
        <v>2580</v>
      </c>
      <c r="U31" s="1096">
        <f t="shared" si="45"/>
        <v>2580</v>
      </c>
      <c r="V31" s="469">
        <f>$M31*$X$5</f>
        <v>2490</v>
      </c>
      <c r="W31" s="1095">
        <f>$N31*$X$5</f>
        <v>2490</v>
      </c>
      <c r="X31" s="1096">
        <f>$O31*$X$5</f>
        <v>2490</v>
      </c>
      <c r="Y31" s="469">
        <f>$M31*$AA$5</f>
        <v>2250</v>
      </c>
      <c r="Z31" s="1095">
        <f>$N31*$AA$5</f>
        <v>2250</v>
      </c>
      <c r="AA31" s="1096">
        <f>$O31*$AA$5</f>
        <v>2250</v>
      </c>
      <c r="AB31" s="470">
        <f>$M31*$AD$5</f>
        <v>2100</v>
      </c>
      <c r="AC31" s="1095">
        <f>$N31*$AD$5</f>
        <v>2100</v>
      </c>
      <c r="AD31" s="1096">
        <f>$O31*$AD$5</f>
        <v>2100</v>
      </c>
      <c r="AE31" s="292"/>
      <c r="AF31" s="292"/>
      <c r="AG31" s="292"/>
      <c r="AH31" s="292"/>
      <c r="AI31" s="292"/>
    </row>
    <row r="32" spans="2:35" ht="18" customHeight="1" thickBot="1">
      <c r="B32" s="1240"/>
      <c r="C32" s="675" t="s">
        <v>416</v>
      </c>
      <c r="D32" s="676">
        <v>0.03</v>
      </c>
      <c r="E32" s="1255"/>
      <c r="F32" s="1235"/>
      <c r="G32" s="1235"/>
      <c r="H32" s="1235"/>
      <c r="I32" s="1235"/>
      <c r="J32" s="1235"/>
      <c r="K32" s="1235"/>
      <c r="L32" s="1257"/>
      <c r="M32" s="174">
        <f>M31/E31</f>
        <v>0.03</v>
      </c>
      <c r="N32" s="175">
        <f>N31/E31</f>
        <v>0.03</v>
      </c>
      <c r="O32" s="176">
        <f>O31/E31</f>
        <v>0.03</v>
      </c>
      <c r="P32" s="174">
        <f>P31/E31</f>
        <v>2.7900000000000001E-2</v>
      </c>
      <c r="Q32" s="175">
        <f>Q31/E31</f>
        <v>2.7900000000000001E-2</v>
      </c>
      <c r="R32" s="176">
        <f>R31/E31</f>
        <v>2.7900000000000001E-2</v>
      </c>
      <c r="S32" s="174">
        <f>S31/$E31</f>
        <v>2.58E-2</v>
      </c>
      <c r="T32" s="175">
        <f t="shared" ref="T32:U32" si="46">T31/$E31</f>
        <v>2.58E-2</v>
      </c>
      <c r="U32" s="176">
        <f t="shared" si="46"/>
        <v>2.58E-2</v>
      </c>
      <c r="V32" s="174">
        <f>V31/E31</f>
        <v>2.4899999999999999E-2</v>
      </c>
      <c r="W32" s="175">
        <f>W31/E31</f>
        <v>2.4899999999999999E-2</v>
      </c>
      <c r="X32" s="176">
        <f>X31/E31</f>
        <v>2.4899999999999999E-2</v>
      </c>
      <c r="Y32" s="174">
        <f>Y31/E31</f>
        <v>2.2499999999999999E-2</v>
      </c>
      <c r="Z32" s="175">
        <f>Z31/E31</f>
        <v>2.2499999999999999E-2</v>
      </c>
      <c r="AA32" s="176">
        <f>AA31/E31</f>
        <v>2.2499999999999999E-2</v>
      </c>
      <c r="AB32" s="193">
        <f>AB31/E31</f>
        <v>2.1000000000000001E-2</v>
      </c>
      <c r="AC32" s="175">
        <f>AC31/E31</f>
        <v>2.1000000000000001E-2</v>
      </c>
      <c r="AD32" s="176">
        <f>AD31/E31</f>
        <v>2.1000000000000001E-2</v>
      </c>
      <c r="AE32" s="292"/>
      <c r="AF32" s="292"/>
      <c r="AG32" s="292"/>
      <c r="AH32" s="292"/>
      <c r="AI32" s="292"/>
    </row>
    <row r="33" spans="2:32" ht="18" customHeight="1">
      <c r="B33" s="52" t="s">
        <v>1587</v>
      </c>
      <c r="C33" s="48"/>
      <c r="D33" s="48"/>
      <c r="E33" s="48"/>
      <c r="F33" s="503"/>
      <c r="G33" s="525"/>
      <c r="H33" s="48"/>
      <c r="I33" s="48"/>
      <c r="J33" s="48"/>
      <c r="K33" s="48"/>
      <c r="L33" s="48"/>
      <c r="M33" s="50"/>
      <c r="N33" s="50"/>
      <c r="O33" s="50"/>
      <c r="P33" s="50"/>
      <c r="Q33" s="50"/>
      <c r="R33" s="50"/>
      <c r="S33" s="50"/>
      <c r="T33" s="50"/>
      <c r="U33" s="50"/>
      <c r="V33" s="50"/>
      <c r="W33" s="50"/>
      <c r="X33" s="50"/>
      <c r="Y33" s="50"/>
      <c r="Z33" s="50"/>
      <c r="AB33" s="292"/>
      <c r="AC33" s="292"/>
      <c r="AD33" s="292"/>
      <c r="AE33" s="292"/>
      <c r="AF33" s="292"/>
    </row>
    <row r="34" spans="2:32" ht="18" customHeight="1">
      <c r="B34" s="50" t="s">
        <v>1588</v>
      </c>
      <c r="C34" s="52"/>
      <c r="D34" s="48"/>
      <c r="E34" s="48"/>
      <c r="F34" s="503"/>
      <c r="G34" s="525"/>
      <c r="H34" s="48"/>
      <c r="I34" s="48"/>
      <c r="J34" s="48"/>
      <c r="K34" s="48"/>
      <c r="L34" s="48"/>
      <c r="M34" s="50"/>
      <c r="N34" s="919"/>
      <c r="O34" s="50"/>
      <c r="P34" s="50"/>
      <c r="Q34" s="50"/>
      <c r="R34" s="50"/>
      <c r="S34" s="50"/>
      <c r="T34" s="50"/>
      <c r="U34" s="50"/>
      <c r="V34" s="50"/>
      <c r="W34" s="50"/>
      <c r="X34" s="50"/>
      <c r="Z34" s="50"/>
      <c r="AB34" s="292"/>
      <c r="AC34" s="292"/>
      <c r="AD34" s="292"/>
      <c r="AE34" s="292"/>
      <c r="AF34" s="292"/>
    </row>
    <row r="35" spans="2:32" ht="18" customHeight="1">
      <c r="B35" s="64" t="s">
        <v>1589</v>
      </c>
      <c r="C35" s="64"/>
      <c r="D35" s="65"/>
      <c r="E35" s="65"/>
      <c r="F35" s="64"/>
      <c r="G35" s="65"/>
      <c r="H35" s="65"/>
      <c r="I35" s="65"/>
      <c r="J35" s="65"/>
      <c r="K35" s="65"/>
      <c r="L35" s="65"/>
      <c r="M35" s="64"/>
      <c r="N35" s="920"/>
      <c r="O35" s="64"/>
      <c r="P35" s="64"/>
      <c r="Q35" s="64"/>
      <c r="R35" s="64"/>
      <c r="S35" s="64"/>
      <c r="T35" s="64"/>
      <c r="U35" s="64"/>
      <c r="V35" s="64"/>
      <c r="W35" s="64"/>
      <c r="X35" s="64"/>
      <c r="Y35" s="64"/>
      <c r="Z35" s="64"/>
    </row>
    <row r="36" spans="2:32" ht="18" customHeight="1">
      <c r="B36" s="50" t="s">
        <v>1590</v>
      </c>
      <c r="C36" s="48"/>
      <c r="D36" s="48"/>
      <c r="E36" s="48"/>
      <c r="F36" s="50"/>
      <c r="G36" s="50"/>
      <c r="H36" s="50"/>
      <c r="I36" s="50"/>
      <c r="J36" s="50"/>
      <c r="K36" s="50"/>
      <c r="L36" s="48"/>
      <c r="M36" s="50"/>
      <c r="N36" s="50"/>
      <c r="O36" s="50"/>
      <c r="P36" s="50"/>
      <c r="Q36" s="50"/>
      <c r="R36" s="50"/>
      <c r="S36" s="50"/>
      <c r="T36" s="50"/>
      <c r="U36" s="50"/>
      <c r="V36" s="50"/>
      <c r="W36" s="50"/>
      <c r="X36" s="50"/>
      <c r="Y36" s="50"/>
      <c r="Z36" s="50"/>
    </row>
    <row r="37" spans="2:32" ht="18" customHeight="1">
      <c r="B37" s="50"/>
      <c r="C37" s="48"/>
      <c r="D37" s="48"/>
      <c r="E37" s="48"/>
      <c r="F37" s="50"/>
      <c r="G37" s="48"/>
      <c r="H37" s="48"/>
      <c r="I37" s="48"/>
      <c r="J37" s="48"/>
      <c r="K37" s="48"/>
      <c r="L37" s="48"/>
      <c r="M37" s="50"/>
      <c r="N37" s="50"/>
      <c r="O37" s="50"/>
      <c r="P37" s="50"/>
      <c r="Q37" s="50"/>
      <c r="R37" s="50"/>
      <c r="S37" s="50"/>
      <c r="T37" s="50"/>
      <c r="U37" s="50"/>
      <c r="V37" s="50"/>
      <c r="W37" s="50"/>
      <c r="X37" s="50"/>
      <c r="Y37" s="50"/>
      <c r="Z37" s="50"/>
    </row>
    <row r="38" spans="2:32" ht="18" customHeight="1">
      <c r="B38" s="64" t="s">
        <v>1591</v>
      </c>
      <c r="C38" s="48"/>
      <c r="D38" s="48"/>
      <c r="E38" s="48"/>
      <c r="F38" s="50"/>
      <c r="G38" s="48"/>
      <c r="H38" s="48"/>
      <c r="I38" s="48"/>
      <c r="J38" s="48"/>
      <c r="K38" s="48"/>
      <c r="L38" s="48"/>
      <c r="M38" s="50"/>
      <c r="N38" s="50"/>
      <c r="O38" s="50"/>
      <c r="P38" s="50"/>
      <c r="Q38" s="50"/>
      <c r="R38" s="50"/>
      <c r="S38" s="50"/>
      <c r="T38" s="50"/>
      <c r="U38" s="50"/>
      <c r="V38" s="50"/>
      <c r="W38" s="50"/>
      <c r="X38" s="50"/>
      <c r="Y38" s="50"/>
      <c r="Z38" s="50"/>
    </row>
  </sheetData>
  <mergeCells count="134">
    <mergeCell ref="L27:L28"/>
    <mergeCell ref="I31:I32"/>
    <mergeCell ref="J31:J32"/>
    <mergeCell ref="K31:K32"/>
    <mergeCell ref="L31:L32"/>
    <mergeCell ref="H29:H30"/>
    <mergeCell ref="I29:I30"/>
    <mergeCell ref="J29:J30"/>
    <mergeCell ref="K29:K30"/>
    <mergeCell ref="L29:L30"/>
    <mergeCell ref="L25:L26"/>
    <mergeCell ref="B27:B28"/>
    <mergeCell ref="C27:D27"/>
    <mergeCell ref="E27:E28"/>
    <mergeCell ref="F27:F28"/>
    <mergeCell ref="G27:G28"/>
    <mergeCell ref="C31:D31"/>
    <mergeCell ref="E31:E32"/>
    <mergeCell ref="F31:F32"/>
    <mergeCell ref="G31:G32"/>
    <mergeCell ref="H31:H32"/>
    <mergeCell ref="H27:H28"/>
    <mergeCell ref="I27:I28"/>
    <mergeCell ref="J27:J28"/>
    <mergeCell ref="B29:B32"/>
    <mergeCell ref="C29:D29"/>
    <mergeCell ref="E29:E30"/>
    <mergeCell ref="F29:F30"/>
    <mergeCell ref="G29:G30"/>
    <mergeCell ref="H25:H26"/>
    <mergeCell ref="I25:I26"/>
    <mergeCell ref="J25:J26"/>
    <mergeCell ref="K25:K26"/>
    <mergeCell ref="K27:K28"/>
    <mergeCell ref="H23:H24"/>
    <mergeCell ref="I23:I24"/>
    <mergeCell ref="J23:J24"/>
    <mergeCell ref="K23:K24"/>
    <mergeCell ref="L23:L24"/>
    <mergeCell ref="B25:B26"/>
    <mergeCell ref="C25:D25"/>
    <mergeCell ref="E25:E26"/>
    <mergeCell ref="F25:F26"/>
    <mergeCell ref="G25:G26"/>
    <mergeCell ref="B13:B24"/>
    <mergeCell ref="C23:D23"/>
    <mergeCell ref="E23:E24"/>
    <mergeCell ref="F23:F24"/>
    <mergeCell ref="G23:G24"/>
    <mergeCell ref="C21:D21"/>
    <mergeCell ref="E21:E22"/>
    <mergeCell ref="F21:F22"/>
    <mergeCell ref="G21:G22"/>
    <mergeCell ref="H21:H22"/>
    <mergeCell ref="I21:I22"/>
    <mergeCell ref="J21:J22"/>
    <mergeCell ref="K21:K22"/>
    <mergeCell ref="L21:L22"/>
    <mergeCell ref="C19:D19"/>
    <mergeCell ref="E19:E20"/>
    <mergeCell ref="F19:F20"/>
    <mergeCell ref="G19:G20"/>
    <mergeCell ref="H19:H20"/>
    <mergeCell ref="I19:I20"/>
    <mergeCell ref="J19:J20"/>
    <mergeCell ref="K19:K20"/>
    <mergeCell ref="L19:L20"/>
    <mergeCell ref="C17:D17"/>
    <mergeCell ref="E17:E18"/>
    <mergeCell ref="F17:F18"/>
    <mergeCell ref="G17:G18"/>
    <mergeCell ref="H17:H18"/>
    <mergeCell ref="I17:I18"/>
    <mergeCell ref="J17:J18"/>
    <mergeCell ref="K17:K18"/>
    <mergeCell ref="L17:L18"/>
    <mergeCell ref="L11:L12"/>
    <mergeCell ref="I13:I14"/>
    <mergeCell ref="J13:J14"/>
    <mergeCell ref="K13:K14"/>
    <mergeCell ref="L13:L14"/>
    <mergeCell ref="C15:D15"/>
    <mergeCell ref="E15:E16"/>
    <mergeCell ref="F15:F16"/>
    <mergeCell ref="G15:G16"/>
    <mergeCell ref="H15:H16"/>
    <mergeCell ref="I15:I16"/>
    <mergeCell ref="C13:D13"/>
    <mergeCell ref="E13:E14"/>
    <mergeCell ref="F13:F14"/>
    <mergeCell ref="G13:G14"/>
    <mergeCell ref="H13:H14"/>
    <mergeCell ref="J15:J16"/>
    <mergeCell ref="K15:K16"/>
    <mergeCell ref="L15:L16"/>
    <mergeCell ref="L7:L8"/>
    <mergeCell ref="C9:D9"/>
    <mergeCell ref="E9:E10"/>
    <mergeCell ref="F9:F10"/>
    <mergeCell ref="G9:G10"/>
    <mergeCell ref="H9:H10"/>
    <mergeCell ref="I9:I10"/>
    <mergeCell ref="J9:J10"/>
    <mergeCell ref="K9:K10"/>
    <mergeCell ref="L9:L10"/>
    <mergeCell ref="B7:B12"/>
    <mergeCell ref="C7:D7"/>
    <mergeCell ref="E7:E8"/>
    <mergeCell ref="F7:F8"/>
    <mergeCell ref="G7:G8"/>
    <mergeCell ref="H7:H8"/>
    <mergeCell ref="I7:I8"/>
    <mergeCell ref="J7:J8"/>
    <mergeCell ref="K7:K8"/>
    <mergeCell ref="C11:D11"/>
    <mergeCell ref="E11:E12"/>
    <mergeCell ref="F11:F12"/>
    <mergeCell ref="G11:G12"/>
    <mergeCell ref="H11:H12"/>
    <mergeCell ref="I11:I12"/>
    <mergeCell ref="J11:J12"/>
    <mergeCell ref="K11:K12"/>
    <mergeCell ref="B1:AD1"/>
    <mergeCell ref="B5:D5"/>
    <mergeCell ref="E5:E6"/>
    <mergeCell ref="F5:F6"/>
    <mergeCell ref="I5:I6"/>
    <mergeCell ref="J5:L5"/>
    <mergeCell ref="M5:O5"/>
    <mergeCell ref="P5:Q5"/>
    <mergeCell ref="S5:T5"/>
    <mergeCell ref="V5:W5"/>
    <mergeCell ref="Y5:Z5"/>
    <mergeCell ref="AB5:AC5"/>
  </mergeCells>
  <phoneticPr fontId="99" type="noConversion"/>
  <printOptions horizontalCentered="1"/>
  <pageMargins left="0.31496062992125984" right="0.31496062992125984" top="0.31496062992125984" bottom="0.31496062992125984" header="0" footer="0"/>
  <pageSetup paperSize="9" scale="5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IV55"/>
  <sheetViews>
    <sheetView zoomScaleNormal="100" workbookViewId="0">
      <pane ySplit="1" topLeftCell="A2" activePane="bottomLeft" state="frozen"/>
      <selection pane="bottomLeft"/>
    </sheetView>
  </sheetViews>
  <sheetFormatPr defaultColWidth="7.25" defaultRowHeight="16.5"/>
  <cols>
    <col min="1" max="1" width="1" style="146" customWidth="1"/>
    <col min="2" max="2" width="8.75" style="146" customWidth="1"/>
    <col min="3" max="3" width="10.5" style="146" customWidth="1"/>
    <col min="4" max="4" width="9.375" style="146" customWidth="1"/>
    <col min="5" max="5" width="9.375" style="147" customWidth="1"/>
    <col min="6" max="10" width="9.375" style="146" customWidth="1"/>
    <col min="11" max="11" width="10" style="146" customWidth="1"/>
    <col min="12" max="12" width="8.875" style="146" customWidth="1"/>
    <col min="13" max="13" width="9.5" style="146" customWidth="1"/>
    <col min="14" max="17" width="9.75" style="146" customWidth="1"/>
    <col min="18" max="18" width="9.375" style="146" customWidth="1"/>
    <col min="19" max="22" width="7.25" style="146"/>
    <col min="23" max="25" width="8.125" style="146" bestFit="1" customWidth="1"/>
    <col min="26" max="26" width="8.625" style="146" bestFit="1" customWidth="1"/>
    <col min="27" max="27" width="9.5" style="146" bestFit="1" customWidth="1"/>
    <col min="28" max="28" width="8.625" style="146" bestFit="1" customWidth="1"/>
    <col min="29" max="29" width="7.25" style="146"/>
    <col min="30" max="30" width="9.5" style="146" bestFit="1" customWidth="1"/>
    <col min="31" max="35" width="8.625" style="146" bestFit="1" customWidth="1"/>
    <col min="36" max="36" width="7.5" style="146" bestFit="1" customWidth="1"/>
    <col min="37" max="37" width="8.625" style="146" bestFit="1" customWidth="1"/>
    <col min="38" max="38" width="7.5" style="146" bestFit="1" customWidth="1"/>
    <col min="39" max="39" width="8.625" style="146" bestFit="1" customWidth="1"/>
    <col min="40" max="256" width="7.25" style="146"/>
    <col min="257" max="257" width="0.625" style="146" customWidth="1"/>
    <col min="258" max="259" width="10.5" style="146" customWidth="1"/>
    <col min="260" max="266" width="9.375" style="146" customWidth="1"/>
    <col min="267" max="274" width="8.875" style="146" customWidth="1"/>
    <col min="275" max="278" width="7.25" style="146"/>
    <col min="279" max="281" width="8.125" style="146" bestFit="1" customWidth="1"/>
    <col min="282" max="282" width="8.625" style="146" bestFit="1" customWidth="1"/>
    <col min="283" max="283" width="9.5" style="146" bestFit="1" customWidth="1"/>
    <col min="284" max="284" width="8.625" style="146" bestFit="1" customWidth="1"/>
    <col min="285" max="285" width="7.25" style="146"/>
    <col min="286" max="286" width="9.5" style="146" bestFit="1" customWidth="1"/>
    <col min="287" max="291" width="8.625" style="146" bestFit="1" customWidth="1"/>
    <col min="292" max="292" width="7.5" style="146" bestFit="1" customWidth="1"/>
    <col min="293" max="293" width="8.625" style="146" bestFit="1" customWidth="1"/>
    <col min="294" max="294" width="7.5" style="146" bestFit="1" customWidth="1"/>
    <col min="295" max="295" width="8.625" style="146" bestFit="1" customWidth="1"/>
    <col min="296" max="512" width="7.25" style="146"/>
    <col min="513" max="513" width="0.625" style="146" customWidth="1"/>
    <col min="514" max="515" width="10.5" style="146" customWidth="1"/>
    <col min="516" max="522" width="9.375" style="146" customWidth="1"/>
    <col min="523" max="530" width="8.875" style="146" customWidth="1"/>
    <col min="531" max="534" width="7.25" style="146"/>
    <col min="535" max="537" width="8.125" style="146" bestFit="1" customWidth="1"/>
    <col min="538" max="538" width="8.625" style="146" bestFit="1" customWidth="1"/>
    <col min="539" max="539" width="9.5" style="146" bestFit="1" customWidth="1"/>
    <col min="540" max="540" width="8.625" style="146" bestFit="1" customWidth="1"/>
    <col min="541" max="541" width="7.25" style="146"/>
    <col min="542" max="542" width="9.5" style="146" bestFit="1" customWidth="1"/>
    <col min="543" max="547" width="8.625" style="146" bestFit="1" customWidth="1"/>
    <col min="548" max="548" width="7.5" style="146" bestFit="1" customWidth="1"/>
    <col min="549" max="549" width="8.625" style="146" bestFit="1" customWidth="1"/>
    <col min="550" max="550" width="7.5" style="146" bestFit="1" customWidth="1"/>
    <col min="551" max="551" width="8.625" style="146" bestFit="1" customWidth="1"/>
    <col min="552" max="768" width="7.25" style="146"/>
    <col min="769" max="769" width="0.625" style="146" customWidth="1"/>
    <col min="770" max="771" width="10.5" style="146" customWidth="1"/>
    <col min="772" max="778" width="9.375" style="146" customWidth="1"/>
    <col min="779" max="786" width="8.875" style="146" customWidth="1"/>
    <col min="787" max="790" width="7.25" style="146"/>
    <col min="791" max="793" width="8.125" style="146" bestFit="1" customWidth="1"/>
    <col min="794" max="794" width="8.625" style="146" bestFit="1" customWidth="1"/>
    <col min="795" max="795" width="9.5" style="146" bestFit="1" customWidth="1"/>
    <col min="796" max="796" width="8.625" style="146" bestFit="1" customWidth="1"/>
    <col min="797" max="797" width="7.25" style="146"/>
    <col min="798" max="798" width="9.5" style="146" bestFit="1" customWidth="1"/>
    <col min="799" max="803" width="8.625" style="146" bestFit="1" customWidth="1"/>
    <col min="804" max="804" width="7.5" style="146" bestFit="1" customWidth="1"/>
    <col min="805" max="805" width="8.625" style="146" bestFit="1" customWidth="1"/>
    <col min="806" max="806" width="7.5" style="146" bestFit="1" customWidth="1"/>
    <col min="807" max="807" width="8.625" style="146" bestFit="1" customWidth="1"/>
    <col min="808" max="1024" width="7.25" style="146"/>
    <col min="1025" max="1025" width="0.625" style="146" customWidth="1"/>
    <col min="1026" max="1027" width="10.5" style="146" customWidth="1"/>
    <col min="1028" max="1034" width="9.375" style="146" customWidth="1"/>
    <col min="1035" max="1042" width="8.875" style="146" customWidth="1"/>
    <col min="1043" max="1046" width="7.25" style="146"/>
    <col min="1047" max="1049" width="8.125" style="146" bestFit="1" customWidth="1"/>
    <col min="1050" max="1050" width="8.625" style="146" bestFit="1" customWidth="1"/>
    <col min="1051" max="1051" width="9.5" style="146" bestFit="1" customWidth="1"/>
    <col min="1052" max="1052" width="8.625" style="146" bestFit="1" customWidth="1"/>
    <col min="1053" max="1053" width="7.25" style="146"/>
    <col min="1054" max="1054" width="9.5" style="146" bestFit="1" customWidth="1"/>
    <col min="1055" max="1059" width="8.625" style="146" bestFit="1" customWidth="1"/>
    <col min="1060" max="1060" width="7.5" style="146" bestFit="1" customWidth="1"/>
    <col min="1061" max="1061" width="8.625" style="146" bestFit="1" customWidth="1"/>
    <col min="1062" max="1062" width="7.5" style="146" bestFit="1" customWidth="1"/>
    <col min="1063" max="1063" width="8.625" style="146" bestFit="1" customWidth="1"/>
    <col min="1064" max="1280" width="7.25" style="146"/>
    <col min="1281" max="1281" width="0.625" style="146" customWidth="1"/>
    <col min="1282" max="1283" width="10.5" style="146" customWidth="1"/>
    <col min="1284" max="1290" width="9.375" style="146" customWidth="1"/>
    <col min="1291" max="1298" width="8.875" style="146" customWidth="1"/>
    <col min="1299" max="1302" width="7.25" style="146"/>
    <col min="1303" max="1305" width="8.125" style="146" bestFit="1" customWidth="1"/>
    <col min="1306" max="1306" width="8.625" style="146" bestFit="1" customWidth="1"/>
    <col min="1307" max="1307" width="9.5" style="146" bestFit="1" customWidth="1"/>
    <col min="1308" max="1308" width="8.625" style="146" bestFit="1" customWidth="1"/>
    <col min="1309" max="1309" width="7.25" style="146"/>
    <col min="1310" max="1310" width="9.5" style="146" bestFit="1" customWidth="1"/>
    <col min="1311" max="1315" width="8.625" style="146" bestFit="1" customWidth="1"/>
    <col min="1316" max="1316" width="7.5" style="146" bestFit="1" customWidth="1"/>
    <col min="1317" max="1317" width="8.625" style="146" bestFit="1" customWidth="1"/>
    <col min="1318" max="1318" width="7.5" style="146" bestFit="1" customWidth="1"/>
    <col min="1319" max="1319" width="8.625" style="146" bestFit="1" customWidth="1"/>
    <col min="1320" max="1536" width="7.25" style="146"/>
    <col min="1537" max="1537" width="0.625" style="146" customWidth="1"/>
    <col min="1538" max="1539" width="10.5" style="146" customWidth="1"/>
    <col min="1540" max="1546" width="9.375" style="146" customWidth="1"/>
    <col min="1547" max="1554" width="8.875" style="146" customWidth="1"/>
    <col min="1555" max="1558" width="7.25" style="146"/>
    <col min="1559" max="1561" width="8.125" style="146" bestFit="1" customWidth="1"/>
    <col min="1562" max="1562" width="8.625" style="146" bestFit="1" customWidth="1"/>
    <col min="1563" max="1563" width="9.5" style="146" bestFit="1" customWidth="1"/>
    <col min="1564" max="1564" width="8.625" style="146" bestFit="1" customWidth="1"/>
    <col min="1565" max="1565" width="7.25" style="146"/>
    <col min="1566" max="1566" width="9.5" style="146" bestFit="1" customWidth="1"/>
    <col min="1567" max="1571" width="8.625" style="146" bestFit="1" customWidth="1"/>
    <col min="1572" max="1572" width="7.5" style="146" bestFit="1" customWidth="1"/>
    <col min="1573" max="1573" width="8.625" style="146" bestFit="1" customWidth="1"/>
    <col min="1574" max="1574" width="7.5" style="146" bestFit="1" customWidth="1"/>
    <col min="1575" max="1575" width="8.625" style="146" bestFit="1" customWidth="1"/>
    <col min="1576" max="1792" width="7.25" style="146"/>
    <col min="1793" max="1793" width="0.625" style="146" customWidth="1"/>
    <col min="1794" max="1795" width="10.5" style="146" customWidth="1"/>
    <col min="1796" max="1802" width="9.375" style="146" customWidth="1"/>
    <col min="1803" max="1810" width="8.875" style="146" customWidth="1"/>
    <col min="1811" max="1814" width="7.25" style="146"/>
    <col min="1815" max="1817" width="8.125" style="146" bestFit="1" customWidth="1"/>
    <col min="1818" max="1818" width="8.625" style="146" bestFit="1" customWidth="1"/>
    <col min="1819" max="1819" width="9.5" style="146" bestFit="1" customWidth="1"/>
    <col min="1820" max="1820" width="8.625" style="146" bestFit="1" customWidth="1"/>
    <col min="1821" max="1821" width="7.25" style="146"/>
    <col min="1822" max="1822" width="9.5" style="146" bestFit="1" customWidth="1"/>
    <col min="1823" max="1827" width="8.625" style="146" bestFit="1" customWidth="1"/>
    <col min="1828" max="1828" width="7.5" style="146" bestFit="1" customWidth="1"/>
    <col min="1829" max="1829" width="8.625" style="146" bestFit="1" customWidth="1"/>
    <col min="1830" max="1830" width="7.5" style="146" bestFit="1" customWidth="1"/>
    <col min="1831" max="1831" width="8.625" style="146" bestFit="1" customWidth="1"/>
    <col min="1832" max="2048" width="7.25" style="146"/>
    <col min="2049" max="2049" width="0.625" style="146" customWidth="1"/>
    <col min="2050" max="2051" width="10.5" style="146" customWidth="1"/>
    <col min="2052" max="2058" width="9.375" style="146" customWidth="1"/>
    <col min="2059" max="2066" width="8.875" style="146" customWidth="1"/>
    <col min="2067" max="2070" width="7.25" style="146"/>
    <col min="2071" max="2073" width="8.125" style="146" bestFit="1" customWidth="1"/>
    <col min="2074" max="2074" width="8.625" style="146" bestFit="1" customWidth="1"/>
    <col min="2075" max="2075" width="9.5" style="146" bestFit="1" customWidth="1"/>
    <col min="2076" max="2076" width="8.625" style="146" bestFit="1" customWidth="1"/>
    <col min="2077" max="2077" width="7.25" style="146"/>
    <col min="2078" max="2078" width="9.5" style="146" bestFit="1" customWidth="1"/>
    <col min="2079" max="2083" width="8.625" style="146" bestFit="1" customWidth="1"/>
    <col min="2084" max="2084" width="7.5" style="146" bestFit="1" customWidth="1"/>
    <col min="2085" max="2085" width="8.625" style="146" bestFit="1" customWidth="1"/>
    <col min="2086" max="2086" width="7.5" style="146" bestFit="1" customWidth="1"/>
    <col min="2087" max="2087" width="8.625" style="146" bestFit="1" customWidth="1"/>
    <col min="2088" max="2304" width="7.25" style="146"/>
    <col min="2305" max="2305" width="0.625" style="146" customWidth="1"/>
    <col min="2306" max="2307" width="10.5" style="146" customWidth="1"/>
    <col min="2308" max="2314" width="9.375" style="146" customWidth="1"/>
    <col min="2315" max="2322" width="8.875" style="146" customWidth="1"/>
    <col min="2323" max="2326" width="7.25" style="146"/>
    <col min="2327" max="2329" width="8.125" style="146" bestFit="1" customWidth="1"/>
    <col min="2330" max="2330" width="8.625" style="146" bestFit="1" customWidth="1"/>
    <col min="2331" max="2331" width="9.5" style="146" bestFit="1" customWidth="1"/>
    <col min="2332" max="2332" width="8.625" style="146" bestFit="1" customWidth="1"/>
    <col min="2333" max="2333" width="7.25" style="146"/>
    <col min="2334" max="2334" width="9.5" style="146" bestFit="1" customWidth="1"/>
    <col min="2335" max="2339" width="8.625" style="146" bestFit="1" customWidth="1"/>
    <col min="2340" max="2340" width="7.5" style="146" bestFit="1" customWidth="1"/>
    <col min="2341" max="2341" width="8.625" style="146" bestFit="1" customWidth="1"/>
    <col min="2342" max="2342" width="7.5" style="146" bestFit="1" customWidth="1"/>
    <col min="2343" max="2343" width="8.625" style="146" bestFit="1" customWidth="1"/>
    <col min="2344" max="2560" width="7.25" style="146"/>
    <col min="2561" max="2561" width="0.625" style="146" customWidth="1"/>
    <col min="2562" max="2563" width="10.5" style="146" customWidth="1"/>
    <col min="2564" max="2570" width="9.375" style="146" customWidth="1"/>
    <col min="2571" max="2578" width="8.875" style="146" customWidth="1"/>
    <col min="2579" max="2582" width="7.25" style="146"/>
    <col min="2583" max="2585" width="8.125" style="146" bestFit="1" customWidth="1"/>
    <col min="2586" max="2586" width="8.625" style="146" bestFit="1" customWidth="1"/>
    <col min="2587" max="2587" width="9.5" style="146" bestFit="1" customWidth="1"/>
    <col min="2588" max="2588" width="8.625" style="146" bestFit="1" customWidth="1"/>
    <col min="2589" max="2589" width="7.25" style="146"/>
    <col min="2590" max="2590" width="9.5" style="146" bestFit="1" customWidth="1"/>
    <col min="2591" max="2595" width="8.625" style="146" bestFit="1" customWidth="1"/>
    <col min="2596" max="2596" width="7.5" style="146" bestFit="1" customWidth="1"/>
    <col min="2597" max="2597" width="8.625" style="146" bestFit="1" customWidth="1"/>
    <col min="2598" max="2598" width="7.5" style="146" bestFit="1" customWidth="1"/>
    <col min="2599" max="2599" width="8.625" style="146" bestFit="1" customWidth="1"/>
    <col min="2600" max="2816" width="7.25" style="146"/>
    <col min="2817" max="2817" width="0.625" style="146" customWidth="1"/>
    <col min="2818" max="2819" width="10.5" style="146" customWidth="1"/>
    <col min="2820" max="2826" width="9.375" style="146" customWidth="1"/>
    <col min="2827" max="2834" width="8.875" style="146" customWidth="1"/>
    <col min="2835" max="2838" width="7.25" style="146"/>
    <col min="2839" max="2841" width="8.125" style="146" bestFit="1" customWidth="1"/>
    <col min="2842" max="2842" width="8.625" style="146" bestFit="1" customWidth="1"/>
    <col min="2843" max="2843" width="9.5" style="146" bestFit="1" customWidth="1"/>
    <col min="2844" max="2844" width="8.625" style="146" bestFit="1" customWidth="1"/>
    <col min="2845" max="2845" width="7.25" style="146"/>
    <col min="2846" max="2846" width="9.5" style="146" bestFit="1" customWidth="1"/>
    <col min="2847" max="2851" width="8.625" style="146" bestFit="1" customWidth="1"/>
    <col min="2852" max="2852" width="7.5" style="146" bestFit="1" customWidth="1"/>
    <col min="2853" max="2853" width="8.625" style="146" bestFit="1" customWidth="1"/>
    <col min="2854" max="2854" width="7.5" style="146" bestFit="1" customWidth="1"/>
    <col min="2855" max="2855" width="8.625" style="146" bestFit="1" customWidth="1"/>
    <col min="2856" max="3072" width="7.25" style="146"/>
    <col min="3073" max="3073" width="0.625" style="146" customWidth="1"/>
    <col min="3074" max="3075" width="10.5" style="146" customWidth="1"/>
    <col min="3076" max="3082" width="9.375" style="146" customWidth="1"/>
    <col min="3083" max="3090" width="8.875" style="146" customWidth="1"/>
    <col min="3091" max="3094" width="7.25" style="146"/>
    <col min="3095" max="3097" width="8.125" style="146" bestFit="1" customWidth="1"/>
    <col min="3098" max="3098" width="8.625" style="146" bestFit="1" customWidth="1"/>
    <col min="3099" max="3099" width="9.5" style="146" bestFit="1" customWidth="1"/>
    <col min="3100" max="3100" width="8.625" style="146" bestFit="1" customWidth="1"/>
    <col min="3101" max="3101" width="7.25" style="146"/>
    <col min="3102" max="3102" width="9.5" style="146" bestFit="1" customWidth="1"/>
    <col min="3103" max="3107" width="8.625" style="146" bestFit="1" customWidth="1"/>
    <col min="3108" max="3108" width="7.5" style="146" bestFit="1" customWidth="1"/>
    <col min="3109" max="3109" width="8.625" style="146" bestFit="1" customWidth="1"/>
    <col min="3110" max="3110" width="7.5" style="146" bestFit="1" customWidth="1"/>
    <col min="3111" max="3111" width="8.625" style="146" bestFit="1" customWidth="1"/>
    <col min="3112" max="3328" width="7.25" style="146"/>
    <col min="3329" max="3329" width="0.625" style="146" customWidth="1"/>
    <col min="3330" max="3331" width="10.5" style="146" customWidth="1"/>
    <col min="3332" max="3338" width="9.375" style="146" customWidth="1"/>
    <col min="3339" max="3346" width="8.875" style="146" customWidth="1"/>
    <col min="3347" max="3350" width="7.25" style="146"/>
    <col min="3351" max="3353" width="8.125" style="146" bestFit="1" customWidth="1"/>
    <col min="3354" max="3354" width="8.625" style="146" bestFit="1" customWidth="1"/>
    <col min="3355" max="3355" width="9.5" style="146" bestFit="1" customWidth="1"/>
    <col min="3356" max="3356" width="8.625" style="146" bestFit="1" customWidth="1"/>
    <col min="3357" max="3357" width="7.25" style="146"/>
    <col min="3358" max="3358" width="9.5" style="146" bestFit="1" customWidth="1"/>
    <col min="3359" max="3363" width="8.625" style="146" bestFit="1" customWidth="1"/>
    <col min="3364" max="3364" width="7.5" style="146" bestFit="1" customWidth="1"/>
    <col min="3365" max="3365" width="8.625" style="146" bestFit="1" customWidth="1"/>
    <col min="3366" max="3366" width="7.5" style="146" bestFit="1" customWidth="1"/>
    <col min="3367" max="3367" width="8.625" style="146" bestFit="1" customWidth="1"/>
    <col min="3368" max="3584" width="7.25" style="146"/>
    <col min="3585" max="3585" width="0.625" style="146" customWidth="1"/>
    <col min="3586" max="3587" width="10.5" style="146" customWidth="1"/>
    <col min="3588" max="3594" width="9.375" style="146" customWidth="1"/>
    <col min="3595" max="3602" width="8.875" style="146" customWidth="1"/>
    <col min="3603" max="3606" width="7.25" style="146"/>
    <col min="3607" max="3609" width="8.125" style="146" bestFit="1" customWidth="1"/>
    <col min="3610" max="3610" width="8.625" style="146" bestFit="1" customWidth="1"/>
    <col min="3611" max="3611" width="9.5" style="146" bestFit="1" customWidth="1"/>
    <col min="3612" max="3612" width="8.625" style="146" bestFit="1" customWidth="1"/>
    <col min="3613" max="3613" width="7.25" style="146"/>
    <col min="3614" max="3614" width="9.5" style="146" bestFit="1" customWidth="1"/>
    <col min="3615" max="3619" width="8.625" style="146" bestFit="1" customWidth="1"/>
    <col min="3620" max="3620" width="7.5" style="146" bestFit="1" customWidth="1"/>
    <col min="3621" max="3621" width="8.625" style="146" bestFit="1" customWidth="1"/>
    <col min="3622" max="3622" width="7.5" style="146" bestFit="1" customWidth="1"/>
    <col min="3623" max="3623" width="8.625" style="146" bestFit="1" customWidth="1"/>
    <col min="3624" max="3840" width="7.25" style="146"/>
    <col min="3841" max="3841" width="0.625" style="146" customWidth="1"/>
    <col min="3842" max="3843" width="10.5" style="146" customWidth="1"/>
    <col min="3844" max="3850" width="9.375" style="146" customWidth="1"/>
    <col min="3851" max="3858" width="8.875" style="146" customWidth="1"/>
    <col min="3859" max="3862" width="7.25" style="146"/>
    <col min="3863" max="3865" width="8.125" style="146" bestFit="1" customWidth="1"/>
    <col min="3866" max="3866" width="8.625" style="146" bestFit="1" customWidth="1"/>
    <col min="3867" max="3867" width="9.5" style="146" bestFit="1" customWidth="1"/>
    <col min="3868" max="3868" width="8.625" style="146" bestFit="1" customWidth="1"/>
    <col min="3869" max="3869" width="7.25" style="146"/>
    <col min="3870" max="3870" width="9.5" style="146" bestFit="1" customWidth="1"/>
    <col min="3871" max="3875" width="8.625" style="146" bestFit="1" customWidth="1"/>
    <col min="3876" max="3876" width="7.5" style="146" bestFit="1" customWidth="1"/>
    <col min="3877" max="3877" width="8.625" style="146" bestFit="1" customWidth="1"/>
    <col min="3878" max="3878" width="7.5" style="146" bestFit="1" customWidth="1"/>
    <col min="3879" max="3879" width="8.625" style="146" bestFit="1" customWidth="1"/>
    <col min="3880" max="4096" width="7.25" style="146"/>
    <col min="4097" max="4097" width="0.625" style="146" customWidth="1"/>
    <col min="4098" max="4099" width="10.5" style="146" customWidth="1"/>
    <col min="4100" max="4106" width="9.375" style="146" customWidth="1"/>
    <col min="4107" max="4114" width="8.875" style="146" customWidth="1"/>
    <col min="4115" max="4118" width="7.25" style="146"/>
    <col min="4119" max="4121" width="8.125" style="146" bestFit="1" customWidth="1"/>
    <col min="4122" max="4122" width="8.625" style="146" bestFit="1" customWidth="1"/>
    <col min="4123" max="4123" width="9.5" style="146" bestFit="1" customWidth="1"/>
    <col min="4124" max="4124" width="8.625" style="146" bestFit="1" customWidth="1"/>
    <col min="4125" max="4125" width="7.25" style="146"/>
    <col min="4126" max="4126" width="9.5" style="146" bestFit="1" customWidth="1"/>
    <col min="4127" max="4131" width="8.625" style="146" bestFit="1" customWidth="1"/>
    <col min="4132" max="4132" width="7.5" style="146" bestFit="1" customWidth="1"/>
    <col min="4133" max="4133" width="8.625" style="146" bestFit="1" customWidth="1"/>
    <col min="4134" max="4134" width="7.5" style="146" bestFit="1" customWidth="1"/>
    <col min="4135" max="4135" width="8.625" style="146" bestFit="1" customWidth="1"/>
    <col min="4136" max="4352" width="7.25" style="146"/>
    <col min="4353" max="4353" width="0.625" style="146" customWidth="1"/>
    <col min="4354" max="4355" width="10.5" style="146" customWidth="1"/>
    <col min="4356" max="4362" width="9.375" style="146" customWidth="1"/>
    <col min="4363" max="4370" width="8.875" style="146" customWidth="1"/>
    <col min="4371" max="4374" width="7.25" style="146"/>
    <col min="4375" max="4377" width="8.125" style="146" bestFit="1" customWidth="1"/>
    <col min="4378" max="4378" width="8.625" style="146" bestFit="1" customWidth="1"/>
    <col min="4379" max="4379" width="9.5" style="146" bestFit="1" customWidth="1"/>
    <col min="4380" max="4380" width="8.625" style="146" bestFit="1" customWidth="1"/>
    <col min="4381" max="4381" width="7.25" style="146"/>
    <col min="4382" max="4382" width="9.5" style="146" bestFit="1" customWidth="1"/>
    <col min="4383" max="4387" width="8.625" style="146" bestFit="1" customWidth="1"/>
    <col min="4388" max="4388" width="7.5" style="146" bestFit="1" customWidth="1"/>
    <col min="4389" max="4389" width="8.625" style="146" bestFit="1" customWidth="1"/>
    <col min="4390" max="4390" width="7.5" style="146" bestFit="1" customWidth="1"/>
    <col min="4391" max="4391" width="8.625" style="146" bestFit="1" customWidth="1"/>
    <col min="4392" max="4608" width="7.25" style="146"/>
    <col min="4609" max="4609" width="0.625" style="146" customWidth="1"/>
    <col min="4610" max="4611" width="10.5" style="146" customWidth="1"/>
    <col min="4612" max="4618" width="9.375" style="146" customWidth="1"/>
    <col min="4619" max="4626" width="8.875" style="146" customWidth="1"/>
    <col min="4627" max="4630" width="7.25" style="146"/>
    <col min="4631" max="4633" width="8.125" style="146" bestFit="1" customWidth="1"/>
    <col min="4634" max="4634" width="8.625" style="146" bestFit="1" customWidth="1"/>
    <col min="4635" max="4635" width="9.5" style="146" bestFit="1" customWidth="1"/>
    <col min="4636" max="4636" width="8.625" style="146" bestFit="1" customWidth="1"/>
    <col min="4637" max="4637" width="7.25" style="146"/>
    <col min="4638" max="4638" width="9.5" style="146" bestFit="1" customWidth="1"/>
    <col min="4639" max="4643" width="8.625" style="146" bestFit="1" customWidth="1"/>
    <col min="4644" max="4644" width="7.5" style="146" bestFit="1" customWidth="1"/>
    <col min="4645" max="4645" width="8.625" style="146" bestFit="1" customWidth="1"/>
    <col min="4646" max="4646" width="7.5" style="146" bestFit="1" customWidth="1"/>
    <col min="4647" max="4647" width="8.625" style="146" bestFit="1" customWidth="1"/>
    <col min="4648" max="4864" width="7.25" style="146"/>
    <col min="4865" max="4865" width="0.625" style="146" customWidth="1"/>
    <col min="4866" max="4867" width="10.5" style="146" customWidth="1"/>
    <col min="4868" max="4874" width="9.375" style="146" customWidth="1"/>
    <col min="4875" max="4882" width="8.875" style="146" customWidth="1"/>
    <col min="4883" max="4886" width="7.25" style="146"/>
    <col min="4887" max="4889" width="8.125" style="146" bestFit="1" customWidth="1"/>
    <col min="4890" max="4890" width="8.625" style="146" bestFit="1" customWidth="1"/>
    <col min="4891" max="4891" width="9.5" style="146" bestFit="1" customWidth="1"/>
    <col min="4892" max="4892" width="8.625" style="146" bestFit="1" customWidth="1"/>
    <col min="4893" max="4893" width="7.25" style="146"/>
    <col min="4894" max="4894" width="9.5" style="146" bestFit="1" customWidth="1"/>
    <col min="4895" max="4899" width="8.625" style="146" bestFit="1" customWidth="1"/>
    <col min="4900" max="4900" width="7.5" style="146" bestFit="1" customWidth="1"/>
    <col min="4901" max="4901" width="8.625" style="146" bestFit="1" customWidth="1"/>
    <col min="4902" max="4902" width="7.5" style="146" bestFit="1" customWidth="1"/>
    <col min="4903" max="4903" width="8.625" style="146" bestFit="1" customWidth="1"/>
    <col min="4904" max="5120" width="7.25" style="146"/>
    <col min="5121" max="5121" width="0.625" style="146" customWidth="1"/>
    <col min="5122" max="5123" width="10.5" style="146" customWidth="1"/>
    <col min="5124" max="5130" width="9.375" style="146" customWidth="1"/>
    <col min="5131" max="5138" width="8.875" style="146" customWidth="1"/>
    <col min="5139" max="5142" width="7.25" style="146"/>
    <col min="5143" max="5145" width="8.125" style="146" bestFit="1" customWidth="1"/>
    <col min="5146" max="5146" width="8.625" style="146" bestFit="1" customWidth="1"/>
    <col min="5147" max="5147" width="9.5" style="146" bestFit="1" customWidth="1"/>
    <col min="5148" max="5148" width="8.625" style="146" bestFit="1" customWidth="1"/>
    <col min="5149" max="5149" width="7.25" style="146"/>
    <col min="5150" max="5150" width="9.5" style="146" bestFit="1" customWidth="1"/>
    <col min="5151" max="5155" width="8.625" style="146" bestFit="1" customWidth="1"/>
    <col min="5156" max="5156" width="7.5" style="146" bestFit="1" customWidth="1"/>
    <col min="5157" max="5157" width="8.625" style="146" bestFit="1" customWidth="1"/>
    <col min="5158" max="5158" width="7.5" style="146" bestFit="1" customWidth="1"/>
    <col min="5159" max="5159" width="8.625" style="146" bestFit="1" customWidth="1"/>
    <col min="5160" max="5376" width="7.25" style="146"/>
    <col min="5377" max="5377" width="0.625" style="146" customWidth="1"/>
    <col min="5378" max="5379" width="10.5" style="146" customWidth="1"/>
    <col min="5380" max="5386" width="9.375" style="146" customWidth="1"/>
    <col min="5387" max="5394" width="8.875" style="146" customWidth="1"/>
    <col min="5395" max="5398" width="7.25" style="146"/>
    <col min="5399" max="5401" width="8.125" style="146" bestFit="1" customWidth="1"/>
    <col min="5402" max="5402" width="8.625" style="146" bestFit="1" customWidth="1"/>
    <col min="5403" max="5403" width="9.5" style="146" bestFit="1" customWidth="1"/>
    <col min="5404" max="5404" width="8.625" style="146" bestFit="1" customWidth="1"/>
    <col min="5405" max="5405" width="7.25" style="146"/>
    <col min="5406" max="5406" width="9.5" style="146" bestFit="1" customWidth="1"/>
    <col min="5407" max="5411" width="8.625" style="146" bestFit="1" customWidth="1"/>
    <col min="5412" max="5412" width="7.5" style="146" bestFit="1" customWidth="1"/>
    <col min="5413" max="5413" width="8.625" style="146" bestFit="1" customWidth="1"/>
    <col min="5414" max="5414" width="7.5" style="146" bestFit="1" customWidth="1"/>
    <col min="5415" max="5415" width="8.625" style="146" bestFit="1" customWidth="1"/>
    <col min="5416" max="5632" width="7.25" style="146"/>
    <col min="5633" max="5633" width="0.625" style="146" customWidth="1"/>
    <col min="5634" max="5635" width="10.5" style="146" customWidth="1"/>
    <col min="5636" max="5642" width="9.375" style="146" customWidth="1"/>
    <col min="5643" max="5650" width="8.875" style="146" customWidth="1"/>
    <col min="5651" max="5654" width="7.25" style="146"/>
    <col min="5655" max="5657" width="8.125" style="146" bestFit="1" customWidth="1"/>
    <col min="5658" max="5658" width="8.625" style="146" bestFit="1" customWidth="1"/>
    <col min="5659" max="5659" width="9.5" style="146" bestFit="1" customWidth="1"/>
    <col min="5660" max="5660" width="8.625" style="146" bestFit="1" customWidth="1"/>
    <col min="5661" max="5661" width="7.25" style="146"/>
    <col min="5662" max="5662" width="9.5" style="146" bestFit="1" customWidth="1"/>
    <col min="5663" max="5667" width="8.625" style="146" bestFit="1" customWidth="1"/>
    <col min="5668" max="5668" width="7.5" style="146" bestFit="1" customWidth="1"/>
    <col min="5669" max="5669" width="8.625" style="146" bestFit="1" customWidth="1"/>
    <col min="5670" max="5670" width="7.5" style="146" bestFit="1" customWidth="1"/>
    <col min="5671" max="5671" width="8.625" style="146" bestFit="1" customWidth="1"/>
    <col min="5672" max="5888" width="7.25" style="146"/>
    <col min="5889" max="5889" width="0.625" style="146" customWidth="1"/>
    <col min="5890" max="5891" width="10.5" style="146" customWidth="1"/>
    <col min="5892" max="5898" width="9.375" style="146" customWidth="1"/>
    <col min="5899" max="5906" width="8.875" style="146" customWidth="1"/>
    <col min="5907" max="5910" width="7.25" style="146"/>
    <col min="5911" max="5913" width="8.125" style="146" bestFit="1" customWidth="1"/>
    <col min="5914" max="5914" width="8.625" style="146" bestFit="1" customWidth="1"/>
    <col min="5915" max="5915" width="9.5" style="146" bestFit="1" customWidth="1"/>
    <col min="5916" max="5916" width="8.625" style="146" bestFit="1" customWidth="1"/>
    <col min="5917" max="5917" width="7.25" style="146"/>
    <col min="5918" max="5918" width="9.5" style="146" bestFit="1" customWidth="1"/>
    <col min="5919" max="5923" width="8.625" style="146" bestFit="1" customWidth="1"/>
    <col min="5924" max="5924" width="7.5" style="146" bestFit="1" customWidth="1"/>
    <col min="5925" max="5925" width="8.625" style="146" bestFit="1" customWidth="1"/>
    <col min="5926" max="5926" width="7.5" style="146" bestFit="1" customWidth="1"/>
    <col min="5927" max="5927" width="8.625" style="146" bestFit="1" customWidth="1"/>
    <col min="5928" max="6144" width="7.25" style="146"/>
    <col min="6145" max="6145" width="0.625" style="146" customWidth="1"/>
    <col min="6146" max="6147" width="10.5" style="146" customWidth="1"/>
    <col min="6148" max="6154" width="9.375" style="146" customWidth="1"/>
    <col min="6155" max="6162" width="8.875" style="146" customWidth="1"/>
    <col min="6163" max="6166" width="7.25" style="146"/>
    <col min="6167" max="6169" width="8.125" style="146" bestFit="1" customWidth="1"/>
    <col min="6170" max="6170" width="8.625" style="146" bestFit="1" customWidth="1"/>
    <col min="6171" max="6171" width="9.5" style="146" bestFit="1" customWidth="1"/>
    <col min="6172" max="6172" width="8.625" style="146" bestFit="1" customWidth="1"/>
    <col min="6173" max="6173" width="7.25" style="146"/>
    <col min="6174" max="6174" width="9.5" style="146" bestFit="1" customWidth="1"/>
    <col min="6175" max="6179" width="8.625" style="146" bestFit="1" customWidth="1"/>
    <col min="6180" max="6180" width="7.5" style="146" bestFit="1" customWidth="1"/>
    <col min="6181" max="6181" width="8.625" style="146" bestFit="1" customWidth="1"/>
    <col min="6182" max="6182" width="7.5" style="146" bestFit="1" customWidth="1"/>
    <col min="6183" max="6183" width="8.625" style="146" bestFit="1" customWidth="1"/>
    <col min="6184" max="6400" width="7.25" style="146"/>
    <col min="6401" max="6401" width="0.625" style="146" customWidth="1"/>
    <col min="6402" max="6403" width="10.5" style="146" customWidth="1"/>
    <col min="6404" max="6410" width="9.375" style="146" customWidth="1"/>
    <col min="6411" max="6418" width="8.875" style="146" customWidth="1"/>
    <col min="6419" max="6422" width="7.25" style="146"/>
    <col min="6423" max="6425" width="8.125" style="146" bestFit="1" customWidth="1"/>
    <col min="6426" max="6426" width="8.625" style="146" bestFit="1" customWidth="1"/>
    <col min="6427" max="6427" width="9.5" style="146" bestFit="1" customWidth="1"/>
    <col min="6428" max="6428" width="8.625" style="146" bestFit="1" customWidth="1"/>
    <col min="6429" max="6429" width="7.25" style="146"/>
    <col min="6430" max="6430" width="9.5" style="146" bestFit="1" customWidth="1"/>
    <col min="6431" max="6435" width="8.625" style="146" bestFit="1" customWidth="1"/>
    <col min="6436" max="6436" width="7.5" style="146" bestFit="1" customWidth="1"/>
    <col min="6437" max="6437" width="8.625" style="146" bestFit="1" customWidth="1"/>
    <col min="6438" max="6438" width="7.5" style="146" bestFit="1" customWidth="1"/>
    <col min="6439" max="6439" width="8.625" style="146" bestFit="1" customWidth="1"/>
    <col min="6440" max="6656" width="7.25" style="146"/>
    <col min="6657" max="6657" width="0.625" style="146" customWidth="1"/>
    <col min="6658" max="6659" width="10.5" style="146" customWidth="1"/>
    <col min="6660" max="6666" width="9.375" style="146" customWidth="1"/>
    <col min="6667" max="6674" width="8.875" style="146" customWidth="1"/>
    <col min="6675" max="6678" width="7.25" style="146"/>
    <col min="6679" max="6681" width="8.125" style="146" bestFit="1" customWidth="1"/>
    <col min="6682" max="6682" width="8.625" style="146" bestFit="1" customWidth="1"/>
    <col min="6683" max="6683" width="9.5" style="146" bestFit="1" customWidth="1"/>
    <col min="6684" max="6684" width="8.625" style="146" bestFit="1" customWidth="1"/>
    <col min="6685" max="6685" width="7.25" style="146"/>
    <col min="6686" max="6686" width="9.5" style="146" bestFit="1" customWidth="1"/>
    <col min="6687" max="6691" width="8.625" style="146" bestFit="1" customWidth="1"/>
    <col min="6692" max="6692" width="7.5" style="146" bestFit="1" customWidth="1"/>
    <col min="6693" max="6693" width="8.625" style="146" bestFit="1" customWidth="1"/>
    <col min="6694" max="6694" width="7.5" style="146" bestFit="1" customWidth="1"/>
    <col min="6695" max="6695" width="8.625" style="146" bestFit="1" customWidth="1"/>
    <col min="6696" max="6912" width="7.25" style="146"/>
    <col min="6913" max="6913" width="0.625" style="146" customWidth="1"/>
    <col min="6914" max="6915" width="10.5" style="146" customWidth="1"/>
    <col min="6916" max="6922" width="9.375" style="146" customWidth="1"/>
    <col min="6923" max="6930" width="8.875" style="146" customWidth="1"/>
    <col min="6931" max="6934" width="7.25" style="146"/>
    <col min="6935" max="6937" width="8.125" style="146" bestFit="1" customWidth="1"/>
    <col min="6938" max="6938" width="8.625" style="146" bestFit="1" customWidth="1"/>
    <col min="6939" max="6939" width="9.5" style="146" bestFit="1" customWidth="1"/>
    <col min="6940" max="6940" width="8.625" style="146" bestFit="1" customWidth="1"/>
    <col min="6941" max="6941" width="7.25" style="146"/>
    <col min="6942" max="6942" width="9.5" style="146" bestFit="1" customWidth="1"/>
    <col min="6943" max="6947" width="8.625" style="146" bestFit="1" customWidth="1"/>
    <col min="6948" max="6948" width="7.5" style="146" bestFit="1" customWidth="1"/>
    <col min="6949" max="6949" width="8.625" style="146" bestFit="1" customWidth="1"/>
    <col min="6950" max="6950" width="7.5" style="146" bestFit="1" customWidth="1"/>
    <col min="6951" max="6951" width="8.625" style="146" bestFit="1" customWidth="1"/>
    <col min="6952" max="7168" width="7.25" style="146"/>
    <col min="7169" max="7169" width="0.625" style="146" customWidth="1"/>
    <col min="7170" max="7171" width="10.5" style="146" customWidth="1"/>
    <col min="7172" max="7178" width="9.375" style="146" customWidth="1"/>
    <col min="7179" max="7186" width="8.875" style="146" customWidth="1"/>
    <col min="7187" max="7190" width="7.25" style="146"/>
    <col min="7191" max="7193" width="8.125" style="146" bestFit="1" customWidth="1"/>
    <col min="7194" max="7194" width="8.625" style="146" bestFit="1" customWidth="1"/>
    <col min="7195" max="7195" width="9.5" style="146" bestFit="1" customWidth="1"/>
    <col min="7196" max="7196" width="8.625" style="146" bestFit="1" customWidth="1"/>
    <col min="7197" max="7197" width="7.25" style="146"/>
    <col min="7198" max="7198" width="9.5" style="146" bestFit="1" customWidth="1"/>
    <col min="7199" max="7203" width="8.625" style="146" bestFit="1" customWidth="1"/>
    <col min="7204" max="7204" width="7.5" style="146" bestFit="1" customWidth="1"/>
    <col min="7205" max="7205" width="8.625" style="146" bestFit="1" customWidth="1"/>
    <col min="7206" max="7206" width="7.5" style="146" bestFit="1" customWidth="1"/>
    <col min="7207" max="7207" width="8.625" style="146" bestFit="1" customWidth="1"/>
    <col min="7208" max="7424" width="7.25" style="146"/>
    <col min="7425" max="7425" width="0.625" style="146" customWidth="1"/>
    <col min="7426" max="7427" width="10.5" style="146" customWidth="1"/>
    <col min="7428" max="7434" width="9.375" style="146" customWidth="1"/>
    <col min="7435" max="7442" width="8.875" style="146" customWidth="1"/>
    <col min="7443" max="7446" width="7.25" style="146"/>
    <col min="7447" max="7449" width="8.125" style="146" bestFit="1" customWidth="1"/>
    <col min="7450" max="7450" width="8.625" style="146" bestFit="1" customWidth="1"/>
    <col min="7451" max="7451" width="9.5" style="146" bestFit="1" customWidth="1"/>
    <col min="7452" max="7452" width="8.625" style="146" bestFit="1" customWidth="1"/>
    <col min="7453" max="7453" width="7.25" style="146"/>
    <col min="7454" max="7454" width="9.5" style="146" bestFit="1" customWidth="1"/>
    <col min="7455" max="7459" width="8.625" style="146" bestFit="1" customWidth="1"/>
    <col min="7460" max="7460" width="7.5" style="146" bestFit="1" customWidth="1"/>
    <col min="7461" max="7461" width="8.625" style="146" bestFit="1" customWidth="1"/>
    <col min="7462" max="7462" width="7.5" style="146" bestFit="1" customWidth="1"/>
    <col min="7463" max="7463" width="8.625" style="146" bestFit="1" customWidth="1"/>
    <col min="7464" max="7680" width="7.25" style="146"/>
    <col min="7681" max="7681" width="0.625" style="146" customWidth="1"/>
    <col min="7682" max="7683" width="10.5" style="146" customWidth="1"/>
    <col min="7684" max="7690" width="9.375" style="146" customWidth="1"/>
    <col min="7691" max="7698" width="8.875" style="146" customWidth="1"/>
    <col min="7699" max="7702" width="7.25" style="146"/>
    <col min="7703" max="7705" width="8.125" style="146" bestFit="1" customWidth="1"/>
    <col min="7706" max="7706" width="8.625" style="146" bestFit="1" customWidth="1"/>
    <col min="7707" max="7707" width="9.5" style="146" bestFit="1" customWidth="1"/>
    <col min="7708" max="7708" width="8.625" style="146" bestFit="1" customWidth="1"/>
    <col min="7709" max="7709" width="7.25" style="146"/>
    <col min="7710" max="7710" width="9.5" style="146" bestFit="1" customWidth="1"/>
    <col min="7711" max="7715" width="8.625" style="146" bestFit="1" customWidth="1"/>
    <col min="7716" max="7716" width="7.5" style="146" bestFit="1" customWidth="1"/>
    <col min="7717" max="7717" width="8.625" style="146" bestFit="1" customWidth="1"/>
    <col min="7718" max="7718" width="7.5" style="146" bestFit="1" customWidth="1"/>
    <col min="7719" max="7719" width="8.625" style="146" bestFit="1" customWidth="1"/>
    <col min="7720" max="7936" width="7.25" style="146"/>
    <col min="7937" max="7937" width="0.625" style="146" customWidth="1"/>
    <col min="7938" max="7939" width="10.5" style="146" customWidth="1"/>
    <col min="7940" max="7946" width="9.375" style="146" customWidth="1"/>
    <col min="7947" max="7954" width="8.875" style="146" customWidth="1"/>
    <col min="7955" max="7958" width="7.25" style="146"/>
    <col min="7959" max="7961" width="8.125" style="146" bestFit="1" customWidth="1"/>
    <col min="7962" max="7962" width="8.625" style="146" bestFit="1" customWidth="1"/>
    <col min="7963" max="7963" width="9.5" style="146" bestFit="1" customWidth="1"/>
    <col min="7964" max="7964" width="8.625" style="146" bestFit="1" customWidth="1"/>
    <col min="7965" max="7965" width="7.25" style="146"/>
    <col min="7966" max="7966" width="9.5" style="146" bestFit="1" customWidth="1"/>
    <col min="7967" max="7971" width="8.625" style="146" bestFit="1" customWidth="1"/>
    <col min="7972" max="7972" width="7.5" style="146" bestFit="1" customWidth="1"/>
    <col min="7973" max="7973" width="8.625" style="146" bestFit="1" customWidth="1"/>
    <col min="7974" max="7974" width="7.5" style="146" bestFit="1" customWidth="1"/>
    <col min="7975" max="7975" width="8.625" style="146" bestFit="1" customWidth="1"/>
    <col min="7976" max="8192" width="7.25" style="146"/>
    <col min="8193" max="8193" width="0.625" style="146" customWidth="1"/>
    <col min="8194" max="8195" width="10.5" style="146" customWidth="1"/>
    <col min="8196" max="8202" width="9.375" style="146" customWidth="1"/>
    <col min="8203" max="8210" width="8.875" style="146" customWidth="1"/>
    <col min="8211" max="8214" width="7.25" style="146"/>
    <col min="8215" max="8217" width="8.125" style="146" bestFit="1" customWidth="1"/>
    <col min="8218" max="8218" width="8.625" style="146" bestFit="1" customWidth="1"/>
    <col min="8219" max="8219" width="9.5" style="146" bestFit="1" customWidth="1"/>
    <col min="8220" max="8220" width="8.625" style="146" bestFit="1" customWidth="1"/>
    <col min="8221" max="8221" width="7.25" style="146"/>
    <col min="8222" max="8222" width="9.5" style="146" bestFit="1" customWidth="1"/>
    <col min="8223" max="8227" width="8.625" style="146" bestFit="1" customWidth="1"/>
    <col min="8228" max="8228" width="7.5" style="146" bestFit="1" customWidth="1"/>
    <col min="8229" max="8229" width="8.625" style="146" bestFit="1" customWidth="1"/>
    <col min="8230" max="8230" width="7.5" style="146" bestFit="1" customWidth="1"/>
    <col min="8231" max="8231" width="8.625" style="146" bestFit="1" customWidth="1"/>
    <col min="8232" max="8448" width="7.25" style="146"/>
    <col min="8449" max="8449" width="0.625" style="146" customWidth="1"/>
    <col min="8450" max="8451" width="10.5" style="146" customWidth="1"/>
    <col min="8452" max="8458" width="9.375" style="146" customWidth="1"/>
    <col min="8459" max="8466" width="8.875" style="146" customWidth="1"/>
    <col min="8467" max="8470" width="7.25" style="146"/>
    <col min="8471" max="8473" width="8.125" style="146" bestFit="1" customWidth="1"/>
    <col min="8474" max="8474" width="8.625" style="146" bestFit="1" customWidth="1"/>
    <col min="8475" max="8475" width="9.5" style="146" bestFit="1" customWidth="1"/>
    <col min="8476" max="8476" width="8.625" style="146" bestFit="1" customWidth="1"/>
    <col min="8477" max="8477" width="7.25" style="146"/>
    <col min="8478" max="8478" width="9.5" style="146" bestFit="1" customWidth="1"/>
    <col min="8479" max="8483" width="8.625" style="146" bestFit="1" customWidth="1"/>
    <col min="8484" max="8484" width="7.5" style="146" bestFit="1" customWidth="1"/>
    <col min="8485" max="8485" width="8.625" style="146" bestFit="1" customWidth="1"/>
    <col min="8486" max="8486" width="7.5" style="146" bestFit="1" customWidth="1"/>
    <col min="8487" max="8487" width="8.625" style="146" bestFit="1" customWidth="1"/>
    <col min="8488" max="8704" width="7.25" style="146"/>
    <col min="8705" max="8705" width="0.625" style="146" customWidth="1"/>
    <col min="8706" max="8707" width="10.5" style="146" customWidth="1"/>
    <col min="8708" max="8714" width="9.375" style="146" customWidth="1"/>
    <col min="8715" max="8722" width="8.875" style="146" customWidth="1"/>
    <col min="8723" max="8726" width="7.25" style="146"/>
    <col min="8727" max="8729" width="8.125" style="146" bestFit="1" customWidth="1"/>
    <col min="8730" max="8730" width="8.625" style="146" bestFit="1" customWidth="1"/>
    <col min="8731" max="8731" width="9.5" style="146" bestFit="1" customWidth="1"/>
    <col min="8732" max="8732" width="8.625" style="146" bestFit="1" customWidth="1"/>
    <col min="8733" max="8733" width="7.25" style="146"/>
    <col min="8734" max="8734" width="9.5" style="146" bestFit="1" customWidth="1"/>
    <col min="8735" max="8739" width="8.625" style="146" bestFit="1" customWidth="1"/>
    <col min="8740" max="8740" width="7.5" style="146" bestFit="1" customWidth="1"/>
    <col min="8741" max="8741" width="8.625" style="146" bestFit="1" customWidth="1"/>
    <col min="8742" max="8742" width="7.5" style="146" bestFit="1" customWidth="1"/>
    <col min="8743" max="8743" width="8.625" style="146" bestFit="1" customWidth="1"/>
    <col min="8744" max="8960" width="7.25" style="146"/>
    <col min="8961" max="8961" width="0.625" style="146" customWidth="1"/>
    <col min="8962" max="8963" width="10.5" style="146" customWidth="1"/>
    <col min="8964" max="8970" width="9.375" style="146" customWidth="1"/>
    <col min="8971" max="8978" width="8.875" style="146" customWidth="1"/>
    <col min="8979" max="8982" width="7.25" style="146"/>
    <col min="8983" max="8985" width="8.125" style="146" bestFit="1" customWidth="1"/>
    <col min="8986" max="8986" width="8.625" style="146" bestFit="1" customWidth="1"/>
    <col min="8987" max="8987" width="9.5" style="146" bestFit="1" customWidth="1"/>
    <col min="8988" max="8988" width="8.625" style="146" bestFit="1" customWidth="1"/>
    <col min="8989" max="8989" width="7.25" style="146"/>
    <col min="8990" max="8990" width="9.5" style="146" bestFit="1" customWidth="1"/>
    <col min="8991" max="8995" width="8.625" style="146" bestFit="1" customWidth="1"/>
    <col min="8996" max="8996" width="7.5" style="146" bestFit="1" customWidth="1"/>
    <col min="8997" max="8997" width="8.625" style="146" bestFit="1" customWidth="1"/>
    <col min="8998" max="8998" width="7.5" style="146" bestFit="1" customWidth="1"/>
    <col min="8999" max="8999" width="8.625" style="146" bestFit="1" customWidth="1"/>
    <col min="9000" max="9216" width="7.25" style="146"/>
    <col min="9217" max="9217" width="0.625" style="146" customWidth="1"/>
    <col min="9218" max="9219" width="10.5" style="146" customWidth="1"/>
    <col min="9220" max="9226" width="9.375" style="146" customWidth="1"/>
    <col min="9227" max="9234" width="8.875" style="146" customWidth="1"/>
    <col min="9235" max="9238" width="7.25" style="146"/>
    <col min="9239" max="9241" width="8.125" style="146" bestFit="1" customWidth="1"/>
    <col min="9242" max="9242" width="8.625" style="146" bestFit="1" customWidth="1"/>
    <col min="9243" max="9243" width="9.5" style="146" bestFit="1" customWidth="1"/>
    <col min="9244" max="9244" width="8.625" style="146" bestFit="1" customWidth="1"/>
    <col min="9245" max="9245" width="7.25" style="146"/>
    <col min="9246" max="9246" width="9.5" style="146" bestFit="1" customWidth="1"/>
    <col min="9247" max="9251" width="8.625" style="146" bestFit="1" customWidth="1"/>
    <col min="9252" max="9252" width="7.5" style="146" bestFit="1" customWidth="1"/>
    <col min="9253" max="9253" width="8.625" style="146" bestFit="1" customWidth="1"/>
    <col min="9254" max="9254" width="7.5" style="146" bestFit="1" customWidth="1"/>
    <col min="9255" max="9255" width="8.625" style="146" bestFit="1" customWidth="1"/>
    <col min="9256" max="9472" width="7.25" style="146"/>
    <col min="9473" max="9473" width="0.625" style="146" customWidth="1"/>
    <col min="9474" max="9475" width="10.5" style="146" customWidth="1"/>
    <col min="9476" max="9482" width="9.375" style="146" customWidth="1"/>
    <col min="9483" max="9490" width="8.875" style="146" customWidth="1"/>
    <col min="9491" max="9494" width="7.25" style="146"/>
    <col min="9495" max="9497" width="8.125" style="146" bestFit="1" customWidth="1"/>
    <col min="9498" max="9498" width="8.625" style="146" bestFit="1" customWidth="1"/>
    <col min="9499" max="9499" width="9.5" style="146" bestFit="1" customWidth="1"/>
    <col min="9500" max="9500" width="8.625" style="146" bestFit="1" customWidth="1"/>
    <col min="9501" max="9501" width="7.25" style="146"/>
    <col min="9502" max="9502" width="9.5" style="146" bestFit="1" customWidth="1"/>
    <col min="9503" max="9507" width="8.625" style="146" bestFit="1" customWidth="1"/>
    <col min="9508" max="9508" width="7.5" style="146" bestFit="1" customWidth="1"/>
    <col min="9509" max="9509" width="8.625" style="146" bestFit="1" customWidth="1"/>
    <col min="9510" max="9510" width="7.5" style="146" bestFit="1" customWidth="1"/>
    <col min="9511" max="9511" width="8.625" style="146" bestFit="1" customWidth="1"/>
    <col min="9512" max="9728" width="7.25" style="146"/>
    <col min="9729" max="9729" width="0.625" style="146" customWidth="1"/>
    <col min="9730" max="9731" width="10.5" style="146" customWidth="1"/>
    <col min="9732" max="9738" width="9.375" style="146" customWidth="1"/>
    <col min="9739" max="9746" width="8.875" style="146" customWidth="1"/>
    <col min="9747" max="9750" width="7.25" style="146"/>
    <col min="9751" max="9753" width="8.125" style="146" bestFit="1" customWidth="1"/>
    <col min="9754" max="9754" width="8.625" style="146" bestFit="1" customWidth="1"/>
    <col min="9755" max="9755" width="9.5" style="146" bestFit="1" customWidth="1"/>
    <col min="9756" max="9756" width="8.625" style="146" bestFit="1" customWidth="1"/>
    <col min="9757" max="9757" width="7.25" style="146"/>
    <col min="9758" max="9758" width="9.5" style="146" bestFit="1" customWidth="1"/>
    <col min="9759" max="9763" width="8.625" style="146" bestFit="1" customWidth="1"/>
    <col min="9764" max="9764" width="7.5" style="146" bestFit="1" customWidth="1"/>
    <col min="9765" max="9765" width="8.625" style="146" bestFit="1" customWidth="1"/>
    <col min="9766" max="9766" width="7.5" style="146" bestFit="1" customWidth="1"/>
    <col min="9767" max="9767" width="8.625" style="146" bestFit="1" customWidth="1"/>
    <col min="9768" max="9984" width="7.25" style="146"/>
    <col min="9985" max="9985" width="0.625" style="146" customWidth="1"/>
    <col min="9986" max="9987" width="10.5" style="146" customWidth="1"/>
    <col min="9988" max="9994" width="9.375" style="146" customWidth="1"/>
    <col min="9995" max="10002" width="8.875" style="146" customWidth="1"/>
    <col min="10003" max="10006" width="7.25" style="146"/>
    <col min="10007" max="10009" width="8.125" style="146" bestFit="1" customWidth="1"/>
    <col min="10010" max="10010" width="8.625" style="146" bestFit="1" customWidth="1"/>
    <col min="10011" max="10011" width="9.5" style="146" bestFit="1" customWidth="1"/>
    <col min="10012" max="10012" width="8.625" style="146" bestFit="1" customWidth="1"/>
    <col min="10013" max="10013" width="7.25" style="146"/>
    <col min="10014" max="10014" width="9.5" style="146" bestFit="1" customWidth="1"/>
    <col min="10015" max="10019" width="8.625" style="146" bestFit="1" customWidth="1"/>
    <col min="10020" max="10020" width="7.5" style="146" bestFit="1" customWidth="1"/>
    <col min="10021" max="10021" width="8.625" style="146" bestFit="1" customWidth="1"/>
    <col min="10022" max="10022" width="7.5" style="146" bestFit="1" customWidth="1"/>
    <col min="10023" max="10023" width="8.625" style="146" bestFit="1" customWidth="1"/>
    <col min="10024" max="10240" width="7.25" style="146"/>
    <col min="10241" max="10241" width="0.625" style="146" customWidth="1"/>
    <col min="10242" max="10243" width="10.5" style="146" customWidth="1"/>
    <col min="10244" max="10250" width="9.375" style="146" customWidth="1"/>
    <col min="10251" max="10258" width="8.875" style="146" customWidth="1"/>
    <col min="10259" max="10262" width="7.25" style="146"/>
    <col min="10263" max="10265" width="8.125" style="146" bestFit="1" customWidth="1"/>
    <col min="10266" max="10266" width="8.625" style="146" bestFit="1" customWidth="1"/>
    <col min="10267" max="10267" width="9.5" style="146" bestFit="1" customWidth="1"/>
    <col min="10268" max="10268" width="8.625" style="146" bestFit="1" customWidth="1"/>
    <col min="10269" max="10269" width="7.25" style="146"/>
    <col min="10270" max="10270" width="9.5" style="146" bestFit="1" customWidth="1"/>
    <col min="10271" max="10275" width="8.625" style="146" bestFit="1" customWidth="1"/>
    <col min="10276" max="10276" width="7.5" style="146" bestFit="1" customWidth="1"/>
    <col min="10277" max="10277" width="8.625" style="146" bestFit="1" customWidth="1"/>
    <col min="10278" max="10278" width="7.5" style="146" bestFit="1" customWidth="1"/>
    <col min="10279" max="10279" width="8.625" style="146" bestFit="1" customWidth="1"/>
    <col min="10280" max="10496" width="7.25" style="146"/>
    <col min="10497" max="10497" width="0.625" style="146" customWidth="1"/>
    <col min="10498" max="10499" width="10.5" style="146" customWidth="1"/>
    <col min="10500" max="10506" width="9.375" style="146" customWidth="1"/>
    <col min="10507" max="10514" width="8.875" style="146" customWidth="1"/>
    <col min="10515" max="10518" width="7.25" style="146"/>
    <col min="10519" max="10521" width="8.125" style="146" bestFit="1" customWidth="1"/>
    <col min="10522" max="10522" width="8.625" style="146" bestFit="1" customWidth="1"/>
    <col min="10523" max="10523" width="9.5" style="146" bestFit="1" customWidth="1"/>
    <col min="10524" max="10524" width="8.625" style="146" bestFit="1" customWidth="1"/>
    <col min="10525" max="10525" width="7.25" style="146"/>
    <col min="10526" max="10526" width="9.5" style="146" bestFit="1" customWidth="1"/>
    <col min="10527" max="10531" width="8.625" style="146" bestFit="1" customWidth="1"/>
    <col min="10532" max="10532" width="7.5" style="146" bestFit="1" customWidth="1"/>
    <col min="10533" max="10533" width="8.625" style="146" bestFit="1" customWidth="1"/>
    <col min="10534" max="10534" width="7.5" style="146" bestFit="1" customWidth="1"/>
    <col min="10535" max="10535" width="8.625" style="146" bestFit="1" customWidth="1"/>
    <col min="10536" max="10752" width="7.25" style="146"/>
    <col min="10753" max="10753" width="0.625" style="146" customWidth="1"/>
    <col min="10754" max="10755" width="10.5" style="146" customWidth="1"/>
    <col min="10756" max="10762" width="9.375" style="146" customWidth="1"/>
    <col min="10763" max="10770" width="8.875" style="146" customWidth="1"/>
    <col min="10771" max="10774" width="7.25" style="146"/>
    <col min="10775" max="10777" width="8.125" style="146" bestFit="1" customWidth="1"/>
    <col min="10778" max="10778" width="8.625" style="146" bestFit="1" customWidth="1"/>
    <col min="10779" max="10779" width="9.5" style="146" bestFit="1" customWidth="1"/>
    <col min="10780" max="10780" width="8.625" style="146" bestFit="1" customWidth="1"/>
    <col min="10781" max="10781" width="7.25" style="146"/>
    <col min="10782" max="10782" width="9.5" style="146" bestFit="1" customWidth="1"/>
    <col min="10783" max="10787" width="8.625" style="146" bestFit="1" customWidth="1"/>
    <col min="10788" max="10788" width="7.5" style="146" bestFit="1" customWidth="1"/>
    <col min="10789" max="10789" width="8.625" style="146" bestFit="1" customWidth="1"/>
    <col min="10790" max="10790" width="7.5" style="146" bestFit="1" customWidth="1"/>
    <col min="10791" max="10791" width="8.625" style="146" bestFit="1" customWidth="1"/>
    <col min="10792" max="11008" width="7.25" style="146"/>
    <col min="11009" max="11009" width="0.625" style="146" customWidth="1"/>
    <col min="11010" max="11011" width="10.5" style="146" customWidth="1"/>
    <col min="11012" max="11018" width="9.375" style="146" customWidth="1"/>
    <col min="11019" max="11026" width="8.875" style="146" customWidth="1"/>
    <col min="11027" max="11030" width="7.25" style="146"/>
    <col min="11031" max="11033" width="8.125" style="146" bestFit="1" customWidth="1"/>
    <col min="11034" max="11034" width="8.625" style="146" bestFit="1" customWidth="1"/>
    <col min="11035" max="11035" width="9.5" style="146" bestFit="1" customWidth="1"/>
    <col min="11036" max="11036" width="8.625" style="146" bestFit="1" customWidth="1"/>
    <col min="11037" max="11037" width="7.25" style="146"/>
    <col min="11038" max="11038" width="9.5" style="146" bestFit="1" customWidth="1"/>
    <col min="11039" max="11043" width="8.625" style="146" bestFit="1" customWidth="1"/>
    <col min="11044" max="11044" width="7.5" style="146" bestFit="1" customWidth="1"/>
    <col min="11045" max="11045" width="8.625" style="146" bestFit="1" customWidth="1"/>
    <col min="11046" max="11046" width="7.5" style="146" bestFit="1" customWidth="1"/>
    <col min="11047" max="11047" width="8.625" style="146" bestFit="1" customWidth="1"/>
    <col min="11048" max="11264" width="7.25" style="146"/>
    <col min="11265" max="11265" width="0.625" style="146" customWidth="1"/>
    <col min="11266" max="11267" width="10.5" style="146" customWidth="1"/>
    <col min="11268" max="11274" width="9.375" style="146" customWidth="1"/>
    <col min="11275" max="11282" width="8.875" style="146" customWidth="1"/>
    <col min="11283" max="11286" width="7.25" style="146"/>
    <col min="11287" max="11289" width="8.125" style="146" bestFit="1" customWidth="1"/>
    <col min="11290" max="11290" width="8.625" style="146" bestFit="1" customWidth="1"/>
    <col min="11291" max="11291" width="9.5" style="146" bestFit="1" customWidth="1"/>
    <col min="11292" max="11292" width="8.625" style="146" bestFit="1" customWidth="1"/>
    <col min="11293" max="11293" width="7.25" style="146"/>
    <col min="11294" max="11294" width="9.5" style="146" bestFit="1" customWidth="1"/>
    <col min="11295" max="11299" width="8.625" style="146" bestFit="1" customWidth="1"/>
    <col min="11300" max="11300" width="7.5" style="146" bestFit="1" customWidth="1"/>
    <col min="11301" max="11301" width="8.625" style="146" bestFit="1" customWidth="1"/>
    <col min="11302" max="11302" width="7.5" style="146" bestFit="1" customWidth="1"/>
    <col min="11303" max="11303" width="8.625" style="146" bestFit="1" customWidth="1"/>
    <col min="11304" max="11520" width="7.25" style="146"/>
    <col min="11521" max="11521" width="0.625" style="146" customWidth="1"/>
    <col min="11522" max="11523" width="10.5" style="146" customWidth="1"/>
    <col min="11524" max="11530" width="9.375" style="146" customWidth="1"/>
    <col min="11531" max="11538" width="8.875" style="146" customWidth="1"/>
    <col min="11539" max="11542" width="7.25" style="146"/>
    <col min="11543" max="11545" width="8.125" style="146" bestFit="1" customWidth="1"/>
    <col min="11546" max="11546" width="8.625" style="146" bestFit="1" customWidth="1"/>
    <col min="11547" max="11547" width="9.5" style="146" bestFit="1" customWidth="1"/>
    <col min="11548" max="11548" width="8.625" style="146" bestFit="1" customWidth="1"/>
    <col min="11549" max="11549" width="7.25" style="146"/>
    <col min="11550" max="11550" width="9.5" style="146" bestFit="1" customWidth="1"/>
    <col min="11551" max="11555" width="8.625" style="146" bestFit="1" customWidth="1"/>
    <col min="11556" max="11556" width="7.5" style="146" bestFit="1" customWidth="1"/>
    <col min="11557" max="11557" width="8.625" style="146" bestFit="1" customWidth="1"/>
    <col min="11558" max="11558" width="7.5" style="146" bestFit="1" customWidth="1"/>
    <col min="11559" max="11559" width="8.625" style="146" bestFit="1" customWidth="1"/>
    <col min="11560" max="11776" width="7.25" style="146"/>
    <col min="11777" max="11777" width="0.625" style="146" customWidth="1"/>
    <col min="11778" max="11779" width="10.5" style="146" customWidth="1"/>
    <col min="11780" max="11786" width="9.375" style="146" customWidth="1"/>
    <col min="11787" max="11794" width="8.875" style="146" customWidth="1"/>
    <col min="11795" max="11798" width="7.25" style="146"/>
    <col min="11799" max="11801" width="8.125" style="146" bestFit="1" customWidth="1"/>
    <col min="11802" max="11802" width="8.625" style="146" bestFit="1" customWidth="1"/>
    <col min="11803" max="11803" width="9.5" style="146" bestFit="1" customWidth="1"/>
    <col min="11804" max="11804" width="8.625" style="146" bestFit="1" customWidth="1"/>
    <col min="11805" max="11805" width="7.25" style="146"/>
    <col min="11806" max="11806" width="9.5" style="146" bestFit="1" customWidth="1"/>
    <col min="11807" max="11811" width="8.625" style="146" bestFit="1" customWidth="1"/>
    <col min="11812" max="11812" width="7.5" style="146" bestFit="1" customWidth="1"/>
    <col min="11813" max="11813" width="8.625" style="146" bestFit="1" customWidth="1"/>
    <col min="11814" max="11814" width="7.5" style="146" bestFit="1" customWidth="1"/>
    <col min="11815" max="11815" width="8.625" style="146" bestFit="1" customWidth="1"/>
    <col min="11816" max="12032" width="7.25" style="146"/>
    <col min="12033" max="12033" width="0.625" style="146" customWidth="1"/>
    <col min="12034" max="12035" width="10.5" style="146" customWidth="1"/>
    <col min="12036" max="12042" width="9.375" style="146" customWidth="1"/>
    <col min="12043" max="12050" width="8.875" style="146" customWidth="1"/>
    <col min="12051" max="12054" width="7.25" style="146"/>
    <col min="12055" max="12057" width="8.125" style="146" bestFit="1" customWidth="1"/>
    <col min="12058" max="12058" width="8.625" style="146" bestFit="1" customWidth="1"/>
    <col min="12059" max="12059" width="9.5" style="146" bestFit="1" customWidth="1"/>
    <col min="12060" max="12060" width="8.625" style="146" bestFit="1" customWidth="1"/>
    <col min="12061" max="12061" width="7.25" style="146"/>
    <col min="12062" max="12062" width="9.5" style="146" bestFit="1" customWidth="1"/>
    <col min="12063" max="12067" width="8.625" style="146" bestFit="1" customWidth="1"/>
    <col min="12068" max="12068" width="7.5" style="146" bestFit="1" customWidth="1"/>
    <col min="12069" max="12069" width="8.625" style="146" bestFit="1" customWidth="1"/>
    <col min="12070" max="12070" width="7.5" style="146" bestFit="1" customWidth="1"/>
    <col min="12071" max="12071" width="8.625" style="146" bestFit="1" customWidth="1"/>
    <col min="12072" max="12288" width="7.25" style="146"/>
    <col min="12289" max="12289" width="0.625" style="146" customWidth="1"/>
    <col min="12290" max="12291" width="10.5" style="146" customWidth="1"/>
    <col min="12292" max="12298" width="9.375" style="146" customWidth="1"/>
    <col min="12299" max="12306" width="8.875" style="146" customWidth="1"/>
    <col min="12307" max="12310" width="7.25" style="146"/>
    <col min="12311" max="12313" width="8.125" style="146" bestFit="1" customWidth="1"/>
    <col min="12314" max="12314" width="8.625" style="146" bestFit="1" customWidth="1"/>
    <col min="12315" max="12315" width="9.5" style="146" bestFit="1" customWidth="1"/>
    <col min="12316" max="12316" width="8.625" style="146" bestFit="1" customWidth="1"/>
    <col min="12317" max="12317" width="7.25" style="146"/>
    <col min="12318" max="12318" width="9.5" style="146" bestFit="1" customWidth="1"/>
    <col min="12319" max="12323" width="8.625" style="146" bestFit="1" customWidth="1"/>
    <col min="12324" max="12324" width="7.5" style="146" bestFit="1" customWidth="1"/>
    <col min="12325" max="12325" width="8.625" style="146" bestFit="1" customWidth="1"/>
    <col min="12326" max="12326" width="7.5" style="146" bestFit="1" customWidth="1"/>
    <col min="12327" max="12327" width="8.625" style="146" bestFit="1" customWidth="1"/>
    <col min="12328" max="12544" width="7.25" style="146"/>
    <col min="12545" max="12545" width="0.625" style="146" customWidth="1"/>
    <col min="12546" max="12547" width="10.5" style="146" customWidth="1"/>
    <col min="12548" max="12554" width="9.375" style="146" customWidth="1"/>
    <col min="12555" max="12562" width="8.875" style="146" customWidth="1"/>
    <col min="12563" max="12566" width="7.25" style="146"/>
    <col min="12567" max="12569" width="8.125" style="146" bestFit="1" customWidth="1"/>
    <col min="12570" max="12570" width="8.625" style="146" bestFit="1" customWidth="1"/>
    <col min="12571" max="12571" width="9.5" style="146" bestFit="1" customWidth="1"/>
    <col min="12572" max="12572" width="8.625" style="146" bestFit="1" customWidth="1"/>
    <col min="12573" max="12573" width="7.25" style="146"/>
    <col min="12574" max="12574" width="9.5" style="146" bestFit="1" customWidth="1"/>
    <col min="12575" max="12579" width="8.625" style="146" bestFit="1" customWidth="1"/>
    <col min="12580" max="12580" width="7.5" style="146" bestFit="1" customWidth="1"/>
    <col min="12581" max="12581" width="8.625" style="146" bestFit="1" customWidth="1"/>
    <col min="12582" max="12582" width="7.5" style="146" bestFit="1" customWidth="1"/>
    <col min="12583" max="12583" width="8.625" style="146" bestFit="1" customWidth="1"/>
    <col min="12584" max="12800" width="7.25" style="146"/>
    <col min="12801" max="12801" width="0.625" style="146" customWidth="1"/>
    <col min="12802" max="12803" width="10.5" style="146" customWidth="1"/>
    <col min="12804" max="12810" width="9.375" style="146" customWidth="1"/>
    <col min="12811" max="12818" width="8.875" style="146" customWidth="1"/>
    <col min="12819" max="12822" width="7.25" style="146"/>
    <col min="12823" max="12825" width="8.125" style="146" bestFit="1" customWidth="1"/>
    <col min="12826" max="12826" width="8.625" style="146" bestFit="1" customWidth="1"/>
    <col min="12827" max="12827" width="9.5" style="146" bestFit="1" customWidth="1"/>
    <col min="12828" max="12828" width="8.625" style="146" bestFit="1" customWidth="1"/>
    <col min="12829" max="12829" width="7.25" style="146"/>
    <col min="12830" max="12830" width="9.5" style="146" bestFit="1" customWidth="1"/>
    <col min="12831" max="12835" width="8.625" style="146" bestFit="1" customWidth="1"/>
    <col min="12836" max="12836" width="7.5" style="146" bestFit="1" customWidth="1"/>
    <col min="12837" max="12837" width="8.625" style="146" bestFit="1" customWidth="1"/>
    <col min="12838" max="12838" width="7.5" style="146" bestFit="1" customWidth="1"/>
    <col min="12839" max="12839" width="8.625" style="146" bestFit="1" customWidth="1"/>
    <col min="12840" max="13056" width="7.25" style="146"/>
    <col min="13057" max="13057" width="0.625" style="146" customWidth="1"/>
    <col min="13058" max="13059" width="10.5" style="146" customWidth="1"/>
    <col min="13060" max="13066" width="9.375" style="146" customWidth="1"/>
    <col min="13067" max="13074" width="8.875" style="146" customWidth="1"/>
    <col min="13075" max="13078" width="7.25" style="146"/>
    <col min="13079" max="13081" width="8.125" style="146" bestFit="1" customWidth="1"/>
    <col min="13082" max="13082" width="8.625" style="146" bestFit="1" customWidth="1"/>
    <col min="13083" max="13083" width="9.5" style="146" bestFit="1" customWidth="1"/>
    <col min="13084" max="13084" width="8.625" style="146" bestFit="1" customWidth="1"/>
    <col min="13085" max="13085" width="7.25" style="146"/>
    <col min="13086" max="13086" width="9.5" style="146" bestFit="1" customWidth="1"/>
    <col min="13087" max="13091" width="8.625" style="146" bestFit="1" customWidth="1"/>
    <col min="13092" max="13092" width="7.5" style="146" bestFit="1" customWidth="1"/>
    <col min="13093" max="13093" width="8.625" style="146" bestFit="1" customWidth="1"/>
    <col min="13094" max="13094" width="7.5" style="146" bestFit="1" customWidth="1"/>
    <col min="13095" max="13095" width="8.625" style="146" bestFit="1" customWidth="1"/>
    <col min="13096" max="13312" width="7.25" style="146"/>
    <col min="13313" max="13313" width="0.625" style="146" customWidth="1"/>
    <col min="13314" max="13315" width="10.5" style="146" customWidth="1"/>
    <col min="13316" max="13322" width="9.375" style="146" customWidth="1"/>
    <col min="13323" max="13330" width="8.875" style="146" customWidth="1"/>
    <col min="13331" max="13334" width="7.25" style="146"/>
    <col min="13335" max="13337" width="8.125" style="146" bestFit="1" customWidth="1"/>
    <col min="13338" max="13338" width="8.625" style="146" bestFit="1" customWidth="1"/>
    <col min="13339" max="13339" width="9.5" style="146" bestFit="1" customWidth="1"/>
    <col min="13340" max="13340" width="8.625" style="146" bestFit="1" customWidth="1"/>
    <col min="13341" max="13341" width="7.25" style="146"/>
    <col min="13342" max="13342" width="9.5" style="146" bestFit="1" customWidth="1"/>
    <col min="13343" max="13347" width="8.625" style="146" bestFit="1" customWidth="1"/>
    <col min="13348" max="13348" width="7.5" style="146" bestFit="1" customWidth="1"/>
    <col min="13349" max="13349" width="8.625" style="146" bestFit="1" customWidth="1"/>
    <col min="13350" max="13350" width="7.5" style="146" bestFit="1" customWidth="1"/>
    <col min="13351" max="13351" width="8.625" style="146" bestFit="1" customWidth="1"/>
    <col min="13352" max="13568" width="7.25" style="146"/>
    <col min="13569" max="13569" width="0.625" style="146" customWidth="1"/>
    <col min="13570" max="13571" width="10.5" style="146" customWidth="1"/>
    <col min="13572" max="13578" width="9.375" style="146" customWidth="1"/>
    <col min="13579" max="13586" width="8.875" style="146" customWidth="1"/>
    <col min="13587" max="13590" width="7.25" style="146"/>
    <col min="13591" max="13593" width="8.125" style="146" bestFit="1" customWidth="1"/>
    <col min="13594" max="13594" width="8.625" style="146" bestFit="1" customWidth="1"/>
    <col min="13595" max="13595" width="9.5" style="146" bestFit="1" customWidth="1"/>
    <col min="13596" max="13596" width="8.625" style="146" bestFit="1" customWidth="1"/>
    <col min="13597" max="13597" width="7.25" style="146"/>
    <col min="13598" max="13598" width="9.5" style="146" bestFit="1" customWidth="1"/>
    <col min="13599" max="13603" width="8.625" style="146" bestFit="1" customWidth="1"/>
    <col min="13604" max="13604" width="7.5" style="146" bestFit="1" customWidth="1"/>
    <col min="13605" max="13605" width="8.625" style="146" bestFit="1" customWidth="1"/>
    <col min="13606" max="13606" width="7.5" style="146" bestFit="1" customWidth="1"/>
    <col min="13607" max="13607" width="8.625" style="146" bestFit="1" customWidth="1"/>
    <col min="13608" max="13824" width="7.25" style="146"/>
    <col min="13825" max="13825" width="0.625" style="146" customWidth="1"/>
    <col min="13826" max="13827" width="10.5" style="146" customWidth="1"/>
    <col min="13828" max="13834" width="9.375" style="146" customWidth="1"/>
    <col min="13835" max="13842" width="8.875" style="146" customWidth="1"/>
    <col min="13843" max="13846" width="7.25" style="146"/>
    <col min="13847" max="13849" width="8.125" style="146" bestFit="1" customWidth="1"/>
    <col min="13850" max="13850" width="8.625" style="146" bestFit="1" customWidth="1"/>
    <col min="13851" max="13851" width="9.5" style="146" bestFit="1" customWidth="1"/>
    <col min="13852" max="13852" width="8.625" style="146" bestFit="1" customWidth="1"/>
    <col min="13853" max="13853" width="7.25" style="146"/>
    <col min="13854" max="13854" width="9.5" style="146" bestFit="1" customWidth="1"/>
    <col min="13855" max="13859" width="8.625" style="146" bestFit="1" customWidth="1"/>
    <col min="13860" max="13860" width="7.5" style="146" bestFit="1" customWidth="1"/>
    <col min="13861" max="13861" width="8.625" style="146" bestFit="1" customWidth="1"/>
    <col min="13862" max="13862" width="7.5" style="146" bestFit="1" customWidth="1"/>
    <col min="13863" max="13863" width="8.625" style="146" bestFit="1" customWidth="1"/>
    <col min="13864" max="14080" width="7.25" style="146"/>
    <col min="14081" max="14081" width="0.625" style="146" customWidth="1"/>
    <col min="14082" max="14083" width="10.5" style="146" customWidth="1"/>
    <col min="14084" max="14090" width="9.375" style="146" customWidth="1"/>
    <col min="14091" max="14098" width="8.875" style="146" customWidth="1"/>
    <col min="14099" max="14102" width="7.25" style="146"/>
    <col min="14103" max="14105" width="8.125" style="146" bestFit="1" customWidth="1"/>
    <col min="14106" max="14106" width="8.625" style="146" bestFit="1" customWidth="1"/>
    <col min="14107" max="14107" width="9.5" style="146" bestFit="1" customWidth="1"/>
    <col min="14108" max="14108" width="8.625" style="146" bestFit="1" customWidth="1"/>
    <col min="14109" max="14109" width="7.25" style="146"/>
    <col min="14110" max="14110" width="9.5" style="146" bestFit="1" customWidth="1"/>
    <col min="14111" max="14115" width="8.625" style="146" bestFit="1" customWidth="1"/>
    <col min="14116" max="14116" width="7.5" style="146" bestFit="1" customWidth="1"/>
    <col min="14117" max="14117" width="8.625" style="146" bestFit="1" customWidth="1"/>
    <col min="14118" max="14118" width="7.5" style="146" bestFit="1" customWidth="1"/>
    <col min="14119" max="14119" width="8.625" style="146" bestFit="1" customWidth="1"/>
    <col min="14120" max="14336" width="7.25" style="146"/>
    <col min="14337" max="14337" width="0.625" style="146" customWidth="1"/>
    <col min="14338" max="14339" width="10.5" style="146" customWidth="1"/>
    <col min="14340" max="14346" width="9.375" style="146" customWidth="1"/>
    <col min="14347" max="14354" width="8.875" style="146" customWidth="1"/>
    <col min="14355" max="14358" width="7.25" style="146"/>
    <col min="14359" max="14361" width="8.125" style="146" bestFit="1" customWidth="1"/>
    <col min="14362" max="14362" width="8.625" style="146" bestFit="1" customWidth="1"/>
    <col min="14363" max="14363" width="9.5" style="146" bestFit="1" customWidth="1"/>
    <col min="14364" max="14364" width="8.625" style="146" bestFit="1" customWidth="1"/>
    <col min="14365" max="14365" width="7.25" style="146"/>
    <col min="14366" max="14366" width="9.5" style="146" bestFit="1" customWidth="1"/>
    <col min="14367" max="14371" width="8.625" style="146" bestFit="1" customWidth="1"/>
    <col min="14372" max="14372" width="7.5" style="146" bestFit="1" customWidth="1"/>
    <col min="14373" max="14373" width="8.625" style="146" bestFit="1" customWidth="1"/>
    <col min="14374" max="14374" width="7.5" style="146" bestFit="1" customWidth="1"/>
    <col min="14375" max="14375" width="8.625" style="146" bestFit="1" customWidth="1"/>
    <col min="14376" max="14592" width="7.25" style="146"/>
    <col min="14593" max="14593" width="0.625" style="146" customWidth="1"/>
    <col min="14594" max="14595" width="10.5" style="146" customWidth="1"/>
    <col min="14596" max="14602" width="9.375" style="146" customWidth="1"/>
    <col min="14603" max="14610" width="8.875" style="146" customWidth="1"/>
    <col min="14611" max="14614" width="7.25" style="146"/>
    <col min="14615" max="14617" width="8.125" style="146" bestFit="1" customWidth="1"/>
    <col min="14618" max="14618" width="8.625" style="146" bestFit="1" customWidth="1"/>
    <col min="14619" max="14619" width="9.5" style="146" bestFit="1" customWidth="1"/>
    <col min="14620" max="14620" width="8.625" style="146" bestFit="1" customWidth="1"/>
    <col min="14621" max="14621" width="7.25" style="146"/>
    <col min="14622" max="14622" width="9.5" style="146" bestFit="1" customWidth="1"/>
    <col min="14623" max="14627" width="8.625" style="146" bestFit="1" customWidth="1"/>
    <col min="14628" max="14628" width="7.5" style="146" bestFit="1" customWidth="1"/>
    <col min="14629" max="14629" width="8.625" style="146" bestFit="1" customWidth="1"/>
    <col min="14630" max="14630" width="7.5" style="146" bestFit="1" customWidth="1"/>
    <col min="14631" max="14631" width="8.625" style="146" bestFit="1" customWidth="1"/>
    <col min="14632" max="14848" width="7.25" style="146"/>
    <col min="14849" max="14849" width="0.625" style="146" customWidth="1"/>
    <col min="14850" max="14851" width="10.5" style="146" customWidth="1"/>
    <col min="14852" max="14858" width="9.375" style="146" customWidth="1"/>
    <col min="14859" max="14866" width="8.875" style="146" customWidth="1"/>
    <col min="14867" max="14870" width="7.25" style="146"/>
    <col min="14871" max="14873" width="8.125" style="146" bestFit="1" customWidth="1"/>
    <col min="14874" max="14874" width="8.625" style="146" bestFit="1" customWidth="1"/>
    <col min="14875" max="14875" width="9.5" style="146" bestFit="1" customWidth="1"/>
    <col min="14876" max="14876" width="8.625" style="146" bestFit="1" customWidth="1"/>
    <col min="14877" max="14877" width="7.25" style="146"/>
    <col min="14878" max="14878" width="9.5" style="146" bestFit="1" customWidth="1"/>
    <col min="14879" max="14883" width="8.625" style="146" bestFit="1" customWidth="1"/>
    <col min="14884" max="14884" width="7.5" style="146" bestFit="1" customWidth="1"/>
    <col min="14885" max="14885" width="8.625" style="146" bestFit="1" customWidth="1"/>
    <col min="14886" max="14886" width="7.5" style="146" bestFit="1" customWidth="1"/>
    <col min="14887" max="14887" width="8.625" style="146" bestFit="1" customWidth="1"/>
    <col min="14888" max="15104" width="7.25" style="146"/>
    <col min="15105" max="15105" width="0.625" style="146" customWidth="1"/>
    <col min="15106" max="15107" width="10.5" style="146" customWidth="1"/>
    <col min="15108" max="15114" width="9.375" style="146" customWidth="1"/>
    <col min="15115" max="15122" width="8.875" style="146" customWidth="1"/>
    <col min="15123" max="15126" width="7.25" style="146"/>
    <col min="15127" max="15129" width="8.125" style="146" bestFit="1" customWidth="1"/>
    <col min="15130" max="15130" width="8.625" style="146" bestFit="1" customWidth="1"/>
    <col min="15131" max="15131" width="9.5" style="146" bestFit="1" customWidth="1"/>
    <col min="15132" max="15132" width="8.625" style="146" bestFit="1" customWidth="1"/>
    <col min="15133" max="15133" width="7.25" style="146"/>
    <col min="15134" max="15134" width="9.5" style="146" bestFit="1" customWidth="1"/>
    <col min="15135" max="15139" width="8.625" style="146" bestFit="1" customWidth="1"/>
    <col min="15140" max="15140" width="7.5" style="146" bestFit="1" customWidth="1"/>
    <col min="15141" max="15141" width="8.625" style="146" bestFit="1" customWidth="1"/>
    <col min="15142" max="15142" width="7.5" style="146" bestFit="1" customWidth="1"/>
    <col min="15143" max="15143" width="8.625" style="146" bestFit="1" customWidth="1"/>
    <col min="15144" max="15360" width="7.25" style="146"/>
    <col min="15361" max="15361" width="0.625" style="146" customWidth="1"/>
    <col min="15362" max="15363" width="10.5" style="146" customWidth="1"/>
    <col min="15364" max="15370" width="9.375" style="146" customWidth="1"/>
    <col min="15371" max="15378" width="8.875" style="146" customWidth="1"/>
    <col min="15379" max="15382" width="7.25" style="146"/>
    <col min="15383" max="15385" width="8.125" style="146" bestFit="1" customWidth="1"/>
    <col min="15386" max="15386" width="8.625" style="146" bestFit="1" customWidth="1"/>
    <col min="15387" max="15387" width="9.5" style="146" bestFit="1" customWidth="1"/>
    <col min="15388" max="15388" width="8.625" style="146" bestFit="1" customWidth="1"/>
    <col min="15389" max="15389" width="7.25" style="146"/>
    <col min="15390" max="15390" width="9.5" style="146" bestFit="1" customWidth="1"/>
    <col min="15391" max="15395" width="8.625" style="146" bestFit="1" customWidth="1"/>
    <col min="15396" max="15396" width="7.5" style="146" bestFit="1" customWidth="1"/>
    <col min="15397" max="15397" width="8.625" style="146" bestFit="1" customWidth="1"/>
    <col min="15398" max="15398" width="7.5" style="146" bestFit="1" customWidth="1"/>
    <col min="15399" max="15399" width="8.625" style="146" bestFit="1" customWidth="1"/>
    <col min="15400" max="15616" width="7.25" style="146"/>
    <col min="15617" max="15617" width="0.625" style="146" customWidth="1"/>
    <col min="15618" max="15619" width="10.5" style="146" customWidth="1"/>
    <col min="15620" max="15626" width="9.375" style="146" customWidth="1"/>
    <col min="15627" max="15634" width="8.875" style="146" customWidth="1"/>
    <col min="15635" max="15638" width="7.25" style="146"/>
    <col min="15639" max="15641" width="8.125" style="146" bestFit="1" customWidth="1"/>
    <col min="15642" max="15642" width="8.625" style="146" bestFit="1" customWidth="1"/>
    <col min="15643" max="15643" width="9.5" style="146" bestFit="1" customWidth="1"/>
    <col min="15644" max="15644" width="8.625" style="146" bestFit="1" customWidth="1"/>
    <col min="15645" max="15645" width="7.25" style="146"/>
    <col min="15646" max="15646" width="9.5" style="146" bestFit="1" customWidth="1"/>
    <col min="15647" max="15651" width="8.625" style="146" bestFit="1" customWidth="1"/>
    <col min="15652" max="15652" width="7.5" style="146" bestFit="1" customWidth="1"/>
    <col min="15653" max="15653" width="8.625" style="146" bestFit="1" customWidth="1"/>
    <col min="15654" max="15654" width="7.5" style="146" bestFit="1" customWidth="1"/>
    <col min="15655" max="15655" width="8.625" style="146" bestFit="1" customWidth="1"/>
    <col min="15656" max="15872" width="7.25" style="146"/>
    <col min="15873" max="15873" width="0.625" style="146" customWidth="1"/>
    <col min="15874" max="15875" width="10.5" style="146" customWidth="1"/>
    <col min="15876" max="15882" width="9.375" style="146" customWidth="1"/>
    <col min="15883" max="15890" width="8.875" style="146" customWidth="1"/>
    <col min="15891" max="15894" width="7.25" style="146"/>
    <col min="15895" max="15897" width="8.125" style="146" bestFit="1" customWidth="1"/>
    <col min="15898" max="15898" width="8.625" style="146" bestFit="1" customWidth="1"/>
    <col min="15899" max="15899" width="9.5" style="146" bestFit="1" customWidth="1"/>
    <col min="15900" max="15900" width="8.625" style="146" bestFit="1" customWidth="1"/>
    <col min="15901" max="15901" width="7.25" style="146"/>
    <col min="15902" max="15902" width="9.5" style="146" bestFit="1" customWidth="1"/>
    <col min="15903" max="15907" width="8.625" style="146" bestFit="1" customWidth="1"/>
    <col min="15908" max="15908" width="7.5" style="146" bestFit="1" customWidth="1"/>
    <col min="15909" max="15909" width="8.625" style="146" bestFit="1" customWidth="1"/>
    <col min="15910" max="15910" width="7.5" style="146" bestFit="1" customWidth="1"/>
    <col min="15911" max="15911" width="8.625" style="146" bestFit="1" customWidth="1"/>
    <col min="15912" max="16128" width="7.25" style="146"/>
    <col min="16129" max="16129" width="0.625" style="146" customWidth="1"/>
    <col min="16130" max="16131" width="10.5" style="146" customWidth="1"/>
    <col min="16132" max="16138" width="9.375" style="146" customWidth="1"/>
    <col min="16139" max="16146" width="8.875" style="146" customWidth="1"/>
    <col min="16147" max="16150" width="7.25" style="146"/>
    <col min="16151" max="16153" width="8.125" style="146" bestFit="1" customWidth="1"/>
    <col min="16154" max="16154" width="8.625" style="146" bestFit="1" customWidth="1"/>
    <col min="16155" max="16155" width="9.5" style="146" bestFit="1" customWidth="1"/>
    <col min="16156" max="16156" width="8.625" style="146" bestFit="1" customWidth="1"/>
    <col min="16157" max="16157" width="7.25" style="146"/>
    <col min="16158" max="16158" width="9.5" style="146" bestFit="1" customWidth="1"/>
    <col min="16159" max="16163" width="8.625" style="146" bestFit="1" customWidth="1"/>
    <col min="16164" max="16164" width="7.5" style="146" bestFit="1" customWidth="1"/>
    <col min="16165" max="16165" width="8.625" style="146" bestFit="1" customWidth="1"/>
    <col min="16166" max="16166" width="7.5" style="146" bestFit="1" customWidth="1"/>
    <col min="16167" max="16167" width="8.625" style="146" bestFit="1" customWidth="1"/>
    <col min="16168" max="16384" width="7.25" style="146"/>
  </cols>
  <sheetData>
    <row r="1" spans="1:256" s="115" customFormat="1" ht="30" customHeight="1" thickBot="1">
      <c r="A1" s="325"/>
      <c r="B1" s="1140" t="s">
        <v>1726</v>
      </c>
      <c r="C1" s="1140"/>
      <c r="D1" s="1140"/>
      <c r="E1" s="1140"/>
      <c r="F1" s="1140"/>
      <c r="G1" s="1140"/>
      <c r="H1" s="1140"/>
      <c r="I1" s="1140"/>
      <c r="J1" s="1140"/>
      <c r="K1" s="1140"/>
      <c r="L1" s="1140"/>
      <c r="M1" s="1140"/>
      <c r="N1" s="1140"/>
      <c r="O1" s="1140"/>
      <c r="P1" s="1140"/>
      <c r="Q1" s="1140"/>
      <c r="R1" s="1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c r="HO1" s="140"/>
      <c r="HP1" s="140"/>
      <c r="HQ1" s="140"/>
      <c r="HR1" s="140"/>
      <c r="HS1" s="140"/>
      <c r="HT1" s="140"/>
      <c r="HU1" s="140"/>
      <c r="HV1" s="140"/>
      <c r="HW1" s="140"/>
      <c r="HX1" s="140"/>
      <c r="HY1" s="140"/>
      <c r="HZ1" s="140"/>
      <c r="IA1" s="140"/>
      <c r="IB1" s="140"/>
      <c r="IC1" s="140"/>
      <c r="ID1" s="140"/>
      <c r="IE1" s="140"/>
      <c r="IF1" s="140"/>
      <c r="IG1" s="140"/>
      <c r="IH1" s="140"/>
      <c r="II1" s="140"/>
      <c r="IJ1" s="140"/>
      <c r="IK1" s="140"/>
      <c r="IL1" s="140"/>
      <c r="IM1" s="140"/>
      <c r="IN1" s="140"/>
      <c r="IO1" s="140"/>
      <c r="IP1" s="140"/>
      <c r="IQ1" s="140"/>
      <c r="IR1" s="140"/>
      <c r="IS1" s="140"/>
      <c r="IT1" s="140"/>
      <c r="IU1" s="140"/>
      <c r="IV1" s="140"/>
    </row>
    <row r="2" spans="1:256" s="114" customFormat="1" ht="18" customHeight="1" thickTop="1">
      <c r="A2" s="68"/>
      <c r="B2" s="67"/>
      <c r="C2" s="67"/>
      <c r="D2" s="141"/>
      <c r="E2" s="142"/>
      <c r="F2" s="142"/>
      <c r="G2" s="143"/>
      <c r="H2" s="143"/>
      <c r="I2" s="143"/>
      <c r="J2" s="143"/>
      <c r="K2" s="143"/>
      <c r="L2" s="143"/>
      <c r="M2" s="142"/>
      <c r="N2" s="142"/>
      <c r="O2" s="142"/>
      <c r="P2" s="142"/>
      <c r="Q2" s="142"/>
      <c r="R2" s="142"/>
      <c r="S2" s="142"/>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row>
    <row r="3" spans="1:256" s="115" customFormat="1" ht="18" customHeight="1" thickBot="1">
      <c r="A3" s="69"/>
      <c r="B3" s="70" t="s">
        <v>626</v>
      </c>
      <c r="C3" s="70"/>
      <c r="D3" s="142"/>
      <c r="E3" s="143"/>
      <c r="F3" s="142"/>
      <c r="G3" s="143"/>
      <c r="H3" s="143"/>
      <c r="I3" s="143"/>
      <c r="J3" s="143"/>
      <c r="K3" s="143"/>
      <c r="L3" s="143"/>
      <c r="M3" s="142"/>
      <c r="N3" s="143"/>
      <c r="O3" s="143"/>
      <c r="P3" s="143"/>
      <c r="Q3" s="143"/>
      <c r="R3" s="143"/>
      <c r="S3" s="143"/>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row>
    <row r="4" spans="1:256" s="115" customFormat="1" ht="18" customHeight="1">
      <c r="A4" s="69"/>
      <c r="B4" s="1295" t="s">
        <v>627</v>
      </c>
      <c r="C4" s="1296"/>
      <c r="D4" s="1174" t="s">
        <v>628</v>
      </c>
      <c r="E4" s="1175"/>
      <c r="F4" s="1175"/>
      <c r="G4" s="1175"/>
      <c r="H4" s="1175"/>
      <c r="I4" s="1175"/>
      <c r="J4" s="1174" t="s">
        <v>629</v>
      </c>
      <c r="K4" s="1175"/>
      <c r="L4" s="1175"/>
      <c r="M4" s="1175"/>
      <c r="N4" s="1175"/>
      <c r="O4" s="1514"/>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row>
    <row r="5" spans="1:256" s="115" customFormat="1" ht="24.95" customHeight="1">
      <c r="A5" s="69"/>
      <c r="B5" s="1290" t="s">
        <v>630</v>
      </c>
      <c r="C5" s="1291"/>
      <c r="D5" s="1292" t="s">
        <v>631</v>
      </c>
      <c r="E5" s="1293"/>
      <c r="F5" s="1293"/>
      <c r="G5" s="1293"/>
      <c r="H5" s="1293"/>
      <c r="I5" s="1293"/>
      <c r="J5" s="1515" t="s">
        <v>632</v>
      </c>
      <c r="K5" s="1516"/>
      <c r="L5" s="1516"/>
      <c r="M5" s="1516"/>
      <c r="N5" s="1516"/>
      <c r="O5" s="1517"/>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c r="IR5" s="69"/>
      <c r="IS5" s="69"/>
      <c r="IT5" s="69"/>
      <c r="IU5" s="69"/>
      <c r="IV5" s="69"/>
    </row>
    <row r="6" spans="1:256" s="115" customFormat="1" ht="18" customHeight="1" thickBot="1">
      <c r="A6" s="69"/>
      <c r="B6" s="1297" t="s">
        <v>633</v>
      </c>
      <c r="C6" s="1298"/>
      <c r="D6" s="1299" t="s">
        <v>634</v>
      </c>
      <c r="E6" s="1300"/>
      <c r="F6" s="1300"/>
      <c r="G6" s="1300"/>
      <c r="H6" s="1300"/>
      <c r="I6" s="1300"/>
      <c r="J6" s="1502"/>
      <c r="K6" s="1503"/>
      <c r="L6" s="1503"/>
      <c r="M6" s="1503"/>
      <c r="N6" s="1503"/>
      <c r="O6" s="1504"/>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row>
    <row r="7" spans="1:256" s="115" customFormat="1" ht="18" customHeight="1">
      <c r="A7" s="69"/>
      <c r="B7" s="69"/>
      <c r="C7" s="69"/>
      <c r="D7" s="68"/>
      <c r="E7" s="69"/>
      <c r="F7" s="68"/>
      <c r="G7" s="69"/>
      <c r="H7" s="69"/>
      <c r="I7" s="69"/>
      <c r="J7" s="69"/>
      <c r="K7" s="69"/>
      <c r="L7" s="69"/>
      <c r="M7" s="68"/>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row>
    <row r="8" spans="1:256" s="115" customFormat="1" ht="18" customHeight="1" thickBot="1">
      <c r="A8" s="69"/>
      <c r="B8" s="70" t="s">
        <v>635</v>
      </c>
      <c r="C8" s="70"/>
      <c r="D8" s="68"/>
      <c r="E8" s="69"/>
      <c r="F8" s="68"/>
      <c r="G8" s="69"/>
      <c r="H8" s="69"/>
      <c r="I8" s="69"/>
      <c r="J8" s="69"/>
      <c r="K8" s="69"/>
      <c r="L8" s="69"/>
      <c r="M8" s="68"/>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row>
    <row r="9" spans="1:256" s="115" customFormat="1" ht="18" customHeight="1" thickBot="1">
      <c r="A9" s="69"/>
      <c r="B9" s="1505" t="s">
        <v>636</v>
      </c>
      <c r="C9" s="1506"/>
      <c r="D9" s="1507" t="s">
        <v>39</v>
      </c>
      <c r="E9" s="1508"/>
      <c r="F9" s="1509" t="s">
        <v>637</v>
      </c>
      <c r="G9" s="1510"/>
      <c r="H9" s="1511" t="s">
        <v>638</v>
      </c>
      <c r="I9" s="1512"/>
      <c r="J9" s="1511" t="s">
        <v>639</v>
      </c>
      <c r="K9" s="1513"/>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row>
    <row r="10" spans="1:256" s="115" customFormat="1" ht="18" customHeight="1">
      <c r="A10" s="69"/>
      <c r="B10" s="1521" t="s">
        <v>640</v>
      </c>
      <c r="C10" s="478" t="s">
        <v>641</v>
      </c>
      <c r="D10" s="1522" t="s">
        <v>642</v>
      </c>
      <c r="E10" s="1523"/>
      <c r="F10" s="1523" t="s">
        <v>643</v>
      </c>
      <c r="G10" s="1523"/>
      <c r="H10" s="1524" t="s">
        <v>644</v>
      </c>
      <c r="I10" s="1308"/>
      <c r="J10" s="1524" t="s">
        <v>645</v>
      </c>
      <c r="K10" s="1525"/>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row>
    <row r="11" spans="1:256" s="115" customFormat="1" ht="18" customHeight="1" thickBot="1">
      <c r="A11" s="69"/>
      <c r="B11" s="1346"/>
      <c r="C11" s="324" t="s">
        <v>646</v>
      </c>
      <c r="D11" s="1526" t="s">
        <v>643</v>
      </c>
      <c r="E11" s="1527"/>
      <c r="F11" s="1527" t="s">
        <v>644</v>
      </c>
      <c r="G11" s="1527"/>
      <c r="H11" s="1299" t="s">
        <v>645</v>
      </c>
      <c r="I11" s="1300"/>
      <c r="J11" s="1299" t="s">
        <v>647</v>
      </c>
      <c r="K11" s="1301"/>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row>
    <row r="12" spans="1:256" s="115" customFormat="1" ht="18" customHeight="1">
      <c r="A12" s="69"/>
      <c r="B12" s="529"/>
      <c r="C12" s="529"/>
      <c r="D12" s="799"/>
      <c r="E12" s="799"/>
      <c r="F12" s="799"/>
      <c r="G12" s="799"/>
      <c r="H12" s="799"/>
      <c r="I12" s="799"/>
      <c r="J12" s="799"/>
      <c r="K12" s="799"/>
      <c r="M12" s="529"/>
      <c r="N12" s="529"/>
      <c r="O12" s="529"/>
      <c r="P12" s="529"/>
      <c r="Q12" s="529"/>
      <c r="R12" s="52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spans="1:256" s="115" customFormat="1" ht="18" customHeight="1" thickBot="1">
      <c r="A13" s="69"/>
      <c r="B13" s="70" t="s">
        <v>648</v>
      </c>
      <c r="C13" s="529"/>
      <c r="D13" s="799"/>
      <c r="E13" s="799"/>
      <c r="F13" s="799"/>
      <c r="G13" s="799"/>
      <c r="H13" s="799"/>
      <c r="I13" s="799"/>
      <c r="J13" s="799"/>
      <c r="K13" s="799"/>
      <c r="M13" s="529"/>
      <c r="N13" s="529"/>
      <c r="O13" s="529"/>
      <c r="P13" s="529"/>
      <c r="Q13" s="529"/>
      <c r="R13" s="52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row>
    <row r="14" spans="1:256" s="115" customFormat="1" ht="18" customHeight="1">
      <c r="A14" s="69"/>
      <c r="B14" s="1320" t="s">
        <v>649</v>
      </c>
      <c r="C14" s="1296"/>
      <c r="D14" s="1518" t="s">
        <v>650</v>
      </c>
      <c r="E14" s="1518"/>
      <c r="F14" s="1518"/>
      <c r="G14" s="1518"/>
      <c r="H14" s="1518"/>
      <c r="I14" s="1518"/>
      <c r="J14" s="1518"/>
      <c r="K14" s="1518"/>
      <c r="L14" s="1518"/>
      <c r="M14" s="1518"/>
      <c r="N14" s="1518"/>
      <c r="O14" s="1518"/>
      <c r="P14" s="1518"/>
      <c r="Q14" s="1518"/>
      <c r="R14" s="151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row>
    <row r="15" spans="1:256" s="115" customFormat="1" ht="18" customHeight="1">
      <c r="A15" s="69"/>
      <c r="B15" s="1520" t="s">
        <v>651</v>
      </c>
      <c r="C15" s="1291"/>
      <c r="D15" s="1516" t="s">
        <v>652</v>
      </c>
      <c r="E15" s="1516"/>
      <c r="F15" s="1516"/>
      <c r="G15" s="1516"/>
      <c r="H15" s="1516"/>
      <c r="I15" s="1516"/>
      <c r="J15" s="1516"/>
      <c r="K15" s="1516"/>
      <c r="L15" s="1516"/>
      <c r="M15" s="1516"/>
      <c r="N15" s="1516"/>
      <c r="O15" s="1516"/>
      <c r="P15" s="1516"/>
      <c r="Q15" s="1516"/>
      <c r="R15" s="1517"/>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c r="IU15" s="69"/>
      <c r="IV15" s="69"/>
    </row>
    <row r="16" spans="1:256" s="115" customFormat="1" ht="18" customHeight="1" thickBot="1">
      <c r="A16" s="69"/>
      <c r="B16" s="1321" t="s">
        <v>653</v>
      </c>
      <c r="C16" s="1322"/>
      <c r="D16" s="1406" t="s">
        <v>654</v>
      </c>
      <c r="E16" s="1406"/>
      <c r="F16" s="1406"/>
      <c r="G16" s="1406"/>
      <c r="H16" s="1406"/>
      <c r="I16" s="1406"/>
      <c r="J16" s="1406"/>
      <c r="K16" s="1406"/>
      <c r="L16" s="1406"/>
      <c r="M16" s="1406"/>
      <c r="N16" s="1406"/>
      <c r="O16" s="1406"/>
      <c r="P16" s="1406"/>
      <c r="Q16" s="1406"/>
      <c r="R16" s="1407"/>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c r="IU16" s="69"/>
      <c r="IV16" s="69"/>
    </row>
    <row r="17" spans="1:256" s="115" customFormat="1" ht="18" customHeight="1">
      <c r="A17" s="69"/>
      <c r="B17" s="529"/>
      <c r="C17" s="529"/>
      <c r="D17" s="799"/>
      <c r="E17" s="799"/>
      <c r="F17" s="799"/>
      <c r="G17" s="799"/>
      <c r="H17" s="799"/>
      <c r="I17" s="799"/>
      <c r="J17" s="799"/>
      <c r="K17" s="799"/>
      <c r="M17" s="529"/>
      <c r="N17" s="529"/>
      <c r="O17" s="529"/>
      <c r="P17" s="529"/>
      <c r="Q17" s="529"/>
      <c r="R17" s="52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c r="IU17" s="69"/>
      <c r="IV17" s="69"/>
    </row>
    <row r="18" spans="1:256" s="115" customFormat="1" ht="18" customHeight="1" thickBot="1">
      <c r="A18" s="69"/>
      <c r="B18" s="70" t="s">
        <v>655</v>
      </c>
      <c r="C18" s="529"/>
      <c r="D18" s="799"/>
      <c r="E18" s="69"/>
      <c r="F18" s="68"/>
      <c r="G18" s="69"/>
      <c r="H18" s="69"/>
      <c r="I18" s="69"/>
      <c r="J18" s="69"/>
      <c r="K18" s="79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c r="IR18" s="69"/>
      <c r="IS18" s="69"/>
      <c r="IT18" s="69"/>
      <c r="IU18" s="69"/>
      <c r="IV18" s="69"/>
    </row>
    <row r="19" spans="1:256" s="115" customFormat="1" ht="18" customHeight="1">
      <c r="A19" s="69"/>
      <c r="B19" s="1165" t="s">
        <v>627</v>
      </c>
      <c r="C19" s="1166"/>
      <c r="D19" s="1166" t="s">
        <v>656</v>
      </c>
      <c r="E19" s="1166"/>
      <c r="F19" s="1166"/>
      <c r="G19" s="1166"/>
      <c r="H19" s="1166"/>
      <c r="I19" s="1166"/>
      <c r="J19" s="1166"/>
      <c r="K19" s="1166"/>
      <c r="L19" s="1166"/>
      <c r="M19" s="1166"/>
      <c r="N19" s="1166"/>
      <c r="O19" s="1166"/>
      <c r="P19" s="1166"/>
      <c r="Q19" s="1166"/>
      <c r="R19" s="1167"/>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spans="1:256" s="115" customFormat="1" ht="18" customHeight="1">
      <c r="A20" s="69"/>
      <c r="B20" s="1541" t="s">
        <v>657</v>
      </c>
      <c r="C20" s="1542"/>
      <c r="D20" s="1543" t="s">
        <v>658</v>
      </c>
      <c r="E20" s="1543"/>
      <c r="F20" s="1543"/>
      <c r="G20" s="1543"/>
      <c r="H20" s="1543"/>
      <c r="I20" s="1543"/>
      <c r="J20" s="1543"/>
      <c r="K20" s="1543"/>
      <c r="L20" s="1543"/>
      <c r="M20" s="1543"/>
      <c r="N20" s="1543"/>
      <c r="O20" s="1543"/>
      <c r="P20" s="1543"/>
      <c r="Q20" s="1543"/>
      <c r="R20" s="1544"/>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c r="IR20" s="69"/>
      <c r="IS20" s="69"/>
      <c r="IT20" s="69"/>
      <c r="IU20" s="69"/>
      <c r="IV20" s="69"/>
    </row>
    <row r="21" spans="1:256" s="115" customFormat="1" ht="18" customHeight="1" thickBot="1">
      <c r="A21" s="69"/>
      <c r="B21" s="1545" t="s">
        <v>659</v>
      </c>
      <c r="C21" s="1546"/>
      <c r="D21" s="1547" t="s">
        <v>660</v>
      </c>
      <c r="E21" s="1547"/>
      <c r="F21" s="1547"/>
      <c r="G21" s="1547"/>
      <c r="H21" s="1547"/>
      <c r="I21" s="1547"/>
      <c r="J21" s="1547"/>
      <c r="K21" s="1547"/>
      <c r="L21" s="1547"/>
      <c r="M21" s="1547"/>
      <c r="N21" s="1547"/>
      <c r="O21" s="1547"/>
      <c r="P21" s="1547"/>
      <c r="Q21" s="1547"/>
      <c r="R21" s="1548"/>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c r="IU21" s="69"/>
      <c r="IV21" s="69"/>
    </row>
    <row r="22" spans="1:256" s="115" customFormat="1" ht="18" customHeight="1">
      <c r="A22" s="69"/>
      <c r="B22" s="529"/>
      <c r="C22" s="529"/>
      <c r="D22" s="529"/>
      <c r="E22" s="529"/>
      <c r="F22" s="529"/>
      <c r="G22" s="529"/>
      <c r="H22" s="529"/>
      <c r="I22" s="529"/>
      <c r="J22" s="529"/>
      <c r="K22" s="529"/>
      <c r="L22" s="529"/>
      <c r="M22" s="792"/>
      <c r="N22" s="792"/>
      <c r="O22" s="792"/>
      <c r="P22" s="792"/>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c r="IV22" s="69"/>
    </row>
    <row r="23" spans="1:256" s="114" customFormat="1" ht="18" customHeight="1" thickBot="1">
      <c r="A23" s="68"/>
      <c r="B23" s="70" t="s">
        <v>661</v>
      </c>
      <c r="C23" s="70"/>
      <c r="D23" s="68"/>
      <c r="E23" s="68"/>
      <c r="F23" s="68"/>
      <c r="G23" s="69"/>
      <c r="H23" s="69"/>
      <c r="I23" s="69"/>
      <c r="J23" s="69"/>
      <c r="K23" s="69"/>
      <c r="L23" s="69"/>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c r="IN23" s="68"/>
      <c r="IO23" s="68"/>
      <c r="IP23" s="68"/>
      <c r="IQ23" s="68"/>
      <c r="IR23" s="68"/>
      <c r="IS23" s="68"/>
      <c r="IT23" s="68"/>
      <c r="IU23" s="68"/>
      <c r="IV23" s="68"/>
    </row>
    <row r="24" spans="1:256" s="114" customFormat="1" ht="18" customHeight="1" thickBot="1">
      <c r="A24" s="68"/>
      <c r="B24" s="1528" t="s">
        <v>627</v>
      </c>
      <c r="C24" s="1529"/>
      <c r="D24" s="1530" t="s">
        <v>662</v>
      </c>
      <c r="E24" s="1531"/>
      <c r="F24" s="1531"/>
      <c r="G24" s="1531"/>
      <c r="H24" s="1531"/>
      <c r="I24" s="794"/>
      <c r="J24" s="794"/>
      <c r="K24" s="1530" t="s">
        <v>663</v>
      </c>
      <c r="L24" s="1531"/>
      <c r="M24" s="1531"/>
      <c r="N24" s="1531"/>
      <c r="O24" s="1531"/>
      <c r="P24" s="1531"/>
      <c r="Q24" s="1531"/>
      <c r="R24" s="1532"/>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c r="IN24" s="68"/>
      <c r="IO24" s="68"/>
      <c r="IP24" s="68"/>
      <c r="IQ24" s="68"/>
      <c r="IR24" s="68"/>
      <c r="IS24" s="68"/>
      <c r="IT24" s="68"/>
      <c r="IU24" s="68"/>
      <c r="IV24" s="68"/>
    </row>
    <row r="25" spans="1:256" s="114" customFormat="1" ht="18" customHeight="1">
      <c r="A25" s="68"/>
      <c r="B25" s="1528" t="s">
        <v>664</v>
      </c>
      <c r="C25" s="1529"/>
      <c r="D25" s="1309" t="s">
        <v>665</v>
      </c>
      <c r="E25" s="1535"/>
      <c r="F25" s="1535"/>
      <c r="G25" s="1535"/>
      <c r="H25" s="1535"/>
      <c r="I25" s="1535"/>
      <c r="J25" s="1535"/>
      <c r="K25" s="790" t="s">
        <v>666</v>
      </c>
      <c r="L25" s="791" t="s">
        <v>667</v>
      </c>
      <c r="M25" s="791" t="s">
        <v>33</v>
      </c>
      <c r="N25" s="791" t="s">
        <v>7</v>
      </c>
      <c r="O25" s="791" t="s">
        <v>34</v>
      </c>
      <c r="P25" s="791" t="s">
        <v>668</v>
      </c>
      <c r="Q25" s="203" t="s">
        <v>669</v>
      </c>
      <c r="R25" s="204" t="s">
        <v>670</v>
      </c>
      <c r="S25" s="799"/>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c r="IN25" s="68"/>
      <c r="IO25" s="68"/>
      <c r="IP25" s="68"/>
      <c r="IQ25" s="68"/>
      <c r="IR25" s="68"/>
      <c r="IS25" s="68"/>
      <c r="IT25" s="68"/>
      <c r="IU25" s="68"/>
      <c r="IV25" s="68"/>
    </row>
    <row r="26" spans="1:256" s="114" customFormat="1" ht="18" customHeight="1" thickBot="1">
      <c r="A26" s="68"/>
      <c r="B26" s="1312"/>
      <c r="C26" s="1313"/>
      <c r="D26" s="1536"/>
      <c r="E26" s="1537"/>
      <c r="F26" s="1537"/>
      <c r="G26" s="1537"/>
      <c r="H26" s="1537"/>
      <c r="I26" s="1537"/>
      <c r="J26" s="1537"/>
      <c r="K26" s="788" t="s">
        <v>671</v>
      </c>
      <c r="L26" s="277">
        <v>2.8</v>
      </c>
      <c r="M26" s="818">
        <v>3</v>
      </c>
      <c r="N26" s="818">
        <v>3.2</v>
      </c>
      <c r="O26" s="818">
        <v>3.4</v>
      </c>
      <c r="P26" s="818">
        <v>3.6</v>
      </c>
      <c r="Q26" s="819">
        <v>3.8</v>
      </c>
      <c r="R26" s="820">
        <v>4</v>
      </c>
      <c r="S26" s="799"/>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c r="IN26" s="68"/>
      <c r="IO26" s="68"/>
      <c r="IP26" s="68"/>
      <c r="IQ26" s="68"/>
      <c r="IR26" s="68"/>
      <c r="IS26" s="68"/>
      <c r="IT26" s="68"/>
      <c r="IU26" s="68"/>
      <c r="IV26" s="68"/>
    </row>
    <row r="27" spans="1:256" s="114" customFormat="1" ht="18" customHeight="1" thickBot="1">
      <c r="A27" s="68"/>
      <c r="B27" s="1533"/>
      <c r="C27" s="1534"/>
      <c r="D27" s="1538" t="s">
        <v>672</v>
      </c>
      <c r="E27" s="1539"/>
      <c r="F27" s="1539"/>
      <c r="G27" s="1539"/>
      <c r="H27" s="1539"/>
      <c r="I27" s="1539"/>
      <c r="J27" s="1539"/>
      <c r="K27" s="1336"/>
      <c r="L27" s="1336"/>
      <c r="M27" s="1336"/>
      <c r="N27" s="1336"/>
      <c r="O27" s="1336"/>
      <c r="P27" s="1336"/>
      <c r="Q27" s="1334"/>
      <c r="R27" s="1540"/>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c r="IS27" s="68"/>
      <c r="IT27" s="68"/>
      <c r="IU27" s="68"/>
      <c r="IV27" s="68"/>
    </row>
    <row r="28" spans="1:256" s="114" customFormat="1" ht="18" customHeight="1">
      <c r="A28" s="68"/>
      <c r="B28" s="1337" t="s">
        <v>673</v>
      </c>
      <c r="C28" s="1338"/>
      <c r="D28" s="1339" t="s">
        <v>40</v>
      </c>
      <c r="E28" s="1219"/>
      <c r="F28" s="1219"/>
      <c r="G28" s="1219"/>
      <c r="H28" s="1219"/>
      <c r="I28" s="1219"/>
      <c r="J28" s="1219"/>
      <c r="K28" s="1549" t="s">
        <v>674</v>
      </c>
      <c r="L28" s="1549"/>
      <c r="M28" s="1549" t="s">
        <v>675</v>
      </c>
      <c r="N28" s="1549"/>
      <c r="O28" s="1549" t="s">
        <v>676</v>
      </c>
      <c r="P28" s="1550"/>
      <c r="Q28" s="1551" t="s">
        <v>677</v>
      </c>
      <c r="R28" s="1552"/>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row>
    <row r="29" spans="1:256" s="114" customFormat="1" ht="18" customHeight="1" thickBot="1">
      <c r="A29" s="68"/>
      <c r="B29" s="1312"/>
      <c r="C29" s="1313"/>
      <c r="D29" s="1317"/>
      <c r="E29" s="1318"/>
      <c r="F29" s="1318"/>
      <c r="G29" s="1318"/>
      <c r="H29" s="1318"/>
      <c r="I29" s="1318"/>
      <c r="J29" s="1318"/>
      <c r="K29" s="1340" t="s">
        <v>41</v>
      </c>
      <c r="L29" s="1340"/>
      <c r="M29" s="1553" t="s">
        <v>678</v>
      </c>
      <c r="N29" s="1553"/>
      <c r="O29" s="1553" t="s">
        <v>679</v>
      </c>
      <c r="P29" s="1554"/>
      <c r="Q29" s="1555" t="s">
        <v>680</v>
      </c>
      <c r="R29" s="1556"/>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c r="HY29" s="68"/>
      <c r="HZ29" s="68"/>
      <c r="IA29" s="68"/>
      <c r="IB29" s="68"/>
      <c r="IC29" s="68"/>
      <c r="ID29" s="68"/>
      <c r="IE29" s="68"/>
      <c r="IF29" s="68"/>
      <c r="IG29" s="68"/>
      <c r="IH29" s="68"/>
      <c r="II29" s="68"/>
      <c r="IJ29" s="68"/>
      <c r="IK29" s="68"/>
      <c r="IL29" s="68"/>
      <c r="IM29" s="68"/>
      <c r="IN29" s="68"/>
      <c r="IO29" s="68"/>
      <c r="IP29" s="68"/>
      <c r="IQ29" s="68"/>
      <c r="IR29" s="68"/>
      <c r="IS29" s="68"/>
      <c r="IT29" s="68"/>
      <c r="IU29" s="68"/>
      <c r="IV29" s="68"/>
    </row>
    <row r="30" spans="1:256" s="114" customFormat="1" ht="18" customHeight="1">
      <c r="A30" s="68"/>
      <c r="B30" s="1337" t="s">
        <v>681</v>
      </c>
      <c r="C30" s="1331"/>
      <c r="D30" s="1565" t="s">
        <v>42</v>
      </c>
      <c r="E30" s="1566"/>
      <c r="F30" s="1566"/>
      <c r="G30" s="1566"/>
      <c r="H30" s="1566"/>
      <c r="I30" s="1566"/>
      <c r="J30" s="1566"/>
      <c r="K30" s="1566"/>
      <c r="L30" s="1567"/>
      <c r="M30" s="1557" t="s">
        <v>682</v>
      </c>
      <c r="N30" s="1291"/>
      <c r="O30" s="788" t="s">
        <v>73</v>
      </c>
      <c r="P30" s="788" t="s">
        <v>74</v>
      </c>
      <c r="Q30" s="795" t="s">
        <v>75</v>
      </c>
      <c r="R30" s="478" t="s">
        <v>76</v>
      </c>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c r="IV30" s="68"/>
    </row>
    <row r="31" spans="1:256" s="114" customFormat="1" ht="18" customHeight="1">
      <c r="A31" s="68"/>
      <c r="B31" s="1312"/>
      <c r="C31" s="1332"/>
      <c r="D31" s="1333" t="s">
        <v>683</v>
      </c>
      <c r="E31" s="1334"/>
      <c r="F31" s="1334"/>
      <c r="G31" s="1334"/>
      <c r="H31" s="1334"/>
      <c r="I31" s="1334"/>
      <c r="J31" s="1334"/>
      <c r="K31" s="1334"/>
      <c r="L31" s="1568"/>
      <c r="M31" s="1557" t="s">
        <v>684</v>
      </c>
      <c r="N31" s="1291"/>
      <c r="O31" s="821">
        <v>0.2</v>
      </c>
      <c r="P31" s="821">
        <v>0.5</v>
      </c>
      <c r="Q31" s="821">
        <v>0.95</v>
      </c>
      <c r="R31" s="822">
        <v>2.15</v>
      </c>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c r="IN31" s="68"/>
      <c r="IO31" s="68"/>
      <c r="IP31" s="68"/>
      <c r="IQ31" s="68"/>
      <c r="IR31" s="68"/>
      <c r="IS31" s="68"/>
      <c r="IT31" s="68"/>
      <c r="IU31" s="68"/>
      <c r="IV31" s="68"/>
    </row>
    <row r="32" spans="1:256" s="114" customFormat="1" ht="18" customHeight="1">
      <c r="A32" s="68"/>
      <c r="B32" s="1312"/>
      <c r="C32" s="1332"/>
      <c r="D32" s="1333" t="s">
        <v>685</v>
      </c>
      <c r="E32" s="1334"/>
      <c r="F32" s="1334"/>
      <c r="G32" s="1334"/>
      <c r="H32" s="1334"/>
      <c r="I32" s="1334"/>
      <c r="J32" s="1334"/>
      <c r="K32" s="1334"/>
      <c r="L32" s="1568"/>
      <c r="M32" s="1569" t="s">
        <v>686</v>
      </c>
      <c r="N32" s="1570"/>
      <c r="O32" s="823">
        <v>0.2</v>
      </c>
      <c r="P32" s="823">
        <v>0.4</v>
      </c>
      <c r="Q32" s="821">
        <v>0.7</v>
      </c>
      <c r="R32" s="822">
        <v>1.3</v>
      </c>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c r="IV32" s="68"/>
    </row>
    <row r="33" spans="1:256" s="114" customFormat="1" ht="18" customHeight="1">
      <c r="A33" s="68"/>
      <c r="B33" s="1337" t="s">
        <v>687</v>
      </c>
      <c r="C33" s="1338"/>
      <c r="D33" s="1314" t="s">
        <v>688</v>
      </c>
      <c r="E33" s="1315"/>
      <c r="F33" s="1315"/>
      <c r="G33" s="1315"/>
      <c r="H33" s="1315"/>
      <c r="I33" s="1315"/>
      <c r="J33" s="1315"/>
      <c r="K33" s="1315"/>
      <c r="L33" s="1433"/>
      <c r="M33" s="1557" t="s">
        <v>682</v>
      </c>
      <c r="N33" s="1558"/>
      <c r="O33" s="1558"/>
      <c r="P33" s="788" t="s">
        <v>689</v>
      </c>
      <c r="Q33" s="788" t="s">
        <v>690</v>
      </c>
      <c r="R33" s="456" t="s">
        <v>686</v>
      </c>
      <c r="S33" s="142"/>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c r="II33" s="68"/>
      <c r="IJ33" s="68"/>
      <c r="IK33" s="68"/>
      <c r="IL33" s="68"/>
      <c r="IM33" s="68"/>
      <c r="IN33" s="68"/>
      <c r="IO33" s="68"/>
      <c r="IP33" s="68"/>
      <c r="IQ33" s="68"/>
      <c r="IR33" s="68"/>
      <c r="IS33" s="68"/>
      <c r="IT33" s="68"/>
      <c r="IU33" s="68"/>
      <c r="IV33" s="68"/>
    </row>
    <row r="34" spans="1:256" s="114" customFormat="1" ht="18" customHeight="1">
      <c r="A34" s="68"/>
      <c r="B34" s="1312"/>
      <c r="C34" s="1313"/>
      <c r="D34" s="1339"/>
      <c r="E34" s="1219"/>
      <c r="F34" s="1219"/>
      <c r="G34" s="1219"/>
      <c r="H34" s="1219"/>
      <c r="I34" s="1219"/>
      <c r="J34" s="1219"/>
      <c r="K34" s="1219"/>
      <c r="L34" s="1435"/>
      <c r="M34" s="1559" t="s">
        <v>691</v>
      </c>
      <c r="N34" s="1326"/>
      <c r="O34" s="824" t="s">
        <v>692</v>
      </c>
      <c r="P34" s="821">
        <v>0.75</v>
      </c>
      <c r="Q34" s="457" t="s">
        <v>693</v>
      </c>
      <c r="R34" s="458" t="s">
        <v>693</v>
      </c>
      <c r="S34" s="142"/>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68"/>
      <c r="IS34" s="68"/>
      <c r="IT34" s="68"/>
      <c r="IU34" s="68"/>
      <c r="IV34" s="68"/>
    </row>
    <row r="35" spans="1:256" s="114" customFormat="1" ht="18" customHeight="1">
      <c r="A35" s="68"/>
      <c r="B35" s="1312"/>
      <c r="C35" s="1313"/>
      <c r="D35" s="1339"/>
      <c r="E35" s="1219"/>
      <c r="F35" s="1219"/>
      <c r="G35" s="1219"/>
      <c r="H35" s="1219"/>
      <c r="I35" s="1219"/>
      <c r="J35" s="1219"/>
      <c r="K35" s="1219"/>
      <c r="L35" s="1435"/>
      <c r="M35" s="1560"/>
      <c r="N35" s="1561"/>
      <c r="O35" s="793" t="s">
        <v>694</v>
      </c>
      <c r="P35" s="457" t="s">
        <v>693</v>
      </c>
      <c r="Q35" s="457">
        <v>0.15</v>
      </c>
      <c r="R35" s="458">
        <v>0.1</v>
      </c>
      <c r="S35" s="142"/>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c r="GM35" s="68"/>
      <c r="GN35" s="68"/>
      <c r="GO35" s="68"/>
      <c r="GP35" s="68"/>
      <c r="GQ35" s="68"/>
      <c r="GR35" s="68"/>
      <c r="GS35" s="68"/>
      <c r="GT35" s="68"/>
      <c r="GU35" s="68"/>
      <c r="GV35" s="68"/>
      <c r="GW35" s="68"/>
      <c r="GX35" s="68"/>
      <c r="GY35" s="68"/>
      <c r="GZ35" s="68"/>
      <c r="HA35" s="68"/>
      <c r="HB35" s="68"/>
      <c r="HC35" s="68"/>
      <c r="HD35" s="68"/>
      <c r="HE35" s="68"/>
      <c r="HF35" s="68"/>
      <c r="HG35" s="68"/>
      <c r="HH35" s="68"/>
      <c r="HI35" s="68"/>
      <c r="HJ35" s="68"/>
      <c r="HK35" s="68"/>
      <c r="HL35" s="68"/>
      <c r="HM35" s="68"/>
      <c r="HN35" s="68"/>
      <c r="HO35" s="68"/>
      <c r="HP35" s="68"/>
      <c r="HQ35" s="68"/>
      <c r="HR35" s="68"/>
      <c r="HS35" s="68"/>
      <c r="HT35" s="68"/>
      <c r="HU35" s="68"/>
      <c r="HV35" s="68"/>
      <c r="HW35" s="68"/>
      <c r="HX35" s="68"/>
      <c r="HY35" s="68"/>
      <c r="HZ35" s="68"/>
      <c r="IA35" s="68"/>
      <c r="IB35" s="68"/>
      <c r="IC35" s="68"/>
      <c r="ID35" s="68"/>
      <c r="IE35" s="68"/>
      <c r="IF35" s="68"/>
      <c r="IG35" s="68"/>
      <c r="IH35" s="68"/>
      <c r="II35" s="68"/>
      <c r="IJ35" s="68"/>
      <c r="IK35" s="68"/>
      <c r="IL35" s="68"/>
      <c r="IM35" s="68"/>
      <c r="IN35" s="68"/>
      <c r="IO35" s="68"/>
      <c r="IP35" s="68"/>
      <c r="IQ35" s="68"/>
      <c r="IR35" s="68"/>
      <c r="IS35" s="68"/>
      <c r="IT35" s="68"/>
      <c r="IU35" s="68"/>
      <c r="IV35" s="68"/>
    </row>
    <row r="36" spans="1:256" s="114" customFormat="1" ht="18" customHeight="1">
      <c r="A36" s="68"/>
      <c r="B36" s="1312"/>
      <c r="C36" s="1313"/>
      <c r="D36" s="1339"/>
      <c r="E36" s="1219"/>
      <c r="F36" s="1219"/>
      <c r="G36" s="1219"/>
      <c r="H36" s="1219"/>
      <c r="I36" s="1219"/>
      <c r="J36" s="1219"/>
      <c r="K36" s="1219"/>
      <c r="L36" s="1435"/>
      <c r="M36" s="1562"/>
      <c r="N36" s="1563"/>
      <c r="O36" s="824" t="s">
        <v>695</v>
      </c>
      <c r="P36" s="821">
        <v>0.2</v>
      </c>
      <c r="Q36" s="457">
        <v>0.2</v>
      </c>
      <c r="R36" s="458">
        <v>0.1</v>
      </c>
      <c r="S36" s="142"/>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c r="HI36" s="68"/>
      <c r="HJ36" s="68"/>
      <c r="HK36" s="68"/>
      <c r="HL36" s="68"/>
      <c r="HM36" s="68"/>
      <c r="HN36" s="68"/>
      <c r="HO36" s="68"/>
      <c r="HP36" s="68"/>
      <c r="HQ36" s="68"/>
      <c r="HR36" s="68"/>
      <c r="HS36" s="68"/>
      <c r="HT36" s="68"/>
      <c r="HU36" s="68"/>
      <c r="HV36" s="68"/>
      <c r="HW36" s="68"/>
      <c r="HX36" s="68"/>
      <c r="HY36" s="68"/>
      <c r="HZ36" s="68"/>
      <c r="IA36" s="68"/>
      <c r="IB36" s="68"/>
      <c r="IC36" s="68"/>
      <c r="ID36" s="68"/>
      <c r="IE36" s="68"/>
      <c r="IF36" s="68"/>
      <c r="IG36" s="68"/>
      <c r="IH36" s="68"/>
      <c r="II36" s="68"/>
      <c r="IJ36" s="68"/>
      <c r="IK36" s="68"/>
      <c r="IL36" s="68"/>
      <c r="IM36" s="68"/>
      <c r="IN36" s="68"/>
      <c r="IO36" s="68"/>
      <c r="IP36" s="68"/>
      <c r="IQ36" s="68"/>
      <c r="IR36" s="68"/>
      <c r="IS36" s="68"/>
      <c r="IT36" s="68"/>
      <c r="IU36" s="68"/>
      <c r="IV36" s="68"/>
    </row>
    <row r="37" spans="1:256" s="114" customFormat="1" ht="18" customHeight="1">
      <c r="A37" s="68"/>
      <c r="B37" s="1312"/>
      <c r="C37" s="1313"/>
      <c r="D37" s="1339"/>
      <c r="E37" s="1219"/>
      <c r="F37" s="1219"/>
      <c r="G37" s="1219"/>
      <c r="H37" s="1219"/>
      <c r="I37" s="1219"/>
      <c r="J37" s="1219"/>
      <c r="K37" s="1219"/>
      <c r="L37" s="1435"/>
      <c r="M37" s="1515" t="s">
        <v>696</v>
      </c>
      <c r="N37" s="1564"/>
      <c r="O37" s="824" t="s">
        <v>697</v>
      </c>
      <c r="P37" s="821">
        <v>0.15</v>
      </c>
      <c r="Q37" s="457">
        <v>0.15</v>
      </c>
      <c r="R37" s="458">
        <v>0.15</v>
      </c>
      <c r="S37" s="142"/>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c r="GM37" s="68"/>
      <c r="GN37" s="68"/>
      <c r="GO37" s="68"/>
      <c r="GP37" s="68"/>
      <c r="GQ37" s="68"/>
      <c r="GR37" s="68"/>
      <c r="GS37" s="68"/>
      <c r="GT37" s="68"/>
      <c r="GU37" s="68"/>
      <c r="GV37" s="68"/>
      <c r="GW37" s="68"/>
      <c r="GX37" s="68"/>
      <c r="GY37" s="68"/>
      <c r="GZ37" s="68"/>
      <c r="HA37" s="68"/>
      <c r="HB37" s="68"/>
      <c r="HC37" s="68"/>
      <c r="HD37" s="68"/>
      <c r="HE37" s="68"/>
      <c r="HF37" s="68"/>
      <c r="HG37" s="68"/>
      <c r="HH37" s="68"/>
      <c r="HI37" s="68"/>
      <c r="HJ37" s="68"/>
      <c r="HK37" s="68"/>
      <c r="HL37" s="68"/>
      <c r="HM37" s="68"/>
      <c r="HN37" s="68"/>
      <c r="HO37" s="68"/>
      <c r="HP37" s="68"/>
      <c r="HQ37" s="68"/>
      <c r="HR37" s="68"/>
      <c r="HS37" s="68"/>
      <c r="HT37" s="68"/>
      <c r="HU37" s="68"/>
      <c r="HV37" s="68"/>
      <c r="HW37" s="68"/>
      <c r="HX37" s="68"/>
      <c r="HY37" s="68"/>
      <c r="HZ37" s="68"/>
      <c r="IA37" s="68"/>
      <c r="IB37" s="68"/>
      <c r="IC37" s="68"/>
      <c r="ID37" s="68"/>
      <c r="IE37" s="68"/>
      <c r="IF37" s="68"/>
      <c r="IG37" s="68"/>
      <c r="IH37" s="68"/>
      <c r="II37" s="68"/>
      <c r="IJ37" s="68"/>
      <c r="IK37" s="68"/>
      <c r="IL37" s="68"/>
      <c r="IM37" s="68"/>
      <c r="IN37" s="68"/>
      <c r="IO37" s="68"/>
      <c r="IP37" s="68"/>
      <c r="IQ37" s="68"/>
      <c r="IR37" s="68"/>
      <c r="IS37" s="68"/>
      <c r="IT37" s="68"/>
      <c r="IU37" s="68"/>
      <c r="IV37" s="68"/>
    </row>
    <row r="38" spans="1:256" s="114" customFormat="1" ht="18" customHeight="1">
      <c r="A38" s="68"/>
      <c r="B38" s="1312"/>
      <c r="C38" s="1313"/>
      <c r="D38" s="1317"/>
      <c r="E38" s="1318"/>
      <c r="F38" s="1318"/>
      <c r="G38" s="1318"/>
      <c r="H38" s="1318"/>
      <c r="I38" s="1318"/>
      <c r="J38" s="1318"/>
      <c r="K38" s="1318"/>
      <c r="L38" s="1437"/>
      <c r="M38" s="1515" t="s">
        <v>698</v>
      </c>
      <c r="N38" s="1564"/>
      <c r="O38" s="824" t="s">
        <v>699</v>
      </c>
      <c r="P38" s="821">
        <v>0.15</v>
      </c>
      <c r="Q38" s="457">
        <v>0.15</v>
      </c>
      <c r="R38" s="458">
        <v>0.15</v>
      </c>
      <c r="S38" s="142"/>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c r="GM38" s="68"/>
      <c r="GN38" s="68"/>
      <c r="GO38" s="68"/>
      <c r="GP38" s="68"/>
      <c r="GQ38" s="68"/>
      <c r="GR38" s="68"/>
      <c r="GS38" s="68"/>
      <c r="GT38" s="68"/>
      <c r="GU38" s="68"/>
      <c r="GV38" s="68"/>
      <c r="GW38" s="68"/>
      <c r="GX38" s="68"/>
      <c r="GY38" s="68"/>
      <c r="GZ38" s="68"/>
      <c r="HA38" s="68"/>
      <c r="HB38" s="68"/>
      <c r="HC38" s="68"/>
      <c r="HD38" s="68"/>
      <c r="HE38" s="68"/>
      <c r="HF38" s="68"/>
      <c r="HG38" s="68"/>
      <c r="HH38" s="68"/>
      <c r="HI38" s="68"/>
      <c r="HJ38" s="68"/>
      <c r="HK38" s="68"/>
      <c r="HL38" s="68"/>
      <c r="HM38" s="68"/>
      <c r="HN38" s="68"/>
      <c r="HO38" s="68"/>
      <c r="HP38" s="68"/>
      <c r="HQ38" s="68"/>
      <c r="HR38" s="68"/>
      <c r="HS38" s="68"/>
      <c r="HT38" s="68"/>
      <c r="HU38" s="68"/>
      <c r="HV38" s="68"/>
      <c r="HW38" s="68"/>
      <c r="HX38" s="68"/>
      <c r="HY38" s="68"/>
      <c r="HZ38" s="68"/>
      <c r="IA38" s="68"/>
      <c r="IB38" s="68"/>
      <c r="IC38" s="68"/>
      <c r="ID38" s="68"/>
      <c r="IE38" s="68"/>
      <c r="IF38" s="68"/>
      <c r="IG38" s="68"/>
      <c r="IH38" s="68"/>
      <c r="II38" s="68"/>
      <c r="IJ38" s="68"/>
      <c r="IK38" s="68"/>
      <c r="IL38" s="68"/>
      <c r="IM38" s="68"/>
      <c r="IN38" s="68"/>
      <c r="IO38" s="68"/>
      <c r="IP38" s="68"/>
      <c r="IQ38" s="68"/>
      <c r="IR38" s="68"/>
      <c r="IS38" s="68"/>
      <c r="IT38" s="68"/>
      <c r="IU38" s="68"/>
      <c r="IV38" s="68"/>
    </row>
    <row r="39" spans="1:256" s="114" customFormat="1" ht="18" customHeight="1">
      <c r="A39" s="68"/>
      <c r="B39" s="1168" t="s">
        <v>700</v>
      </c>
      <c r="C39" s="1340"/>
      <c r="D39" s="1314" t="s">
        <v>701</v>
      </c>
      <c r="E39" s="1315"/>
      <c r="F39" s="1315"/>
      <c r="G39" s="1315"/>
      <c r="H39" s="1315"/>
      <c r="I39" s="1315"/>
      <c r="J39" s="1315"/>
      <c r="K39" s="1315"/>
      <c r="L39" s="1433"/>
      <c r="M39" s="1340" t="s">
        <v>43</v>
      </c>
      <c r="N39" s="1340"/>
      <c r="O39" s="1340" t="s">
        <v>702</v>
      </c>
      <c r="P39" s="1340"/>
      <c r="Q39" s="1340" t="s">
        <v>703</v>
      </c>
      <c r="R39" s="1573"/>
      <c r="S39" s="68"/>
      <c r="T39" s="146"/>
      <c r="U39" s="146"/>
      <c r="V39" s="146"/>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c r="GM39" s="68"/>
      <c r="GN39" s="68"/>
      <c r="GO39" s="68"/>
      <c r="GP39" s="68"/>
      <c r="GQ39" s="68"/>
      <c r="GR39" s="68"/>
      <c r="GS39" s="68"/>
      <c r="GT39" s="68"/>
      <c r="GU39" s="68"/>
      <c r="GV39" s="68"/>
      <c r="GW39" s="68"/>
      <c r="GX39" s="68"/>
      <c r="GY39" s="68"/>
      <c r="GZ39" s="68"/>
      <c r="HA39" s="68"/>
      <c r="HB39" s="68"/>
      <c r="HC39" s="68"/>
      <c r="HD39" s="68"/>
      <c r="HE39" s="68"/>
      <c r="HF39" s="68"/>
      <c r="HG39" s="68"/>
      <c r="HH39" s="68"/>
      <c r="HI39" s="68"/>
      <c r="HJ39" s="68"/>
      <c r="HK39" s="68"/>
      <c r="HL39" s="68"/>
      <c r="HM39" s="68"/>
      <c r="HN39" s="68"/>
      <c r="HO39" s="68"/>
      <c r="HP39" s="68"/>
      <c r="HQ39" s="68"/>
      <c r="HR39" s="68"/>
      <c r="HS39" s="68"/>
      <c r="HT39" s="68"/>
      <c r="HU39" s="68"/>
      <c r="HV39" s="68"/>
      <c r="HW39" s="68"/>
      <c r="HX39" s="68"/>
      <c r="HY39" s="68"/>
      <c r="HZ39" s="68"/>
      <c r="IA39" s="68"/>
      <c r="IB39" s="68"/>
      <c r="IC39" s="68"/>
      <c r="ID39" s="68"/>
      <c r="IE39" s="68"/>
      <c r="IF39" s="68"/>
      <c r="IG39" s="68"/>
      <c r="IH39" s="68"/>
      <c r="II39" s="68"/>
      <c r="IJ39" s="68"/>
      <c r="IK39" s="68"/>
      <c r="IL39" s="68"/>
      <c r="IM39" s="68"/>
      <c r="IN39" s="68"/>
      <c r="IO39" s="68"/>
      <c r="IP39" s="68"/>
      <c r="IQ39" s="68"/>
      <c r="IR39" s="68"/>
      <c r="IS39" s="68"/>
      <c r="IT39" s="68"/>
      <c r="IU39" s="68"/>
      <c r="IV39" s="68"/>
    </row>
    <row r="40" spans="1:256" s="114" customFormat="1" ht="18" customHeight="1">
      <c r="A40" s="68"/>
      <c r="B40" s="1168"/>
      <c r="C40" s="1340"/>
      <c r="D40" s="1339"/>
      <c r="E40" s="1219"/>
      <c r="F40" s="1219"/>
      <c r="G40" s="1219"/>
      <c r="H40" s="1219"/>
      <c r="I40" s="1219"/>
      <c r="J40" s="1219"/>
      <c r="K40" s="1219"/>
      <c r="L40" s="1435"/>
      <c r="M40" s="1340" t="s">
        <v>684</v>
      </c>
      <c r="N40" s="1340"/>
      <c r="O40" s="1571" t="s">
        <v>704</v>
      </c>
      <c r="P40" s="1571"/>
      <c r="Q40" s="1571" t="s">
        <v>705</v>
      </c>
      <c r="R40" s="1572"/>
      <c r="S40" s="68"/>
      <c r="T40" s="146"/>
      <c r="U40" s="146"/>
      <c r="V40" s="146"/>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8"/>
      <c r="GT40" s="68"/>
      <c r="GU40" s="68"/>
      <c r="GV40" s="68"/>
      <c r="GW40" s="68"/>
      <c r="GX40" s="68"/>
      <c r="GY40" s="68"/>
      <c r="GZ40" s="68"/>
      <c r="HA40" s="68"/>
      <c r="HB40" s="68"/>
      <c r="HC40" s="68"/>
      <c r="HD40" s="68"/>
      <c r="HE40" s="68"/>
      <c r="HF40" s="68"/>
      <c r="HG40" s="68"/>
      <c r="HH40" s="68"/>
      <c r="HI40" s="68"/>
      <c r="HJ40" s="68"/>
      <c r="HK40" s="68"/>
      <c r="HL40" s="68"/>
      <c r="HM40" s="68"/>
      <c r="HN40" s="68"/>
      <c r="HO40" s="68"/>
      <c r="HP40" s="68"/>
      <c r="HQ40" s="68"/>
      <c r="HR40" s="68"/>
      <c r="HS40" s="68"/>
      <c r="HT40" s="68"/>
      <c r="HU40" s="68"/>
      <c r="HV40" s="68"/>
      <c r="HW40" s="68"/>
      <c r="HX40" s="68"/>
      <c r="HY40" s="68"/>
      <c r="HZ40" s="68"/>
      <c r="IA40" s="68"/>
      <c r="IB40" s="68"/>
      <c r="IC40" s="68"/>
      <c r="ID40" s="68"/>
      <c r="IE40" s="68"/>
      <c r="IF40" s="68"/>
      <c r="IG40" s="68"/>
      <c r="IH40" s="68"/>
      <c r="II40" s="68"/>
      <c r="IJ40" s="68"/>
      <c r="IK40" s="68"/>
      <c r="IL40" s="68"/>
      <c r="IM40" s="68"/>
      <c r="IN40" s="68"/>
      <c r="IO40" s="68"/>
      <c r="IP40" s="68"/>
      <c r="IQ40" s="68"/>
      <c r="IR40" s="68"/>
      <c r="IS40" s="68"/>
      <c r="IT40" s="68"/>
      <c r="IU40" s="68"/>
      <c r="IV40" s="68"/>
    </row>
    <row r="41" spans="1:256" s="114" customFormat="1" ht="18" customHeight="1">
      <c r="A41" s="68"/>
      <c r="B41" s="1168"/>
      <c r="C41" s="1340"/>
      <c r="D41" s="1339"/>
      <c r="E41" s="1219"/>
      <c r="F41" s="1219"/>
      <c r="G41" s="1219"/>
      <c r="H41" s="1219"/>
      <c r="I41" s="1219"/>
      <c r="J41" s="1219"/>
      <c r="K41" s="1219"/>
      <c r="L41" s="1435"/>
      <c r="M41" s="1340" t="s">
        <v>706</v>
      </c>
      <c r="N41" s="1340"/>
      <c r="O41" s="1571" t="s">
        <v>707</v>
      </c>
      <c r="P41" s="1571"/>
      <c r="Q41" s="1571" t="s">
        <v>705</v>
      </c>
      <c r="R41" s="1572"/>
      <c r="S41" s="68"/>
      <c r="T41" s="146"/>
      <c r="U41" s="146"/>
      <c r="V41" s="146"/>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c r="GR41" s="68"/>
      <c r="GS41" s="68"/>
      <c r="GT41" s="68"/>
      <c r="GU41" s="68"/>
      <c r="GV41" s="68"/>
      <c r="GW41" s="68"/>
      <c r="GX41" s="68"/>
      <c r="GY41" s="68"/>
      <c r="GZ41" s="68"/>
      <c r="HA41" s="68"/>
      <c r="HB41" s="68"/>
      <c r="HC41" s="68"/>
      <c r="HD41" s="68"/>
      <c r="HE41" s="68"/>
      <c r="HF41" s="68"/>
      <c r="HG41" s="68"/>
      <c r="HH41" s="68"/>
      <c r="HI41" s="68"/>
      <c r="HJ41" s="68"/>
      <c r="HK41" s="68"/>
      <c r="HL41" s="68"/>
      <c r="HM41" s="68"/>
      <c r="HN41" s="68"/>
      <c r="HO41" s="68"/>
      <c r="HP41" s="68"/>
      <c r="HQ41" s="68"/>
      <c r="HR41" s="68"/>
      <c r="HS41" s="68"/>
      <c r="HT41" s="68"/>
      <c r="HU41" s="68"/>
      <c r="HV41" s="68"/>
      <c r="HW41" s="68"/>
      <c r="HX41" s="68"/>
      <c r="HY41" s="68"/>
      <c r="HZ41" s="68"/>
      <c r="IA41" s="68"/>
      <c r="IB41" s="68"/>
      <c r="IC41" s="68"/>
      <c r="ID41" s="68"/>
      <c r="IE41" s="68"/>
      <c r="IF41" s="68"/>
      <c r="IG41" s="68"/>
      <c r="IH41" s="68"/>
      <c r="II41" s="68"/>
      <c r="IJ41" s="68"/>
      <c r="IK41" s="68"/>
      <c r="IL41" s="68"/>
      <c r="IM41" s="68"/>
      <c r="IN41" s="68"/>
      <c r="IO41" s="68"/>
      <c r="IP41" s="68"/>
      <c r="IQ41" s="68"/>
      <c r="IR41" s="68"/>
      <c r="IS41" s="68"/>
      <c r="IT41" s="68"/>
      <c r="IU41" s="68"/>
      <c r="IV41" s="68"/>
    </row>
    <row r="42" spans="1:256" s="114" customFormat="1" ht="18" customHeight="1">
      <c r="A42" s="68"/>
      <c r="B42" s="1168"/>
      <c r="C42" s="1340"/>
      <c r="D42" s="1339"/>
      <c r="E42" s="1219"/>
      <c r="F42" s="1219"/>
      <c r="G42" s="1219"/>
      <c r="H42" s="1219"/>
      <c r="I42" s="1219"/>
      <c r="J42" s="1219"/>
      <c r="K42" s="1219"/>
      <c r="L42" s="1435"/>
      <c r="M42" s="1340" t="s">
        <v>708</v>
      </c>
      <c r="N42" s="1340"/>
      <c r="O42" s="1571" t="s">
        <v>709</v>
      </c>
      <c r="P42" s="1571"/>
      <c r="Q42" s="1571" t="s">
        <v>710</v>
      </c>
      <c r="R42" s="1572"/>
      <c r="S42" s="68"/>
      <c r="T42" s="146"/>
      <c r="U42" s="146"/>
      <c r="V42" s="146"/>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c r="GR42" s="68"/>
      <c r="GS42" s="68"/>
      <c r="GT42" s="68"/>
      <c r="GU42" s="68"/>
      <c r="GV42" s="68"/>
      <c r="GW42" s="68"/>
      <c r="GX42" s="68"/>
      <c r="GY42" s="68"/>
      <c r="GZ42" s="68"/>
      <c r="HA42" s="68"/>
      <c r="HB42" s="68"/>
      <c r="HC42" s="68"/>
      <c r="HD42" s="68"/>
      <c r="HE42" s="68"/>
      <c r="HF42" s="68"/>
      <c r="HG42" s="68"/>
      <c r="HH42" s="68"/>
      <c r="HI42" s="68"/>
      <c r="HJ42" s="68"/>
      <c r="HK42" s="68"/>
      <c r="HL42" s="68"/>
      <c r="HM42" s="68"/>
      <c r="HN42" s="68"/>
      <c r="HO42" s="68"/>
      <c r="HP42" s="68"/>
      <c r="HQ42" s="68"/>
      <c r="HR42" s="68"/>
      <c r="HS42" s="68"/>
      <c r="HT42" s="68"/>
      <c r="HU42" s="68"/>
      <c r="HV42" s="68"/>
      <c r="HW42" s="68"/>
      <c r="HX42" s="68"/>
      <c r="HY42" s="68"/>
      <c r="HZ42" s="68"/>
      <c r="IA42" s="68"/>
      <c r="IB42" s="68"/>
      <c r="IC42" s="68"/>
      <c r="ID42" s="68"/>
      <c r="IE42" s="68"/>
      <c r="IF42" s="68"/>
      <c r="IG42" s="68"/>
      <c r="IH42" s="68"/>
      <c r="II42" s="68"/>
      <c r="IJ42" s="68"/>
      <c r="IK42" s="68"/>
      <c r="IL42" s="68"/>
      <c r="IM42" s="68"/>
      <c r="IN42" s="68"/>
      <c r="IO42" s="68"/>
      <c r="IP42" s="68"/>
      <c r="IQ42" s="68"/>
      <c r="IR42" s="68"/>
      <c r="IS42" s="68"/>
      <c r="IT42" s="68"/>
      <c r="IU42" s="68"/>
      <c r="IV42" s="68"/>
    </row>
    <row r="43" spans="1:256" s="114" customFormat="1" ht="18" customHeight="1">
      <c r="A43" s="68"/>
      <c r="B43" s="1168"/>
      <c r="C43" s="1340"/>
      <c r="D43" s="1339"/>
      <c r="E43" s="1219"/>
      <c r="F43" s="1219"/>
      <c r="G43" s="1219"/>
      <c r="H43" s="1219"/>
      <c r="I43" s="1219"/>
      <c r="J43" s="1219"/>
      <c r="K43" s="1219"/>
      <c r="L43" s="1435"/>
      <c r="M43" s="1340" t="s">
        <v>711</v>
      </c>
      <c r="N43" s="1340"/>
      <c r="O43" s="1571" t="s">
        <v>712</v>
      </c>
      <c r="P43" s="1571"/>
      <c r="Q43" s="1571" t="s">
        <v>713</v>
      </c>
      <c r="R43" s="1572"/>
      <c r="S43" s="68"/>
      <c r="T43" s="146"/>
      <c r="U43" s="146"/>
      <c r="V43" s="146"/>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8"/>
      <c r="GM43" s="68"/>
      <c r="GN43" s="68"/>
      <c r="GO43" s="68"/>
      <c r="GP43" s="68"/>
      <c r="GQ43" s="68"/>
      <c r="GR43" s="68"/>
      <c r="GS43" s="68"/>
      <c r="GT43" s="68"/>
      <c r="GU43" s="68"/>
      <c r="GV43" s="68"/>
      <c r="GW43" s="68"/>
      <c r="GX43" s="68"/>
      <c r="GY43" s="68"/>
      <c r="GZ43" s="68"/>
      <c r="HA43" s="68"/>
      <c r="HB43" s="68"/>
      <c r="HC43" s="68"/>
      <c r="HD43" s="68"/>
      <c r="HE43" s="68"/>
      <c r="HF43" s="68"/>
      <c r="HG43" s="68"/>
      <c r="HH43" s="68"/>
      <c r="HI43" s="68"/>
      <c r="HJ43" s="68"/>
      <c r="HK43" s="68"/>
      <c r="HL43" s="68"/>
      <c r="HM43" s="68"/>
      <c r="HN43" s="68"/>
      <c r="HO43" s="68"/>
      <c r="HP43" s="68"/>
      <c r="HQ43" s="68"/>
      <c r="HR43" s="68"/>
      <c r="HS43" s="68"/>
      <c r="HT43" s="68"/>
      <c r="HU43" s="68"/>
      <c r="HV43" s="68"/>
      <c r="HW43" s="68"/>
      <c r="HX43" s="68"/>
      <c r="HY43" s="68"/>
      <c r="HZ43" s="68"/>
      <c r="IA43" s="68"/>
      <c r="IB43" s="68"/>
      <c r="IC43" s="68"/>
      <c r="ID43" s="68"/>
      <c r="IE43" s="68"/>
      <c r="IF43" s="68"/>
      <c r="IG43" s="68"/>
      <c r="IH43" s="68"/>
      <c r="II43" s="68"/>
      <c r="IJ43" s="68"/>
      <c r="IK43" s="68"/>
      <c r="IL43" s="68"/>
      <c r="IM43" s="68"/>
      <c r="IN43" s="68"/>
      <c r="IO43" s="68"/>
      <c r="IP43" s="68"/>
      <c r="IQ43" s="68"/>
      <c r="IR43" s="68"/>
      <c r="IS43" s="68"/>
      <c r="IT43" s="68"/>
      <c r="IU43" s="68"/>
      <c r="IV43" s="68"/>
    </row>
    <row r="44" spans="1:256" s="114" customFormat="1" ht="4.5" customHeight="1">
      <c r="A44" s="68"/>
      <c r="B44" s="1168"/>
      <c r="C44" s="1340"/>
      <c r="D44" s="1339"/>
      <c r="E44" s="1219"/>
      <c r="F44" s="1219"/>
      <c r="G44" s="1219"/>
      <c r="H44" s="1219"/>
      <c r="I44" s="1219"/>
      <c r="J44" s="1219"/>
      <c r="K44" s="1219"/>
      <c r="L44" s="1435"/>
      <c r="M44" s="1515"/>
      <c r="N44" s="1516"/>
      <c r="O44" s="1516"/>
      <c r="P44" s="1516"/>
      <c r="Q44" s="1516"/>
      <c r="R44" s="1517"/>
      <c r="S44" s="68"/>
      <c r="T44" s="146"/>
      <c r="U44" s="146"/>
      <c r="V44" s="146"/>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c r="FM44" s="68"/>
      <c r="FN44" s="68"/>
      <c r="FO44" s="68"/>
      <c r="FP44" s="68"/>
      <c r="FQ44" s="68"/>
      <c r="FR44" s="68"/>
      <c r="FS44" s="68"/>
      <c r="FT44" s="68"/>
      <c r="FU44" s="68"/>
      <c r="FV44" s="68"/>
      <c r="FW44" s="68"/>
      <c r="FX44" s="68"/>
      <c r="FY44" s="68"/>
      <c r="FZ44" s="68"/>
      <c r="GA44" s="68"/>
      <c r="GB44" s="68"/>
      <c r="GC44" s="68"/>
      <c r="GD44" s="68"/>
      <c r="GE44" s="68"/>
      <c r="GF44" s="68"/>
      <c r="GG44" s="68"/>
      <c r="GH44" s="68"/>
      <c r="GI44" s="68"/>
      <c r="GJ44" s="68"/>
      <c r="GK44" s="68"/>
      <c r="GL44" s="68"/>
      <c r="GM44" s="68"/>
      <c r="GN44" s="68"/>
      <c r="GO44" s="68"/>
      <c r="GP44" s="68"/>
      <c r="GQ44" s="68"/>
      <c r="GR44" s="68"/>
      <c r="GS44" s="68"/>
      <c r="GT44" s="68"/>
      <c r="GU44" s="68"/>
      <c r="GV44" s="68"/>
      <c r="GW44" s="68"/>
      <c r="GX44" s="68"/>
      <c r="GY44" s="68"/>
      <c r="GZ44" s="68"/>
      <c r="HA44" s="68"/>
      <c r="HB44" s="68"/>
      <c r="HC44" s="68"/>
      <c r="HD44" s="68"/>
      <c r="HE44" s="68"/>
      <c r="HF44" s="68"/>
      <c r="HG44" s="68"/>
      <c r="HH44" s="68"/>
      <c r="HI44" s="68"/>
      <c r="HJ44" s="68"/>
      <c r="HK44" s="68"/>
      <c r="HL44" s="68"/>
      <c r="HM44" s="68"/>
      <c r="HN44" s="68"/>
      <c r="HO44" s="68"/>
      <c r="HP44" s="68"/>
      <c r="HQ44" s="68"/>
      <c r="HR44" s="68"/>
      <c r="HS44" s="68"/>
      <c r="HT44" s="68"/>
      <c r="HU44" s="68"/>
      <c r="HV44" s="68"/>
      <c r="HW44" s="68"/>
      <c r="HX44" s="68"/>
      <c r="HY44" s="68"/>
      <c r="HZ44" s="68"/>
      <c r="IA44" s="68"/>
      <c r="IB44" s="68"/>
      <c r="IC44" s="68"/>
      <c r="ID44" s="68"/>
      <c r="IE44" s="68"/>
      <c r="IF44" s="68"/>
      <c r="IG44" s="68"/>
      <c r="IH44" s="68"/>
      <c r="II44" s="68"/>
      <c r="IJ44" s="68"/>
      <c r="IK44" s="68"/>
      <c r="IL44" s="68"/>
      <c r="IM44" s="68"/>
      <c r="IN44" s="68"/>
      <c r="IO44" s="68"/>
      <c r="IP44" s="68"/>
      <c r="IQ44" s="68"/>
      <c r="IR44" s="68"/>
      <c r="IS44" s="68"/>
      <c r="IT44" s="68"/>
      <c r="IU44" s="68"/>
      <c r="IV44" s="68"/>
    </row>
    <row r="45" spans="1:256" ht="18" customHeight="1">
      <c r="B45" s="1168"/>
      <c r="C45" s="1340"/>
      <c r="D45" s="1339"/>
      <c r="E45" s="1219"/>
      <c r="F45" s="1219"/>
      <c r="G45" s="1219"/>
      <c r="H45" s="1219"/>
      <c r="I45" s="1219"/>
      <c r="J45" s="1219"/>
      <c r="K45" s="1219"/>
      <c r="L45" s="1435"/>
      <c r="M45" s="1340" t="s">
        <v>714</v>
      </c>
      <c r="N45" s="1340"/>
      <c r="O45" s="205" t="s">
        <v>715</v>
      </c>
      <c r="P45" s="206">
        <v>0.8</v>
      </c>
      <c r="Q45" s="206">
        <v>0.7</v>
      </c>
      <c r="R45" s="207" t="s">
        <v>716</v>
      </c>
    </row>
    <row r="46" spans="1:256" ht="18" customHeight="1">
      <c r="B46" s="1168"/>
      <c r="C46" s="1340"/>
      <c r="D46" s="1339"/>
      <c r="E46" s="1219"/>
      <c r="F46" s="1219"/>
      <c r="G46" s="1219"/>
      <c r="H46" s="1219"/>
      <c r="I46" s="1219"/>
      <c r="J46" s="1219"/>
      <c r="K46" s="1219"/>
      <c r="L46" s="1435"/>
      <c r="M46" s="1340" t="s">
        <v>717</v>
      </c>
      <c r="N46" s="1340"/>
      <c r="O46" s="208" t="s">
        <v>643</v>
      </c>
      <c r="P46" s="208" t="s">
        <v>644</v>
      </c>
      <c r="Q46" s="208" t="s">
        <v>645</v>
      </c>
      <c r="R46" s="209" t="s">
        <v>718</v>
      </c>
    </row>
    <row r="47" spans="1:256" ht="18" customHeight="1" thickBot="1">
      <c r="B47" s="1168"/>
      <c r="C47" s="1340"/>
      <c r="D47" s="1317"/>
      <c r="E47" s="1318"/>
      <c r="F47" s="1318"/>
      <c r="G47" s="1318"/>
      <c r="H47" s="1318"/>
      <c r="I47" s="1318"/>
      <c r="J47" s="1318"/>
      <c r="K47" s="1318"/>
      <c r="L47" s="1437"/>
      <c r="M47" s="1574" t="s">
        <v>719</v>
      </c>
      <c r="N47" s="1574"/>
      <c r="O47" s="208" t="s">
        <v>644</v>
      </c>
      <c r="P47" s="210" t="s">
        <v>645</v>
      </c>
      <c r="Q47" s="208" t="s">
        <v>647</v>
      </c>
      <c r="R47" s="209" t="s">
        <v>720</v>
      </c>
    </row>
    <row r="48" spans="1:256" ht="18" customHeight="1">
      <c r="B48" s="1330" t="s">
        <v>721</v>
      </c>
      <c r="C48" s="1338"/>
      <c r="D48" s="1314" t="s">
        <v>44</v>
      </c>
      <c r="E48" s="1315"/>
      <c r="F48" s="1315"/>
      <c r="G48" s="1315"/>
      <c r="H48" s="1315"/>
      <c r="I48" s="1433"/>
      <c r="J48" s="1575" t="s">
        <v>682</v>
      </c>
      <c r="K48" s="1576"/>
      <c r="L48" s="1576"/>
      <c r="M48" s="1577" t="s">
        <v>722</v>
      </c>
      <c r="N48" s="1578"/>
      <c r="O48" s="479" t="s">
        <v>669</v>
      </c>
      <c r="P48" s="205" t="s">
        <v>668</v>
      </c>
      <c r="Q48" s="211" t="s">
        <v>723</v>
      </c>
      <c r="R48" s="207" t="s">
        <v>724</v>
      </c>
    </row>
    <row r="49" spans="1:256" ht="18" customHeight="1">
      <c r="B49" s="1312"/>
      <c r="C49" s="1313"/>
      <c r="D49" s="1339"/>
      <c r="E49" s="1219"/>
      <c r="F49" s="1219"/>
      <c r="G49" s="1219"/>
      <c r="H49" s="1219"/>
      <c r="I49" s="1435"/>
      <c r="J49" s="1579" t="s">
        <v>725</v>
      </c>
      <c r="K49" s="1575" t="s">
        <v>726</v>
      </c>
      <c r="L49" s="1576"/>
      <c r="M49" s="1584" t="s">
        <v>727</v>
      </c>
      <c r="N49" s="1585"/>
      <c r="O49" s="825">
        <v>0.48</v>
      </c>
      <c r="P49" s="826">
        <v>0.38</v>
      </c>
      <c r="Q49" s="827">
        <v>0.3</v>
      </c>
      <c r="R49" s="828">
        <v>0.2</v>
      </c>
    </row>
    <row r="50" spans="1:256" ht="18" customHeight="1">
      <c r="B50" s="1312"/>
      <c r="C50" s="1313"/>
      <c r="D50" s="1339"/>
      <c r="E50" s="1219"/>
      <c r="F50" s="1219"/>
      <c r="G50" s="1219"/>
      <c r="H50" s="1219"/>
      <c r="I50" s="1435"/>
      <c r="J50" s="1580"/>
      <c r="K50" s="1575" t="s">
        <v>728</v>
      </c>
      <c r="L50" s="1576"/>
      <c r="M50" s="1584">
        <v>0.32</v>
      </c>
      <c r="N50" s="1585"/>
      <c r="O50" s="825">
        <v>0.24</v>
      </c>
      <c r="P50" s="826">
        <v>0.16</v>
      </c>
      <c r="Q50" s="827">
        <v>0.1</v>
      </c>
      <c r="R50" s="828">
        <v>0.05</v>
      </c>
    </row>
    <row r="51" spans="1:256" ht="18" customHeight="1">
      <c r="B51" s="1312"/>
      <c r="C51" s="1313"/>
      <c r="D51" s="1339"/>
      <c r="E51" s="1219"/>
      <c r="F51" s="1219"/>
      <c r="G51" s="1219"/>
      <c r="H51" s="1219"/>
      <c r="I51" s="1435"/>
      <c r="J51" s="1579" t="s">
        <v>729</v>
      </c>
      <c r="K51" s="1575" t="s">
        <v>730</v>
      </c>
      <c r="L51" s="1576"/>
      <c r="M51" s="1584">
        <v>0.62</v>
      </c>
      <c r="N51" s="1585"/>
      <c r="O51" s="825">
        <v>0.51</v>
      </c>
      <c r="P51" s="826">
        <v>0.4</v>
      </c>
      <c r="Q51" s="827">
        <v>0.32</v>
      </c>
      <c r="R51" s="828">
        <v>0.24</v>
      </c>
    </row>
    <row r="52" spans="1:256" ht="18" customHeight="1" thickBot="1">
      <c r="B52" s="1533"/>
      <c r="C52" s="1534"/>
      <c r="D52" s="1317"/>
      <c r="E52" s="1318"/>
      <c r="F52" s="1318"/>
      <c r="G52" s="1318"/>
      <c r="H52" s="1318"/>
      <c r="I52" s="1437"/>
      <c r="J52" s="1580"/>
      <c r="K52" s="1575" t="s">
        <v>731</v>
      </c>
      <c r="L52" s="1576"/>
      <c r="M52" s="1586">
        <v>0.32</v>
      </c>
      <c r="N52" s="1587"/>
      <c r="O52" s="825">
        <v>0.24</v>
      </c>
      <c r="P52" s="826">
        <v>0.16</v>
      </c>
      <c r="Q52" s="827">
        <v>0.1</v>
      </c>
      <c r="R52" s="828">
        <v>0.05</v>
      </c>
    </row>
    <row r="53" spans="1:256" s="114" customFormat="1" ht="18" customHeight="1">
      <c r="A53" s="68"/>
      <c r="B53" s="1337" t="s">
        <v>732</v>
      </c>
      <c r="C53" s="1338"/>
      <c r="D53" s="1314" t="s">
        <v>45</v>
      </c>
      <c r="E53" s="1315"/>
      <c r="F53" s="1315"/>
      <c r="G53" s="1315"/>
      <c r="H53" s="1315"/>
      <c r="I53" s="1315"/>
      <c r="J53" s="1315"/>
      <c r="K53" s="1315"/>
      <c r="L53" s="1315"/>
      <c r="M53" s="1219"/>
      <c r="N53" s="1435"/>
      <c r="O53" s="788" t="s">
        <v>682</v>
      </c>
      <c r="P53" s="795" t="s">
        <v>733</v>
      </c>
      <c r="Q53" s="788" t="s">
        <v>734</v>
      </c>
      <c r="R53" s="796" t="s">
        <v>735</v>
      </c>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c r="HS53" s="68"/>
      <c r="HT53" s="68"/>
      <c r="HU53" s="68"/>
      <c r="HV53" s="68"/>
      <c r="HW53" s="68"/>
      <c r="HX53" s="68"/>
      <c r="HY53" s="68"/>
      <c r="HZ53" s="68"/>
      <c r="IA53" s="68"/>
      <c r="IB53" s="68"/>
      <c r="IC53" s="68"/>
      <c r="ID53" s="68"/>
      <c r="IE53" s="68"/>
      <c r="IF53" s="68"/>
      <c r="IG53" s="68"/>
      <c r="IH53" s="68"/>
      <c r="II53" s="68"/>
      <c r="IJ53" s="68"/>
      <c r="IK53" s="68"/>
      <c r="IL53" s="68"/>
      <c r="IM53" s="68"/>
      <c r="IN53" s="68"/>
      <c r="IO53" s="68"/>
      <c r="IP53" s="68"/>
      <c r="IQ53" s="68"/>
      <c r="IR53" s="68"/>
      <c r="IS53" s="68"/>
      <c r="IT53" s="68"/>
      <c r="IU53" s="68"/>
      <c r="IV53" s="68"/>
    </row>
    <row r="54" spans="1:256" s="114" customFormat="1" ht="18" customHeight="1" thickBot="1">
      <c r="A54" s="68"/>
      <c r="B54" s="1581"/>
      <c r="C54" s="1582"/>
      <c r="D54" s="1342"/>
      <c r="E54" s="1221"/>
      <c r="F54" s="1221"/>
      <c r="G54" s="1221"/>
      <c r="H54" s="1221"/>
      <c r="I54" s="1221"/>
      <c r="J54" s="1221"/>
      <c r="K54" s="1221"/>
      <c r="L54" s="1221"/>
      <c r="M54" s="1221"/>
      <c r="N54" s="1583"/>
      <c r="O54" s="789" t="s">
        <v>41</v>
      </c>
      <c r="P54" s="113">
        <v>0.22</v>
      </c>
      <c r="Q54" s="113">
        <v>0.27</v>
      </c>
      <c r="R54" s="212">
        <v>0.3</v>
      </c>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c r="HS54" s="68"/>
      <c r="HT54" s="68"/>
      <c r="HU54" s="68"/>
      <c r="HV54" s="68"/>
      <c r="HW54" s="68"/>
      <c r="HX54" s="68"/>
      <c r="HY54" s="68"/>
      <c r="HZ54" s="68"/>
      <c r="IA54" s="68"/>
      <c r="IB54" s="68"/>
      <c r="IC54" s="68"/>
      <c r="ID54" s="68"/>
      <c r="IE54" s="68"/>
      <c r="IF54" s="68"/>
      <c r="IG54" s="68"/>
      <c r="IH54" s="68"/>
      <c r="II54" s="68"/>
      <c r="IJ54" s="68"/>
      <c r="IK54" s="68"/>
      <c r="IL54" s="68"/>
      <c r="IM54" s="68"/>
      <c r="IN54" s="68"/>
      <c r="IO54" s="68"/>
      <c r="IP54" s="68"/>
      <c r="IQ54" s="68"/>
      <c r="IR54" s="68"/>
      <c r="IS54" s="68"/>
      <c r="IT54" s="68"/>
      <c r="IU54" s="68"/>
      <c r="IV54" s="68"/>
    </row>
    <row r="55" spans="1:256" ht="20.25" customHeight="1"/>
  </sheetData>
  <mergeCells count="103">
    <mergeCell ref="B48:C52"/>
    <mergeCell ref="D48:I52"/>
    <mergeCell ref="J48:L48"/>
    <mergeCell ref="M48:N48"/>
    <mergeCell ref="J49:J50"/>
    <mergeCell ref="K49:L49"/>
    <mergeCell ref="B53:C54"/>
    <mergeCell ref="D53:N54"/>
    <mergeCell ref="M49:N49"/>
    <mergeCell ref="K50:L50"/>
    <mergeCell ref="M50:N50"/>
    <mergeCell ref="J51:J52"/>
    <mergeCell ref="K51:L51"/>
    <mergeCell ref="M51:N51"/>
    <mergeCell ref="K52:L52"/>
    <mergeCell ref="M52:N52"/>
    <mergeCell ref="Q41:R41"/>
    <mergeCell ref="M42:N42"/>
    <mergeCell ref="O42:P42"/>
    <mergeCell ref="Q42:R42"/>
    <mergeCell ref="M43:N43"/>
    <mergeCell ref="O43:P43"/>
    <mergeCell ref="Q43:R43"/>
    <mergeCell ref="B39:C47"/>
    <mergeCell ref="D39:L47"/>
    <mergeCell ref="M39:N39"/>
    <mergeCell ref="O39:P39"/>
    <mergeCell ref="Q39:R39"/>
    <mergeCell ref="M40:N40"/>
    <mergeCell ref="O40:P40"/>
    <mergeCell ref="Q40:R40"/>
    <mergeCell ref="M41:N41"/>
    <mergeCell ref="O41:P41"/>
    <mergeCell ref="M44:R44"/>
    <mergeCell ref="M45:N45"/>
    <mergeCell ref="M46:N46"/>
    <mergeCell ref="M47:N47"/>
    <mergeCell ref="B33:C38"/>
    <mergeCell ref="D33:L38"/>
    <mergeCell ref="M33:O33"/>
    <mergeCell ref="M34:N36"/>
    <mergeCell ref="M37:N37"/>
    <mergeCell ref="M38:N38"/>
    <mergeCell ref="B30:C32"/>
    <mergeCell ref="D30:L30"/>
    <mergeCell ref="M30:N30"/>
    <mergeCell ref="D31:L31"/>
    <mergeCell ref="M31:N31"/>
    <mergeCell ref="D32:L32"/>
    <mergeCell ref="M32:N32"/>
    <mergeCell ref="B28:C29"/>
    <mergeCell ref="D28:J29"/>
    <mergeCell ref="K28:L28"/>
    <mergeCell ref="M28:N28"/>
    <mergeCell ref="O28:P28"/>
    <mergeCell ref="Q28:R28"/>
    <mergeCell ref="K29:L29"/>
    <mergeCell ref="M29:N29"/>
    <mergeCell ref="O29:P29"/>
    <mergeCell ref="Q29:R29"/>
    <mergeCell ref="B24:C24"/>
    <mergeCell ref="D24:H24"/>
    <mergeCell ref="K24:R24"/>
    <mergeCell ref="B25:C27"/>
    <mergeCell ref="D25:J26"/>
    <mergeCell ref="D27:J27"/>
    <mergeCell ref="K27:R27"/>
    <mergeCell ref="B19:C19"/>
    <mergeCell ref="D19:R19"/>
    <mergeCell ref="B20:C20"/>
    <mergeCell ref="D20:R20"/>
    <mergeCell ref="B21:C21"/>
    <mergeCell ref="D21:R21"/>
    <mergeCell ref="B14:C14"/>
    <mergeCell ref="D14:R14"/>
    <mergeCell ref="B15:C15"/>
    <mergeCell ref="D15:R15"/>
    <mergeCell ref="B16:C16"/>
    <mergeCell ref="D16:R16"/>
    <mergeCell ref="B10:B11"/>
    <mergeCell ref="D10:E10"/>
    <mergeCell ref="F10:G10"/>
    <mergeCell ref="H10:I10"/>
    <mergeCell ref="J10:K10"/>
    <mergeCell ref="D11:E11"/>
    <mergeCell ref="F11:G11"/>
    <mergeCell ref="H11:I11"/>
    <mergeCell ref="J11:K11"/>
    <mergeCell ref="B6:C6"/>
    <mergeCell ref="D6:I6"/>
    <mergeCell ref="J6:O6"/>
    <mergeCell ref="B9:C9"/>
    <mergeCell ref="D9:E9"/>
    <mergeCell ref="F9:G9"/>
    <mergeCell ref="H9:I9"/>
    <mergeCell ref="J9:K9"/>
    <mergeCell ref="B1:R1"/>
    <mergeCell ref="B4:C4"/>
    <mergeCell ref="D4:I4"/>
    <mergeCell ref="J4:O4"/>
    <mergeCell ref="B5:C5"/>
    <mergeCell ref="D5:I5"/>
    <mergeCell ref="J5:O5"/>
  </mergeCells>
  <phoneticPr fontId="99" type="noConversion"/>
  <printOptions horizontalCentered="1"/>
  <pageMargins left="0.31496062992125984" right="0.31496062992125984" top="0.31496062992125984" bottom="0.31496062992125984" header="0.31496062992125984" footer="0.31496062992125984"/>
  <pageSetup paperSize="9" scale="79" orientation="landscape" r:id="rId1"/>
  <rowBreaks count="2" manualBreakCount="2">
    <brk id="22" max="17" man="1"/>
    <brk id="54"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4"/>
  <sheetViews>
    <sheetView zoomScaleNormal="100" workbookViewId="0"/>
  </sheetViews>
  <sheetFormatPr defaultColWidth="9.625" defaultRowHeight="16.5"/>
  <cols>
    <col min="1" max="1" width="1" style="149" customWidth="1"/>
    <col min="2" max="2" width="9.625" style="213" customWidth="1"/>
    <col min="3" max="4" width="7.875" style="871" customWidth="1"/>
    <col min="5" max="5" width="7.125" style="150" customWidth="1"/>
    <col min="6" max="6" width="7" style="150" customWidth="1"/>
    <col min="7" max="9" width="5.625" style="150" customWidth="1"/>
    <col min="10" max="10" width="5.875" style="149" customWidth="1"/>
    <col min="11" max="12" width="6.5" style="149" customWidth="1"/>
    <col min="13" max="13" width="5.625" style="149" customWidth="1"/>
    <col min="14" max="15" width="6.375" style="149" customWidth="1"/>
    <col min="16" max="16" width="7" style="149" customWidth="1"/>
    <col min="17" max="17" width="6.625" style="149" customWidth="1"/>
    <col min="18" max="18" width="5.875" style="149" customWidth="1"/>
    <col min="19" max="20" width="5.75" style="149" customWidth="1"/>
    <col min="21" max="22" width="6.25" style="149" customWidth="1"/>
    <col min="23" max="25" width="4.75" style="149" customWidth="1"/>
    <col min="26" max="26" width="6.625" style="149" bestFit="1" customWidth="1"/>
    <col min="27" max="40" width="7.625" style="149" customWidth="1"/>
    <col min="41" max="42" width="7.625" style="151" customWidth="1"/>
    <col min="43" max="43" width="7.625" style="149" customWidth="1"/>
    <col min="44" max="44" width="2.875" style="149" customWidth="1"/>
    <col min="45" max="16384" width="9.625" style="149"/>
  </cols>
  <sheetData>
    <row r="1" spans="1:47" ht="30" customHeight="1" thickBot="1">
      <c r="A1" s="148"/>
      <c r="B1" s="1271" t="s">
        <v>1727</v>
      </c>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c r="AM1" s="1271"/>
      <c r="AN1" s="1271"/>
      <c r="AO1" s="1271"/>
      <c r="AP1" s="1271"/>
      <c r="AQ1" s="1271"/>
    </row>
    <row r="2" spans="1:47" s="2" customFormat="1" ht="6" customHeight="1" thickTop="1">
      <c r="A2" s="5"/>
      <c r="B2" s="37"/>
      <c r="C2" s="37"/>
      <c r="D2" s="37"/>
      <c r="E2" s="37"/>
      <c r="F2" s="37"/>
      <c r="G2" s="37"/>
      <c r="H2" s="5"/>
      <c r="I2" s="5"/>
      <c r="J2" s="6"/>
      <c r="K2" s="6"/>
      <c r="L2" s="6"/>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7" s="274" customFormat="1" ht="18" customHeight="1">
      <c r="B3" s="364" t="s">
        <v>1746</v>
      </c>
      <c r="C3" s="273"/>
      <c r="D3" s="273"/>
      <c r="E3" s="273"/>
      <c r="F3" s="273"/>
      <c r="G3" s="273"/>
      <c r="N3" s="275"/>
      <c r="O3" s="275"/>
      <c r="P3" s="275"/>
    </row>
    <row r="4" spans="1:47" s="2" customFormat="1" ht="6" customHeight="1" thickBot="1">
      <c r="A4" s="5"/>
      <c r="B4" s="37"/>
      <c r="C4" s="37"/>
      <c r="D4" s="37"/>
      <c r="E4" s="37"/>
      <c r="F4" s="37"/>
      <c r="G4" s="37"/>
      <c r="H4" s="5"/>
      <c r="I4" s="5"/>
      <c r="J4" s="6"/>
      <c r="K4" s="6"/>
      <c r="L4" s="6"/>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row>
    <row r="5" spans="1:47" ht="18" customHeight="1">
      <c r="A5" s="17"/>
      <c r="B5" s="1272" t="s">
        <v>736</v>
      </c>
      <c r="C5" s="1273"/>
      <c r="D5" s="1273"/>
      <c r="E5" s="1274"/>
      <c r="F5" s="1588" t="s">
        <v>737</v>
      </c>
      <c r="G5" s="1353" t="s">
        <v>738</v>
      </c>
      <c r="H5" s="1481"/>
      <c r="I5" s="1482"/>
      <c r="J5" s="787">
        <v>4.53</v>
      </c>
      <c r="K5" s="829">
        <v>0.2</v>
      </c>
      <c r="L5" s="1356" t="s">
        <v>739</v>
      </c>
      <c r="M5" s="1590"/>
      <c r="N5" s="1590"/>
      <c r="O5" s="1590"/>
      <c r="P5" s="1357"/>
      <c r="Q5" s="1591" t="s">
        <v>740</v>
      </c>
      <c r="R5" s="1592"/>
      <c r="S5" s="1591" t="s">
        <v>741</v>
      </c>
      <c r="T5" s="1593"/>
      <c r="U5" s="1593"/>
      <c r="V5" s="1592"/>
      <c r="W5" s="1594" t="s">
        <v>742</v>
      </c>
      <c r="X5" s="1352"/>
      <c r="Y5" s="1595"/>
      <c r="Z5" s="1596" t="s">
        <v>743</v>
      </c>
      <c r="AA5" s="1597"/>
      <c r="AB5" s="1598"/>
      <c r="AC5" s="1599" t="s">
        <v>744</v>
      </c>
      <c r="AD5" s="1600"/>
      <c r="AE5" s="830">
        <v>0.93</v>
      </c>
      <c r="AF5" s="1599" t="s">
        <v>745</v>
      </c>
      <c r="AG5" s="1600"/>
      <c r="AH5" s="830">
        <v>0.86</v>
      </c>
      <c r="AI5" s="1599" t="s">
        <v>746</v>
      </c>
      <c r="AJ5" s="1600"/>
      <c r="AK5" s="830">
        <v>0.83</v>
      </c>
      <c r="AL5" s="1599" t="s">
        <v>747</v>
      </c>
      <c r="AM5" s="1600"/>
      <c r="AN5" s="830">
        <v>0.75</v>
      </c>
      <c r="AO5" s="1596" t="s">
        <v>748</v>
      </c>
      <c r="AP5" s="1601"/>
      <c r="AQ5" s="830">
        <v>0.7</v>
      </c>
      <c r="AS5" s="485"/>
      <c r="AT5" s="485"/>
      <c r="AU5" s="485"/>
    </row>
    <row r="6" spans="1:47" ht="24.95" customHeight="1" thickBot="1">
      <c r="A6" s="17"/>
      <c r="B6" s="227" t="s">
        <v>749</v>
      </c>
      <c r="C6" s="831" t="s">
        <v>750</v>
      </c>
      <c r="D6" s="831" t="s">
        <v>751</v>
      </c>
      <c r="E6" s="446" t="s">
        <v>752</v>
      </c>
      <c r="F6" s="1589"/>
      <c r="G6" s="454" t="s">
        <v>753</v>
      </c>
      <c r="H6" s="454" t="s">
        <v>754</v>
      </c>
      <c r="I6" s="61" t="s">
        <v>755</v>
      </c>
      <c r="J6" s="798" t="s">
        <v>756</v>
      </c>
      <c r="K6" s="797" t="s">
        <v>757</v>
      </c>
      <c r="L6" s="797" t="s">
        <v>692</v>
      </c>
      <c r="M6" s="454" t="s">
        <v>758</v>
      </c>
      <c r="N6" s="454" t="s">
        <v>759</v>
      </c>
      <c r="O6" s="454" t="s">
        <v>697</v>
      </c>
      <c r="P6" s="454" t="s">
        <v>760</v>
      </c>
      <c r="Q6" s="454" t="s">
        <v>761</v>
      </c>
      <c r="R6" s="454" t="s">
        <v>760</v>
      </c>
      <c r="S6" s="454" t="s">
        <v>758</v>
      </c>
      <c r="T6" s="454" t="s">
        <v>759</v>
      </c>
      <c r="U6" s="454" t="s">
        <v>761</v>
      </c>
      <c r="V6" s="454" t="s">
        <v>760</v>
      </c>
      <c r="W6" s="454" t="s">
        <v>762</v>
      </c>
      <c r="X6" s="454" t="s">
        <v>763</v>
      </c>
      <c r="Y6" s="61" t="s">
        <v>764</v>
      </c>
      <c r="Z6" s="832" t="s">
        <v>765</v>
      </c>
      <c r="AA6" s="833" t="s">
        <v>766</v>
      </c>
      <c r="AB6" s="834" t="s">
        <v>767</v>
      </c>
      <c r="AC6" s="832" t="s">
        <v>765</v>
      </c>
      <c r="AD6" s="833" t="s">
        <v>766</v>
      </c>
      <c r="AE6" s="834" t="s">
        <v>767</v>
      </c>
      <c r="AF6" s="832" t="s">
        <v>765</v>
      </c>
      <c r="AG6" s="833" t="s">
        <v>766</v>
      </c>
      <c r="AH6" s="834" t="s">
        <v>767</v>
      </c>
      <c r="AI6" s="832" t="s">
        <v>765</v>
      </c>
      <c r="AJ6" s="833" t="s">
        <v>766</v>
      </c>
      <c r="AK6" s="834" t="s">
        <v>767</v>
      </c>
      <c r="AL6" s="832" t="s">
        <v>765</v>
      </c>
      <c r="AM6" s="833" t="s">
        <v>766</v>
      </c>
      <c r="AN6" s="834" t="s">
        <v>767</v>
      </c>
      <c r="AO6" s="832" t="s">
        <v>765</v>
      </c>
      <c r="AP6" s="833" t="s">
        <v>766</v>
      </c>
      <c r="AQ6" s="834" t="s">
        <v>767</v>
      </c>
      <c r="AS6" s="485"/>
      <c r="AT6" s="485"/>
      <c r="AU6" s="485"/>
    </row>
    <row r="7" spans="1:47" ht="18" customHeight="1">
      <c r="A7" s="17"/>
      <c r="B7" s="1602" t="s">
        <v>768</v>
      </c>
      <c r="C7" s="1603"/>
      <c r="D7" s="1603"/>
      <c r="E7" s="1604"/>
      <c r="F7" s="1605">
        <v>1000</v>
      </c>
      <c r="G7" s="1227">
        <f>F7*C8</f>
        <v>800</v>
      </c>
      <c r="H7" s="1227">
        <f>F7*D8</f>
        <v>100</v>
      </c>
      <c r="I7" s="1606">
        <f>F7*E8</f>
        <v>100</v>
      </c>
      <c r="J7" s="1607">
        <f>G7*$J$5</f>
        <v>3624</v>
      </c>
      <c r="K7" s="1613">
        <f>G7*$K$5</f>
        <v>160</v>
      </c>
      <c r="L7" s="1618">
        <v>0</v>
      </c>
      <c r="M7" s="1268">
        <f>G7*10%*5</f>
        <v>400</v>
      </c>
      <c r="N7" s="1227">
        <f>G7*10%*6</f>
        <v>480</v>
      </c>
      <c r="O7" s="1227">
        <f>H7*15%*12</f>
        <v>180</v>
      </c>
      <c r="P7" s="1227">
        <f>I7*15%*12</f>
        <v>180</v>
      </c>
      <c r="Q7" s="1268">
        <f>H7*20%*12</f>
        <v>240</v>
      </c>
      <c r="R7" s="1615">
        <f>I7*25%*12</f>
        <v>300</v>
      </c>
      <c r="S7" s="1227">
        <f>M7*62%</f>
        <v>248</v>
      </c>
      <c r="T7" s="1227">
        <f>N7*62%</f>
        <v>297.60000000000002</v>
      </c>
      <c r="U7" s="1227">
        <f t="shared" ref="U7:V7" si="0">O7*40%</f>
        <v>72</v>
      </c>
      <c r="V7" s="1617">
        <f t="shared" si="0"/>
        <v>72</v>
      </c>
      <c r="W7" s="1608">
        <f>G7*22%</f>
        <v>176</v>
      </c>
      <c r="X7" s="1610">
        <f>G7*27%</f>
        <v>216</v>
      </c>
      <c r="Y7" s="1611">
        <f>G7*30%</f>
        <v>240</v>
      </c>
      <c r="Z7" s="22">
        <f>J7+K7</f>
        <v>3784</v>
      </c>
      <c r="AA7" s="23">
        <f>J7+K7+M7+N7+S7+T7</f>
        <v>5209.6000000000004</v>
      </c>
      <c r="AB7" s="27">
        <f>J7+K7+L7+M7+N7+O7+P7+Q7+R7+S7+T7+U7+V7+W7+X7+Y7</f>
        <v>6885.6</v>
      </c>
      <c r="AC7" s="35">
        <f>Z7*$AE$5</f>
        <v>3519.1200000000003</v>
      </c>
      <c r="AD7" s="23">
        <f>AA7*$AE$5</f>
        <v>4844.9280000000008</v>
      </c>
      <c r="AE7" s="107">
        <f>AB7*$AE$5</f>
        <v>6403.6080000000011</v>
      </c>
      <c r="AF7" s="22">
        <f>Z7*$AH$5</f>
        <v>3254.24</v>
      </c>
      <c r="AG7" s="23">
        <f>AA7*$AH$5</f>
        <v>4480.2560000000003</v>
      </c>
      <c r="AH7" s="24">
        <f>AB7*$AH$5</f>
        <v>5921.616</v>
      </c>
      <c r="AI7" s="22">
        <f>Z7*$AK$5</f>
        <v>3140.72</v>
      </c>
      <c r="AJ7" s="23">
        <f>AA7*$AK$5</f>
        <v>4323.9679999999998</v>
      </c>
      <c r="AK7" s="24">
        <f>AB7*$AK$5</f>
        <v>5715.0479999999998</v>
      </c>
      <c r="AL7" s="35">
        <f>Z7*$AN$5</f>
        <v>2838</v>
      </c>
      <c r="AM7" s="107">
        <f>AA7*$AN$5</f>
        <v>3907.2000000000003</v>
      </c>
      <c r="AN7" s="107">
        <f>AB7*$AN$5</f>
        <v>5164.2000000000007</v>
      </c>
      <c r="AO7" s="22">
        <f>Z7*$AQ$5</f>
        <v>2648.7999999999997</v>
      </c>
      <c r="AP7" s="107">
        <f>AA7*$AQ$5</f>
        <v>3646.72</v>
      </c>
      <c r="AQ7" s="24">
        <f>AB7*$AQ$5</f>
        <v>4819.92</v>
      </c>
      <c r="AS7" s="485"/>
      <c r="AT7" s="485"/>
      <c r="AU7" s="485"/>
    </row>
    <row r="8" spans="1:47" ht="18" customHeight="1">
      <c r="A8" s="17"/>
      <c r="B8" s="216" t="s">
        <v>769</v>
      </c>
      <c r="C8" s="835">
        <v>0.8</v>
      </c>
      <c r="D8" s="835">
        <v>0.1</v>
      </c>
      <c r="E8" s="293">
        <v>0.1</v>
      </c>
      <c r="F8" s="1605"/>
      <c r="G8" s="1227"/>
      <c r="H8" s="1227"/>
      <c r="I8" s="1606"/>
      <c r="J8" s="1607"/>
      <c r="K8" s="1614"/>
      <c r="L8" s="1614"/>
      <c r="M8" s="1232"/>
      <c r="N8" s="1227"/>
      <c r="O8" s="1227"/>
      <c r="P8" s="1227"/>
      <c r="Q8" s="1232"/>
      <c r="R8" s="1616"/>
      <c r="S8" s="1227"/>
      <c r="T8" s="1227"/>
      <c r="U8" s="1227"/>
      <c r="V8" s="1617"/>
      <c r="W8" s="1609"/>
      <c r="X8" s="1609"/>
      <c r="Y8" s="1612"/>
      <c r="Z8" s="186">
        <f>Z7/F7</f>
        <v>3.7839999999999998</v>
      </c>
      <c r="AA8" s="189">
        <f>AA7/F7</f>
        <v>5.2096</v>
      </c>
      <c r="AB8" s="188">
        <f>AB7/F7</f>
        <v>6.8856000000000002</v>
      </c>
      <c r="AC8" s="187">
        <f>AC7/F7</f>
        <v>3.5191200000000005</v>
      </c>
      <c r="AD8" s="189">
        <f>AD7/F7</f>
        <v>4.8449280000000012</v>
      </c>
      <c r="AE8" s="190">
        <f>AE7/F7</f>
        <v>6.4036080000000011</v>
      </c>
      <c r="AF8" s="186">
        <f>AF7/F7</f>
        <v>3.2542399999999998</v>
      </c>
      <c r="AG8" s="189">
        <f>AG7/F7</f>
        <v>4.4802560000000007</v>
      </c>
      <c r="AH8" s="188">
        <f>AH7/F7</f>
        <v>5.9216160000000002</v>
      </c>
      <c r="AI8" s="186">
        <f>AI7/F7</f>
        <v>3.14072</v>
      </c>
      <c r="AJ8" s="189">
        <f>AJ7/F7</f>
        <v>4.3239679999999998</v>
      </c>
      <c r="AK8" s="188">
        <f>AK7/F7</f>
        <v>5.7150479999999995</v>
      </c>
      <c r="AL8" s="187">
        <f>AL7/F7</f>
        <v>2.8380000000000001</v>
      </c>
      <c r="AM8" s="190">
        <f>AM7/F7</f>
        <v>3.9072000000000005</v>
      </c>
      <c r="AN8" s="190">
        <f>AN7/F7</f>
        <v>5.164200000000001</v>
      </c>
      <c r="AO8" s="186">
        <f>AO7/F7</f>
        <v>2.6487999999999996</v>
      </c>
      <c r="AP8" s="190">
        <f>AP7/F7</f>
        <v>3.6467199999999997</v>
      </c>
      <c r="AQ8" s="188">
        <f>AQ7/F7</f>
        <v>4.8199199999999998</v>
      </c>
      <c r="AS8" s="485"/>
      <c r="AT8" s="485"/>
      <c r="AU8" s="485"/>
    </row>
    <row r="9" spans="1:47" ht="18" customHeight="1">
      <c r="A9" s="17"/>
      <c r="B9" s="1372" t="s">
        <v>770</v>
      </c>
      <c r="C9" s="1373"/>
      <c r="D9" s="1373"/>
      <c r="E9" s="1374"/>
      <c r="F9" s="1605">
        <v>1000</v>
      </c>
      <c r="G9" s="1227">
        <f>F9*C10</f>
        <v>1500</v>
      </c>
      <c r="H9" s="1227">
        <f>F9*D10</f>
        <v>200</v>
      </c>
      <c r="I9" s="1606">
        <f>F9*E10</f>
        <v>200</v>
      </c>
      <c r="J9" s="1607">
        <f>(G9*$J$5)+(G9*60%)</f>
        <v>7695</v>
      </c>
      <c r="K9" s="1613">
        <f>G9*$K$5</f>
        <v>300</v>
      </c>
      <c r="L9" s="1613">
        <f>G9*15%*5</f>
        <v>1125</v>
      </c>
      <c r="M9" s="1268">
        <v>0</v>
      </c>
      <c r="N9" s="1227">
        <f>G9*20%*6</f>
        <v>1800</v>
      </c>
      <c r="O9" s="1227">
        <f>H9*15%*12</f>
        <v>360</v>
      </c>
      <c r="P9" s="1227">
        <f>I9*15%*12</f>
        <v>360</v>
      </c>
      <c r="Q9" s="1268">
        <f>H9*100%*12</f>
        <v>2400</v>
      </c>
      <c r="R9" s="1615">
        <f>I9*50%*12</f>
        <v>1200</v>
      </c>
      <c r="S9" s="1227">
        <f>L9*62%</f>
        <v>697.5</v>
      </c>
      <c r="T9" s="1227">
        <f>N9*62%</f>
        <v>1116</v>
      </c>
      <c r="U9" s="1227">
        <f t="shared" ref="U9:V9" si="1">O9*40%</f>
        <v>144</v>
      </c>
      <c r="V9" s="1617">
        <f t="shared" si="1"/>
        <v>144</v>
      </c>
      <c r="W9" s="1608"/>
      <c r="X9" s="1610"/>
      <c r="Y9" s="1611"/>
      <c r="Z9" s="25">
        <f>J9+K9+L9</f>
        <v>9120</v>
      </c>
      <c r="AA9" s="26">
        <f>J9+K9++L9+M9+N9+S9+T9</f>
        <v>12733.5</v>
      </c>
      <c r="AB9" s="27">
        <f>J9+K9+L9+M9+N9+O9+P9+Q9+R9+S9+T9+U9+V9+W9+X9+Y9</f>
        <v>17341.5</v>
      </c>
      <c r="AC9" s="36">
        <f>Z9*$AE$5</f>
        <v>8481.6</v>
      </c>
      <c r="AD9" s="26">
        <f>AA9*$AE$5</f>
        <v>11842.155000000001</v>
      </c>
      <c r="AE9" s="110">
        <f>AB9*$AE$5</f>
        <v>16127.595000000001</v>
      </c>
      <c r="AF9" s="25">
        <f t="shared" ref="AF9:AH9" si="2">Z9*$AH$5</f>
        <v>7843.2</v>
      </c>
      <c r="AG9" s="26">
        <f t="shared" si="2"/>
        <v>10950.81</v>
      </c>
      <c r="AH9" s="27">
        <f t="shared" si="2"/>
        <v>14913.69</v>
      </c>
      <c r="AI9" s="25">
        <f>Z9*$AK$5</f>
        <v>7569.5999999999995</v>
      </c>
      <c r="AJ9" s="26">
        <f>AA9*$AK$5</f>
        <v>10568.805</v>
      </c>
      <c r="AK9" s="27">
        <f>AB9*$AK$5</f>
        <v>14393.445</v>
      </c>
      <c r="AL9" s="36">
        <f>Z9*$AN$5</f>
        <v>6840</v>
      </c>
      <c r="AM9" s="110">
        <f>AA9*$AN$5</f>
        <v>9550.125</v>
      </c>
      <c r="AN9" s="110">
        <f>AB9*$AN$5</f>
        <v>13006.125</v>
      </c>
      <c r="AO9" s="25">
        <f>Z9*$AQ$5</f>
        <v>6384</v>
      </c>
      <c r="AP9" s="110">
        <f>AA9*$AQ$5</f>
        <v>8913.4499999999989</v>
      </c>
      <c r="AQ9" s="27">
        <f>AB9*$AQ$5</f>
        <v>12139.05</v>
      </c>
      <c r="AS9" s="485"/>
      <c r="AT9" s="485"/>
      <c r="AU9" s="485"/>
    </row>
    <row r="10" spans="1:47" ht="18" customHeight="1">
      <c r="A10" s="17"/>
      <c r="B10" s="433" t="s">
        <v>771</v>
      </c>
      <c r="C10" s="835">
        <v>1.5</v>
      </c>
      <c r="D10" s="835">
        <v>0.2</v>
      </c>
      <c r="E10" s="293">
        <v>0.2</v>
      </c>
      <c r="F10" s="1605"/>
      <c r="G10" s="1227"/>
      <c r="H10" s="1227"/>
      <c r="I10" s="1606"/>
      <c r="J10" s="1607"/>
      <c r="K10" s="1614"/>
      <c r="L10" s="1620"/>
      <c r="M10" s="1232"/>
      <c r="N10" s="1227"/>
      <c r="O10" s="1227"/>
      <c r="P10" s="1227"/>
      <c r="Q10" s="1232"/>
      <c r="R10" s="1616"/>
      <c r="S10" s="1227"/>
      <c r="T10" s="1227"/>
      <c r="U10" s="1227"/>
      <c r="V10" s="1617"/>
      <c r="W10" s="1609"/>
      <c r="X10" s="1609"/>
      <c r="Y10" s="1612"/>
      <c r="Z10" s="186">
        <f>Z9/F9</f>
        <v>9.1199999999999992</v>
      </c>
      <c r="AA10" s="189">
        <f>AA9/F9</f>
        <v>12.733499999999999</v>
      </c>
      <c r="AB10" s="188">
        <f>AB9/F9</f>
        <v>17.3415</v>
      </c>
      <c r="AC10" s="187">
        <f>AC9/F9</f>
        <v>8.4816000000000003</v>
      </c>
      <c r="AD10" s="189">
        <f>AD9/F9</f>
        <v>11.842155</v>
      </c>
      <c r="AE10" s="190">
        <f>AE9/F9</f>
        <v>16.127594999999999</v>
      </c>
      <c r="AF10" s="186">
        <f t="shared" ref="AF10" si="3">AF9/F9</f>
        <v>7.8431999999999995</v>
      </c>
      <c r="AG10" s="189">
        <f t="shared" ref="AG10" si="4">AG9/F9</f>
        <v>10.950809999999999</v>
      </c>
      <c r="AH10" s="188">
        <f t="shared" ref="AH10" si="5">AH9/F9</f>
        <v>14.913690000000001</v>
      </c>
      <c r="AI10" s="186">
        <f>AI9/F9</f>
        <v>7.5695999999999994</v>
      </c>
      <c r="AJ10" s="189">
        <f>AJ9/F9</f>
        <v>10.568805000000001</v>
      </c>
      <c r="AK10" s="188">
        <f>AK9/F9</f>
        <v>14.393445</v>
      </c>
      <c r="AL10" s="187">
        <f>AL9/F9</f>
        <v>6.84</v>
      </c>
      <c r="AM10" s="190">
        <f>AM9/F9</f>
        <v>9.5501249999999995</v>
      </c>
      <c r="AN10" s="190">
        <f>AN9/F9</f>
        <v>13.006125000000001</v>
      </c>
      <c r="AO10" s="186">
        <f>AO9/F9</f>
        <v>6.3840000000000003</v>
      </c>
      <c r="AP10" s="190">
        <f>AP9/F9</f>
        <v>8.9134499999999992</v>
      </c>
      <c r="AQ10" s="188">
        <f>AQ9/F9</f>
        <v>12.139049999999999</v>
      </c>
      <c r="AS10" s="485"/>
      <c r="AT10" s="485"/>
      <c r="AU10" s="485"/>
    </row>
    <row r="11" spans="1:47" ht="18" customHeight="1">
      <c r="A11" s="17"/>
      <c r="B11" s="1372" t="s">
        <v>772</v>
      </c>
      <c r="C11" s="1373"/>
      <c r="D11" s="1373"/>
      <c r="E11" s="1374"/>
      <c r="F11" s="1605">
        <v>1000</v>
      </c>
      <c r="G11" s="1227">
        <f>F11*C12</f>
        <v>800</v>
      </c>
      <c r="H11" s="1227">
        <f>F11*D12</f>
        <v>100</v>
      </c>
      <c r="I11" s="1606">
        <f>F11*E12</f>
        <v>100</v>
      </c>
      <c r="J11" s="1607">
        <f>G11*$J$5</f>
        <v>3624</v>
      </c>
      <c r="K11" s="1613">
        <f>G11*$K$5</f>
        <v>160</v>
      </c>
      <c r="L11" s="1619">
        <v>0</v>
      </c>
      <c r="M11" s="1268">
        <f>G11*10%*5</f>
        <v>400</v>
      </c>
      <c r="N11" s="1227">
        <f>G11*10%*6</f>
        <v>480</v>
      </c>
      <c r="O11" s="1227">
        <f>H11*15%*12</f>
        <v>180</v>
      </c>
      <c r="P11" s="1227">
        <f>I11*15%*12</f>
        <v>180</v>
      </c>
      <c r="Q11" s="1268">
        <f>H11*20%*12</f>
        <v>240</v>
      </c>
      <c r="R11" s="1615">
        <f>I11*25%*12</f>
        <v>300</v>
      </c>
      <c r="S11" s="1227">
        <f>M11*62%</f>
        <v>248</v>
      </c>
      <c r="T11" s="1227">
        <f>N11*62%</f>
        <v>297.60000000000002</v>
      </c>
      <c r="U11" s="1227">
        <f t="shared" ref="U11:V11" si="6">O11*40%</f>
        <v>72</v>
      </c>
      <c r="V11" s="1617">
        <f t="shared" si="6"/>
        <v>72</v>
      </c>
      <c r="W11" s="1608">
        <f>G11*22%</f>
        <v>176</v>
      </c>
      <c r="X11" s="1610">
        <f>G11*27%</f>
        <v>216</v>
      </c>
      <c r="Y11" s="1611">
        <f>G11*30%</f>
        <v>240</v>
      </c>
      <c r="Z11" s="25">
        <f>J11+K11</f>
        <v>3784</v>
      </c>
      <c r="AA11" s="26">
        <f>J11+K11+M11+N11+S11+T11</f>
        <v>5209.6000000000004</v>
      </c>
      <c r="AB11" s="27">
        <f>J11+K11+L11+M11+N11+O11+P11+Q11+R11+S11+T11+U11+V11+W11+X11+Y11</f>
        <v>6885.6</v>
      </c>
      <c r="AC11" s="36">
        <f>Z11*$AE$5</f>
        <v>3519.1200000000003</v>
      </c>
      <c r="AD11" s="26">
        <f>AA11*$AE$5</f>
        <v>4844.9280000000008</v>
      </c>
      <c r="AE11" s="110">
        <f>AB11*$AE$5</f>
        <v>6403.6080000000011</v>
      </c>
      <c r="AF11" s="25">
        <f t="shared" ref="AF11:AH11" si="7">Z11*$AH$5</f>
        <v>3254.24</v>
      </c>
      <c r="AG11" s="26">
        <f t="shared" si="7"/>
        <v>4480.2560000000003</v>
      </c>
      <c r="AH11" s="27">
        <f t="shared" si="7"/>
        <v>5921.616</v>
      </c>
      <c r="AI11" s="25">
        <f>Z11*$AK$5</f>
        <v>3140.72</v>
      </c>
      <c r="AJ11" s="26">
        <f>AA11*$AK$5</f>
        <v>4323.9679999999998</v>
      </c>
      <c r="AK11" s="27">
        <f>AB11*$AK$5</f>
        <v>5715.0479999999998</v>
      </c>
      <c r="AL11" s="36">
        <f>Z11*$AN$5</f>
        <v>2838</v>
      </c>
      <c r="AM11" s="110">
        <f>AA11*$AN$5</f>
        <v>3907.2000000000003</v>
      </c>
      <c r="AN11" s="110">
        <f>AB11*$AN$5</f>
        <v>5164.2000000000007</v>
      </c>
      <c r="AO11" s="25">
        <f>Z11*$AQ$5</f>
        <v>2648.7999999999997</v>
      </c>
      <c r="AP11" s="110">
        <f>AA11*$AQ$5</f>
        <v>3646.72</v>
      </c>
      <c r="AQ11" s="27">
        <f>AB11*$AQ$5</f>
        <v>4819.92</v>
      </c>
      <c r="AS11" s="485"/>
      <c r="AT11" s="485"/>
      <c r="AU11" s="485"/>
    </row>
    <row r="12" spans="1:47" ht="18" customHeight="1">
      <c r="A12" s="17"/>
      <c r="B12" s="433" t="s">
        <v>769</v>
      </c>
      <c r="C12" s="835">
        <v>0.8</v>
      </c>
      <c r="D12" s="835">
        <v>0.1</v>
      </c>
      <c r="E12" s="293">
        <v>0.1</v>
      </c>
      <c r="F12" s="1605"/>
      <c r="G12" s="1227"/>
      <c r="H12" s="1227"/>
      <c r="I12" s="1606"/>
      <c r="J12" s="1607"/>
      <c r="K12" s="1614"/>
      <c r="L12" s="1619"/>
      <c r="M12" s="1232"/>
      <c r="N12" s="1227"/>
      <c r="O12" s="1227"/>
      <c r="P12" s="1227"/>
      <c r="Q12" s="1232"/>
      <c r="R12" s="1616"/>
      <c r="S12" s="1227"/>
      <c r="T12" s="1227"/>
      <c r="U12" s="1227"/>
      <c r="V12" s="1617"/>
      <c r="W12" s="1609"/>
      <c r="X12" s="1609"/>
      <c r="Y12" s="1612"/>
      <c r="Z12" s="186">
        <f>Z11/F11</f>
        <v>3.7839999999999998</v>
      </c>
      <c r="AA12" s="189">
        <f>AA11/F11</f>
        <v>5.2096</v>
      </c>
      <c r="AB12" s="188">
        <f>AB11/F11</f>
        <v>6.8856000000000002</v>
      </c>
      <c r="AC12" s="187">
        <f>AC11/F11</f>
        <v>3.5191200000000005</v>
      </c>
      <c r="AD12" s="189">
        <f>AD11/F11</f>
        <v>4.8449280000000012</v>
      </c>
      <c r="AE12" s="190">
        <f>AE11/F11</f>
        <v>6.4036080000000011</v>
      </c>
      <c r="AF12" s="186">
        <f t="shared" ref="AF12" si="8">AF11/F11</f>
        <v>3.2542399999999998</v>
      </c>
      <c r="AG12" s="189">
        <f t="shared" ref="AG12" si="9">AG11/F11</f>
        <v>4.4802560000000007</v>
      </c>
      <c r="AH12" s="188">
        <f t="shared" ref="AH12" si="10">AH11/F11</f>
        <v>5.9216160000000002</v>
      </c>
      <c r="AI12" s="186">
        <f>AI11/F11</f>
        <v>3.14072</v>
      </c>
      <c r="AJ12" s="189">
        <f>AJ11/F11</f>
        <v>4.3239679999999998</v>
      </c>
      <c r="AK12" s="188">
        <f>AK11/F11</f>
        <v>5.7150479999999995</v>
      </c>
      <c r="AL12" s="187">
        <f>AL11/F11</f>
        <v>2.8380000000000001</v>
      </c>
      <c r="AM12" s="190">
        <f>AM11/F11</f>
        <v>3.9072000000000005</v>
      </c>
      <c r="AN12" s="190">
        <f>AN11/F11</f>
        <v>5.164200000000001</v>
      </c>
      <c r="AO12" s="186">
        <f>AO11/F11</f>
        <v>2.6487999999999996</v>
      </c>
      <c r="AP12" s="190">
        <f>AP11/F11</f>
        <v>3.6467199999999997</v>
      </c>
      <c r="AQ12" s="188">
        <f>AQ11/F11</f>
        <v>4.8199199999999998</v>
      </c>
      <c r="AS12" s="485"/>
      <c r="AT12" s="485"/>
      <c r="AU12" s="485"/>
    </row>
    <row r="13" spans="1:47" ht="18" customHeight="1">
      <c r="A13" s="17"/>
      <c r="B13" s="1372" t="s">
        <v>773</v>
      </c>
      <c r="C13" s="1373"/>
      <c r="D13" s="1373"/>
      <c r="E13" s="1374"/>
      <c r="F13" s="1605">
        <v>1000</v>
      </c>
      <c r="G13" s="1227">
        <f>F13*C14</f>
        <v>800</v>
      </c>
      <c r="H13" s="1227">
        <f>F13*D14</f>
        <v>100</v>
      </c>
      <c r="I13" s="1606">
        <f>F13*E14</f>
        <v>100</v>
      </c>
      <c r="J13" s="1607">
        <f>G13*$J$5</f>
        <v>3624</v>
      </c>
      <c r="K13" s="1613">
        <f>G13*$K$5</f>
        <v>160</v>
      </c>
      <c r="L13" s="1619">
        <v>0</v>
      </c>
      <c r="M13" s="1268">
        <f>G13*10%*5</f>
        <v>400</v>
      </c>
      <c r="N13" s="1227">
        <f>G13*10%*6</f>
        <v>480</v>
      </c>
      <c r="O13" s="1227">
        <f>H13*15%*12</f>
        <v>180</v>
      </c>
      <c r="P13" s="1227">
        <f>I13*15%*12</f>
        <v>180</v>
      </c>
      <c r="Q13" s="1268">
        <f>H13*20%*12</f>
        <v>240</v>
      </c>
      <c r="R13" s="1615">
        <f>I13*25%*12</f>
        <v>300</v>
      </c>
      <c r="S13" s="1227">
        <f>M13*62%</f>
        <v>248</v>
      </c>
      <c r="T13" s="1227">
        <f>N13*62%</f>
        <v>297.60000000000002</v>
      </c>
      <c r="U13" s="1227">
        <f t="shared" ref="U13:V13" si="11">O13*40%</f>
        <v>72</v>
      </c>
      <c r="V13" s="1617">
        <f t="shared" si="11"/>
        <v>72</v>
      </c>
      <c r="W13" s="1608">
        <f>G13*22%</f>
        <v>176</v>
      </c>
      <c r="X13" s="1610">
        <f>G13*27%</f>
        <v>216</v>
      </c>
      <c r="Y13" s="1611">
        <f>G13*30%</f>
        <v>240</v>
      </c>
      <c r="Z13" s="25">
        <f>J13+K13</f>
        <v>3784</v>
      </c>
      <c r="AA13" s="26">
        <f>J13+K13+M13+N13+S13+T13</f>
        <v>5209.6000000000004</v>
      </c>
      <c r="AB13" s="27">
        <f>J13+K13+L13+M13+N13+O13+P13+Q13+R13+S13+T13+U13+V13+W13+X13+Y13</f>
        <v>6885.6</v>
      </c>
      <c r="AC13" s="36">
        <f>Z13*$AE$5</f>
        <v>3519.1200000000003</v>
      </c>
      <c r="AD13" s="26">
        <f>AA13*$AE$5</f>
        <v>4844.9280000000008</v>
      </c>
      <c r="AE13" s="110">
        <f>AB13*$AE$5</f>
        <v>6403.6080000000011</v>
      </c>
      <c r="AF13" s="25">
        <f t="shared" ref="AF13:AH13" si="12">Z13*$AH$5</f>
        <v>3254.24</v>
      </c>
      <c r="AG13" s="26">
        <f t="shared" si="12"/>
        <v>4480.2560000000003</v>
      </c>
      <c r="AH13" s="27">
        <f t="shared" si="12"/>
        <v>5921.616</v>
      </c>
      <c r="AI13" s="25">
        <f>Z13*$AK$5</f>
        <v>3140.72</v>
      </c>
      <c r="AJ13" s="26">
        <f>AA13*$AK$5</f>
        <v>4323.9679999999998</v>
      </c>
      <c r="AK13" s="27">
        <f>AB13*$AK$5</f>
        <v>5715.0479999999998</v>
      </c>
      <c r="AL13" s="36">
        <f>Z13*$AN$5</f>
        <v>2838</v>
      </c>
      <c r="AM13" s="110">
        <f>AA13*$AN$5</f>
        <v>3907.2000000000003</v>
      </c>
      <c r="AN13" s="110">
        <f>AB13*$AN$5</f>
        <v>5164.2000000000007</v>
      </c>
      <c r="AO13" s="25">
        <f>Z13*$AQ$5</f>
        <v>2648.7999999999997</v>
      </c>
      <c r="AP13" s="110">
        <f>AA13*$AQ$5</f>
        <v>3646.72</v>
      </c>
      <c r="AQ13" s="27">
        <f>AB13*$AQ$5</f>
        <v>4819.92</v>
      </c>
      <c r="AS13" s="485"/>
      <c r="AT13" s="485"/>
      <c r="AU13" s="485"/>
    </row>
    <row r="14" spans="1:47" ht="18" customHeight="1">
      <c r="A14" s="17"/>
      <c r="B14" s="216" t="s">
        <v>774</v>
      </c>
      <c r="C14" s="835">
        <v>0.8</v>
      </c>
      <c r="D14" s="835">
        <v>0.1</v>
      </c>
      <c r="E14" s="293">
        <v>0.1</v>
      </c>
      <c r="F14" s="1605"/>
      <c r="G14" s="1227"/>
      <c r="H14" s="1227"/>
      <c r="I14" s="1606"/>
      <c r="J14" s="1607"/>
      <c r="K14" s="1614"/>
      <c r="L14" s="1619"/>
      <c r="M14" s="1232"/>
      <c r="N14" s="1227"/>
      <c r="O14" s="1227"/>
      <c r="P14" s="1227"/>
      <c r="Q14" s="1232"/>
      <c r="R14" s="1616"/>
      <c r="S14" s="1227"/>
      <c r="T14" s="1227"/>
      <c r="U14" s="1227"/>
      <c r="V14" s="1617"/>
      <c r="W14" s="1609"/>
      <c r="X14" s="1609"/>
      <c r="Y14" s="1612"/>
      <c r="Z14" s="186">
        <f>Z13/F13</f>
        <v>3.7839999999999998</v>
      </c>
      <c r="AA14" s="189">
        <f>AA13/F13</f>
        <v>5.2096</v>
      </c>
      <c r="AB14" s="188">
        <f>AB13/F13</f>
        <v>6.8856000000000002</v>
      </c>
      <c r="AC14" s="187">
        <f>AC13/F13</f>
        <v>3.5191200000000005</v>
      </c>
      <c r="AD14" s="189">
        <f>AD13/F13</f>
        <v>4.8449280000000012</v>
      </c>
      <c r="AE14" s="190">
        <f>AE13/F13</f>
        <v>6.4036080000000011</v>
      </c>
      <c r="AF14" s="186">
        <f t="shared" ref="AF14" si="13">AF13/F13</f>
        <v>3.2542399999999998</v>
      </c>
      <c r="AG14" s="189">
        <f t="shared" ref="AG14" si="14">AG13/F13</f>
        <v>4.4802560000000007</v>
      </c>
      <c r="AH14" s="188">
        <f t="shared" ref="AH14" si="15">AH13/F13</f>
        <v>5.9216160000000002</v>
      </c>
      <c r="AI14" s="186">
        <f>AI13/F13</f>
        <v>3.14072</v>
      </c>
      <c r="AJ14" s="189">
        <f>AJ13/F13</f>
        <v>4.3239679999999998</v>
      </c>
      <c r="AK14" s="188">
        <f>AK13/F13</f>
        <v>5.7150479999999995</v>
      </c>
      <c r="AL14" s="187">
        <f>AL13/F13</f>
        <v>2.8380000000000001</v>
      </c>
      <c r="AM14" s="190">
        <f>AM13/F13</f>
        <v>3.9072000000000005</v>
      </c>
      <c r="AN14" s="190">
        <f>AN13/F13</f>
        <v>5.164200000000001</v>
      </c>
      <c r="AO14" s="186">
        <f>AO13/F13</f>
        <v>2.6487999999999996</v>
      </c>
      <c r="AP14" s="190">
        <f>AP13/F13</f>
        <v>3.6467199999999997</v>
      </c>
      <c r="AQ14" s="188">
        <f>AQ13/F13</f>
        <v>4.8199199999999998</v>
      </c>
      <c r="AS14" s="485"/>
      <c r="AT14" s="485"/>
      <c r="AU14" s="485"/>
    </row>
    <row r="15" spans="1:47" ht="18" customHeight="1">
      <c r="A15" s="17"/>
      <c r="B15" s="1623" t="s">
        <v>775</v>
      </c>
      <c r="C15" s="1624"/>
      <c r="D15" s="1624"/>
      <c r="E15" s="1625"/>
      <c r="F15" s="1605">
        <v>1000</v>
      </c>
      <c r="G15" s="1227">
        <f>F15*C16</f>
        <v>1200</v>
      </c>
      <c r="H15" s="1227">
        <f>F15*D16</f>
        <v>200</v>
      </c>
      <c r="I15" s="1606">
        <f>F15*E16</f>
        <v>100</v>
      </c>
      <c r="J15" s="1607">
        <f>G15*$J$5</f>
        <v>5436</v>
      </c>
      <c r="K15" s="1613">
        <f>G15*$K$5</f>
        <v>240</v>
      </c>
      <c r="L15" s="1619">
        <v>0</v>
      </c>
      <c r="M15" s="1268">
        <f>G15*15%*5</f>
        <v>900</v>
      </c>
      <c r="N15" s="1227">
        <f>G15*20%*6</f>
        <v>1440</v>
      </c>
      <c r="O15" s="1227">
        <f>H15*15%*12</f>
        <v>360</v>
      </c>
      <c r="P15" s="1227">
        <f>I15*15%*12</f>
        <v>180</v>
      </c>
      <c r="Q15" s="1268">
        <f>H15*43%*12</f>
        <v>1032</v>
      </c>
      <c r="R15" s="1615">
        <f>I15*50%*12</f>
        <v>600</v>
      </c>
      <c r="S15" s="1227">
        <f>M15*62%</f>
        <v>558</v>
      </c>
      <c r="T15" s="1227">
        <f>N15*62%</f>
        <v>892.8</v>
      </c>
      <c r="U15" s="1227">
        <f t="shared" ref="U15:V15" si="16">O15*40%</f>
        <v>144</v>
      </c>
      <c r="V15" s="1617">
        <f t="shared" si="16"/>
        <v>72</v>
      </c>
      <c r="W15" s="1608"/>
      <c r="X15" s="1610"/>
      <c r="Y15" s="1611"/>
      <c r="Z15" s="25">
        <f>J15+K15</f>
        <v>5676</v>
      </c>
      <c r="AA15" s="26">
        <f>J15+K15+M15+N15+S15+T15</f>
        <v>9466.7999999999993</v>
      </c>
      <c r="AB15" s="27">
        <f>J15+K15+L15+M15+N15+O15+P15+Q15+R15+S15+T15+U15+V15+W15+X15+Y15</f>
        <v>11854.8</v>
      </c>
      <c r="AC15" s="36">
        <f>Z15*$AE$5</f>
        <v>5278.68</v>
      </c>
      <c r="AD15" s="26">
        <f>AA15*$AE$5</f>
        <v>8804.1239999999998</v>
      </c>
      <c r="AE15" s="110">
        <f>AB15*$AE$5</f>
        <v>11024.964</v>
      </c>
      <c r="AF15" s="25">
        <f t="shared" ref="AF15:AH15" si="17">Z15*$AH$5</f>
        <v>4881.3599999999997</v>
      </c>
      <c r="AG15" s="26">
        <f t="shared" si="17"/>
        <v>8141.4479999999994</v>
      </c>
      <c r="AH15" s="27">
        <f t="shared" si="17"/>
        <v>10195.127999999999</v>
      </c>
      <c r="AI15" s="25">
        <f>Z15*$AK$5</f>
        <v>4711.08</v>
      </c>
      <c r="AJ15" s="26">
        <f>AA15*$AK$5</f>
        <v>7857.4439999999986</v>
      </c>
      <c r="AK15" s="27">
        <f>AB15*$AK$5</f>
        <v>9839.4839999999986</v>
      </c>
      <c r="AL15" s="36">
        <f>Z15*$AN$5</f>
        <v>4257</v>
      </c>
      <c r="AM15" s="110">
        <f>AA15*$AN$5</f>
        <v>7100.0999999999995</v>
      </c>
      <c r="AN15" s="110">
        <f>AB15*$AN$5</f>
        <v>8891.0999999999985</v>
      </c>
      <c r="AO15" s="25">
        <f>Z15*$AQ$5</f>
        <v>3973.2</v>
      </c>
      <c r="AP15" s="110">
        <f>AA15*$AQ$5</f>
        <v>6626.7599999999993</v>
      </c>
      <c r="AQ15" s="27">
        <f>AB15*$AQ$5</f>
        <v>8298.3599999999988</v>
      </c>
      <c r="AS15" s="485"/>
      <c r="AT15" s="485"/>
      <c r="AU15" s="485"/>
    </row>
    <row r="16" spans="1:47" ht="18" customHeight="1">
      <c r="A16" s="17"/>
      <c r="B16" s="433" t="s">
        <v>771</v>
      </c>
      <c r="C16" s="836">
        <v>1.2</v>
      </c>
      <c r="D16" s="836">
        <v>0.2</v>
      </c>
      <c r="E16" s="434">
        <v>0.1</v>
      </c>
      <c r="F16" s="1605"/>
      <c r="G16" s="1227"/>
      <c r="H16" s="1227"/>
      <c r="I16" s="1606"/>
      <c r="J16" s="1607"/>
      <c r="K16" s="1614"/>
      <c r="L16" s="1619"/>
      <c r="M16" s="1232"/>
      <c r="N16" s="1227"/>
      <c r="O16" s="1227"/>
      <c r="P16" s="1227"/>
      <c r="Q16" s="1232"/>
      <c r="R16" s="1616"/>
      <c r="S16" s="1227"/>
      <c r="T16" s="1227"/>
      <c r="U16" s="1227"/>
      <c r="V16" s="1617"/>
      <c r="W16" s="1609"/>
      <c r="X16" s="1609"/>
      <c r="Y16" s="1612"/>
      <c r="Z16" s="186">
        <f>Z15/F15</f>
        <v>5.6760000000000002</v>
      </c>
      <c r="AA16" s="189">
        <f>AA15/F15</f>
        <v>9.4667999999999992</v>
      </c>
      <c r="AB16" s="188">
        <f>AB15/F15</f>
        <v>11.854799999999999</v>
      </c>
      <c r="AC16" s="229">
        <f>AC15/F15</f>
        <v>5.2786800000000005</v>
      </c>
      <c r="AD16" s="230">
        <f>AD15/F15</f>
        <v>8.8041239999999998</v>
      </c>
      <c r="AE16" s="231">
        <f>AE15/F15</f>
        <v>11.024964000000001</v>
      </c>
      <c r="AF16" s="232">
        <f t="shared" ref="AF16" si="18">AF15/F15</f>
        <v>4.8813599999999999</v>
      </c>
      <c r="AG16" s="230">
        <f t="shared" ref="AG16" si="19">AG15/F15</f>
        <v>8.1414479999999987</v>
      </c>
      <c r="AH16" s="233">
        <f t="shared" ref="AH16" si="20">AH15/F15</f>
        <v>10.195127999999999</v>
      </c>
      <c r="AI16" s="232">
        <f>AI15/F15</f>
        <v>4.7110799999999999</v>
      </c>
      <c r="AJ16" s="230">
        <f>AJ15/F15</f>
        <v>7.8574439999999983</v>
      </c>
      <c r="AK16" s="233">
        <f>AK15/F15</f>
        <v>9.8394839999999988</v>
      </c>
      <c r="AL16" s="229">
        <f>AL15/F15</f>
        <v>4.2569999999999997</v>
      </c>
      <c r="AM16" s="231">
        <f>AM15/F15</f>
        <v>7.1000999999999994</v>
      </c>
      <c r="AN16" s="231">
        <f>AN15/F15</f>
        <v>8.891099999999998</v>
      </c>
      <c r="AO16" s="232">
        <f>AO15/F15</f>
        <v>3.9731999999999998</v>
      </c>
      <c r="AP16" s="231">
        <f>AP15/F15</f>
        <v>6.6267599999999991</v>
      </c>
      <c r="AQ16" s="233">
        <f>AQ15/F15</f>
        <v>8.2983599999999988</v>
      </c>
      <c r="AS16" s="485"/>
      <c r="AT16" s="485"/>
      <c r="AU16" s="485"/>
    </row>
    <row r="17" spans="1:47" ht="18" customHeight="1">
      <c r="A17" s="17"/>
      <c r="B17" s="1379" t="s">
        <v>776</v>
      </c>
      <c r="C17" s="1380"/>
      <c r="D17" s="1380"/>
      <c r="E17" s="1381"/>
      <c r="F17" s="1621">
        <v>1000</v>
      </c>
      <c r="G17" s="1232">
        <f>F17*C18</f>
        <v>700</v>
      </c>
      <c r="H17" s="1232">
        <f>F17*D18</f>
        <v>200</v>
      </c>
      <c r="I17" s="1251">
        <f>F17*E18</f>
        <v>100</v>
      </c>
      <c r="J17" s="1622">
        <f>G17*$J$5</f>
        <v>3171</v>
      </c>
      <c r="K17" s="1620">
        <f>G17*$K$5</f>
        <v>140</v>
      </c>
      <c r="L17" s="1619">
        <v>0</v>
      </c>
      <c r="M17" s="1234">
        <f>G17*10%*5</f>
        <v>350</v>
      </c>
      <c r="N17" s="1232">
        <f>G17*10%*6</f>
        <v>420</v>
      </c>
      <c r="O17" s="1232">
        <f>H17*15%*12</f>
        <v>360</v>
      </c>
      <c r="P17" s="1232">
        <f>I17*15%*12</f>
        <v>180</v>
      </c>
      <c r="Q17" s="1234">
        <f>H17*10%*12</f>
        <v>240</v>
      </c>
      <c r="R17" s="1626"/>
      <c r="S17" s="1232">
        <f>M17*62%</f>
        <v>217</v>
      </c>
      <c r="T17" s="1232">
        <f>N17*62%</f>
        <v>260.39999999999998</v>
      </c>
      <c r="U17" s="1232">
        <f>O17*40%</f>
        <v>144</v>
      </c>
      <c r="V17" s="1609">
        <f>P17*40%</f>
        <v>72</v>
      </c>
      <c r="W17" s="1608">
        <f>G17*22%</f>
        <v>154</v>
      </c>
      <c r="X17" s="1608">
        <f>G17*27%</f>
        <v>189</v>
      </c>
      <c r="Y17" s="1611">
        <f>G17*30%</f>
        <v>210</v>
      </c>
      <c r="Z17" s="25">
        <f>J17+K17</f>
        <v>3311</v>
      </c>
      <c r="AA17" s="26">
        <f>J17+K17+M17+N17+S17+T17</f>
        <v>4558.3999999999996</v>
      </c>
      <c r="AB17" s="27">
        <f>J17+K17+L17+M17+N17+O17+P17+Q17+R17+S17+T17+U17+V17+W17+X17+Y17</f>
        <v>6107.4</v>
      </c>
      <c r="AC17" s="36">
        <f>Z17*$AE$5</f>
        <v>3079.23</v>
      </c>
      <c r="AD17" s="26">
        <f>AA17*$AE$5</f>
        <v>4239.3119999999999</v>
      </c>
      <c r="AE17" s="110">
        <f>AB17*$AE$5</f>
        <v>5679.8819999999996</v>
      </c>
      <c r="AF17" s="25">
        <f t="shared" ref="AF17:AH17" si="21">Z17*$AH$5</f>
        <v>2847.46</v>
      </c>
      <c r="AG17" s="26">
        <f t="shared" si="21"/>
        <v>3920.2239999999997</v>
      </c>
      <c r="AH17" s="27">
        <f t="shared" si="21"/>
        <v>5252.3639999999996</v>
      </c>
      <c r="AI17" s="25">
        <f>Z17*$AK$5</f>
        <v>2748.1299999999997</v>
      </c>
      <c r="AJ17" s="26">
        <f>AA17*$AK$5</f>
        <v>3783.4719999999993</v>
      </c>
      <c r="AK17" s="27">
        <f>AB17*$AK$5</f>
        <v>5069.1419999999998</v>
      </c>
      <c r="AL17" s="36">
        <f>Z17*$AN$5</f>
        <v>2483.25</v>
      </c>
      <c r="AM17" s="26">
        <f>AA17*$AN$5</f>
        <v>3418.7999999999997</v>
      </c>
      <c r="AN17" s="110">
        <f>AB17*$AN$5</f>
        <v>4580.5499999999993</v>
      </c>
      <c r="AO17" s="25">
        <f>Z17*$AQ$5</f>
        <v>2317.6999999999998</v>
      </c>
      <c r="AP17" s="26">
        <f>AA17*$AQ$5</f>
        <v>3190.8799999999997</v>
      </c>
      <c r="AQ17" s="27">
        <f>AB17*$AQ$5</f>
        <v>4275.1799999999994</v>
      </c>
      <c r="AS17" s="485"/>
      <c r="AT17" s="485"/>
      <c r="AU17" s="485"/>
    </row>
    <row r="18" spans="1:47" ht="18" customHeight="1">
      <c r="A18" s="17"/>
      <c r="B18" s="216" t="s">
        <v>777</v>
      </c>
      <c r="C18" s="835">
        <v>0.7</v>
      </c>
      <c r="D18" s="835">
        <v>0.2</v>
      </c>
      <c r="E18" s="293">
        <v>0.1</v>
      </c>
      <c r="F18" s="1605"/>
      <c r="G18" s="1227"/>
      <c r="H18" s="1227"/>
      <c r="I18" s="1606"/>
      <c r="J18" s="1607"/>
      <c r="K18" s="1614"/>
      <c r="L18" s="1619"/>
      <c r="M18" s="1232"/>
      <c r="N18" s="1227"/>
      <c r="O18" s="1227"/>
      <c r="P18" s="1227"/>
      <c r="Q18" s="1232"/>
      <c r="R18" s="1616"/>
      <c r="S18" s="1227"/>
      <c r="T18" s="1227"/>
      <c r="U18" s="1227"/>
      <c r="V18" s="1617"/>
      <c r="W18" s="1609"/>
      <c r="X18" s="1609"/>
      <c r="Y18" s="1612"/>
      <c r="Z18" s="186">
        <f>Z17/F17</f>
        <v>3.3109999999999999</v>
      </c>
      <c r="AA18" s="189">
        <f>AA17/F17</f>
        <v>4.5583999999999998</v>
      </c>
      <c r="AB18" s="188">
        <f>AB17/F17</f>
        <v>6.1073999999999993</v>
      </c>
      <c r="AC18" s="187">
        <f>AC17/F17</f>
        <v>3.0792299999999999</v>
      </c>
      <c r="AD18" s="189">
        <f>AD17/F17</f>
        <v>4.239312</v>
      </c>
      <c r="AE18" s="190">
        <f>AE17/F17</f>
        <v>5.6798819999999992</v>
      </c>
      <c r="AF18" s="186">
        <f t="shared" ref="AF18" si="22">AF17/F17</f>
        <v>2.8474599999999999</v>
      </c>
      <c r="AG18" s="189">
        <f t="shared" ref="AG18" si="23">AG17/F17</f>
        <v>3.9202239999999997</v>
      </c>
      <c r="AH18" s="188">
        <f t="shared" ref="AH18" si="24">AH17/F17</f>
        <v>5.2523639999999991</v>
      </c>
      <c r="AI18" s="186">
        <f>AI17/F17</f>
        <v>2.7481299999999997</v>
      </c>
      <c r="AJ18" s="189">
        <f>AJ17/F17</f>
        <v>3.7834719999999993</v>
      </c>
      <c r="AK18" s="188">
        <f>AK17/F17</f>
        <v>5.0691420000000003</v>
      </c>
      <c r="AL18" s="187">
        <f>AL17/F17</f>
        <v>2.48325</v>
      </c>
      <c r="AM18" s="189">
        <f>AM17/F17</f>
        <v>3.4187999999999996</v>
      </c>
      <c r="AN18" s="190">
        <f>AN17/F17</f>
        <v>4.5805499999999997</v>
      </c>
      <c r="AO18" s="186">
        <f>AO17/F17</f>
        <v>2.3176999999999999</v>
      </c>
      <c r="AP18" s="189">
        <f>AP17/F17</f>
        <v>3.1908799999999995</v>
      </c>
      <c r="AQ18" s="188">
        <f>AQ17/F17</f>
        <v>4.2751799999999998</v>
      </c>
      <c r="AS18" s="485"/>
      <c r="AT18" s="485"/>
      <c r="AU18" s="485"/>
    </row>
    <row r="19" spans="1:47" ht="18" customHeight="1">
      <c r="A19" s="17"/>
      <c r="B19" s="1379" t="s">
        <v>778</v>
      </c>
      <c r="C19" s="1380"/>
      <c r="D19" s="1380"/>
      <c r="E19" s="1381"/>
      <c r="F19" s="1621">
        <v>1000</v>
      </c>
      <c r="G19" s="1232">
        <f>F19*C20</f>
        <v>70</v>
      </c>
      <c r="H19" s="1232">
        <f>F19*D20</f>
        <v>150</v>
      </c>
      <c r="I19" s="1251">
        <f>F19*E20</f>
        <v>100</v>
      </c>
      <c r="J19" s="1622">
        <f>G19*$J$5</f>
        <v>317.10000000000002</v>
      </c>
      <c r="K19" s="1620">
        <f>G19*$K$5</f>
        <v>14</v>
      </c>
      <c r="L19" s="1619">
        <v>0</v>
      </c>
      <c r="M19" s="1234">
        <f>G19*10%*5</f>
        <v>35</v>
      </c>
      <c r="N19" s="1232">
        <f>G19*10%*6</f>
        <v>42</v>
      </c>
      <c r="O19" s="1232">
        <f>H19*15%*12</f>
        <v>270</v>
      </c>
      <c r="P19" s="1232">
        <f>I19*15%*12</f>
        <v>180</v>
      </c>
      <c r="Q19" s="1234">
        <f>H19*10%*12</f>
        <v>180</v>
      </c>
      <c r="R19" s="1626"/>
      <c r="S19" s="1232">
        <f>M19*62%</f>
        <v>21.7</v>
      </c>
      <c r="T19" s="1232">
        <f>N19*62%</f>
        <v>26.04</v>
      </c>
      <c r="U19" s="1232">
        <f>O19*40%</f>
        <v>108</v>
      </c>
      <c r="V19" s="1609">
        <f>P19*40%</f>
        <v>72</v>
      </c>
      <c r="W19" s="1608">
        <f>G19*22%</f>
        <v>15.4</v>
      </c>
      <c r="X19" s="1608">
        <f>G19*27%</f>
        <v>18.900000000000002</v>
      </c>
      <c r="Y19" s="1611">
        <f>G19*30%</f>
        <v>21</v>
      </c>
      <c r="Z19" s="25">
        <f>J19+K19</f>
        <v>331.1</v>
      </c>
      <c r="AA19" s="26">
        <f>J19+K19+M19+N19+S19+T19</f>
        <v>455.84000000000003</v>
      </c>
      <c r="AB19" s="27">
        <f>J19+K19+L19+M19+N19+O19+P19+Q19+R19+S19+T19+U19+V19+W19+X19+Y19</f>
        <v>1321.14</v>
      </c>
      <c r="AC19" s="36">
        <f>Z19*$AE$5</f>
        <v>307.92300000000006</v>
      </c>
      <c r="AD19" s="26">
        <f>AA19*$AE$5</f>
        <v>423.93120000000005</v>
      </c>
      <c r="AE19" s="110">
        <f>AB19*$AE$5</f>
        <v>1228.6602000000003</v>
      </c>
      <c r="AF19" s="25">
        <f t="shared" ref="AF19:AH19" si="25">Z19*$AH$5</f>
        <v>284.74600000000004</v>
      </c>
      <c r="AG19" s="26">
        <f t="shared" si="25"/>
        <v>392.0224</v>
      </c>
      <c r="AH19" s="27">
        <f t="shared" si="25"/>
        <v>1136.1804</v>
      </c>
      <c r="AI19" s="25">
        <f>Z19*$AK$5</f>
        <v>274.81299999999999</v>
      </c>
      <c r="AJ19" s="26">
        <f>AA19*$AK$5</f>
        <v>378.34719999999999</v>
      </c>
      <c r="AK19" s="27">
        <f>AB19*$AK$5</f>
        <v>1096.5462</v>
      </c>
      <c r="AL19" s="36">
        <f>Z19*$AN$5</f>
        <v>248.32500000000002</v>
      </c>
      <c r="AM19" s="26">
        <f>AA19*$AN$5</f>
        <v>341.88</v>
      </c>
      <c r="AN19" s="110">
        <f>AB19*$AN$5</f>
        <v>990.85500000000002</v>
      </c>
      <c r="AO19" s="25">
        <f>Z19*$AQ$5</f>
        <v>231.77</v>
      </c>
      <c r="AP19" s="26">
        <f>AA19*$AQ$5</f>
        <v>319.08800000000002</v>
      </c>
      <c r="AQ19" s="27">
        <f>AB19*$AQ$5</f>
        <v>924.798</v>
      </c>
      <c r="AS19" s="485"/>
      <c r="AT19" s="485"/>
      <c r="AU19" s="485"/>
    </row>
    <row r="20" spans="1:47" ht="18" customHeight="1">
      <c r="A20" s="17"/>
      <c r="B20" s="216" t="s">
        <v>779</v>
      </c>
      <c r="C20" s="835">
        <v>7.0000000000000007E-2</v>
      </c>
      <c r="D20" s="835">
        <v>0.15</v>
      </c>
      <c r="E20" s="293">
        <v>0.1</v>
      </c>
      <c r="F20" s="1605"/>
      <c r="G20" s="1227"/>
      <c r="H20" s="1227"/>
      <c r="I20" s="1606"/>
      <c r="J20" s="1607"/>
      <c r="K20" s="1614"/>
      <c r="L20" s="1619"/>
      <c r="M20" s="1232"/>
      <c r="N20" s="1227"/>
      <c r="O20" s="1227"/>
      <c r="P20" s="1227"/>
      <c r="Q20" s="1232"/>
      <c r="R20" s="1616"/>
      <c r="S20" s="1227"/>
      <c r="T20" s="1227"/>
      <c r="U20" s="1227"/>
      <c r="V20" s="1617"/>
      <c r="W20" s="1609"/>
      <c r="X20" s="1609"/>
      <c r="Y20" s="1612"/>
      <c r="Z20" s="186">
        <f>Z19/F19</f>
        <v>0.33110000000000001</v>
      </c>
      <c r="AA20" s="189">
        <f>AA19/F19</f>
        <v>0.45584000000000002</v>
      </c>
      <c r="AB20" s="188">
        <f>AB19/F19</f>
        <v>1.3211400000000002</v>
      </c>
      <c r="AC20" s="187">
        <f>AC19/F19</f>
        <v>0.30792300000000006</v>
      </c>
      <c r="AD20" s="189">
        <f>AD19/F19</f>
        <v>0.42393120000000006</v>
      </c>
      <c r="AE20" s="190">
        <f>AE19/F19</f>
        <v>1.2286602000000002</v>
      </c>
      <c r="AF20" s="186">
        <f t="shared" ref="AF20" si="26">AF19/F19</f>
        <v>0.28474600000000005</v>
      </c>
      <c r="AG20" s="189">
        <f t="shared" ref="AG20" si="27">AG19/F19</f>
        <v>0.39202239999999999</v>
      </c>
      <c r="AH20" s="188">
        <f t="shared" ref="AH20" si="28">AH19/F19</f>
        <v>1.1361804</v>
      </c>
      <c r="AI20" s="186">
        <f>AI19/F19</f>
        <v>0.27481299999999997</v>
      </c>
      <c r="AJ20" s="189">
        <f>AJ19/F19</f>
        <v>0.37834719999999999</v>
      </c>
      <c r="AK20" s="188">
        <f>AK19/F19</f>
        <v>1.0965461999999999</v>
      </c>
      <c r="AL20" s="187">
        <f>AL19/F19</f>
        <v>0.24832500000000002</v>
      </c>
      <c r="AM20" s="189">
        <f>AM19/F19</f>
        <v>0.34188000000000002</v>
      </c>
      <c r="AN20" s="190">
        <f>AN19/F19</f>
        <v>0.99085500000000004</v>
      </c>
      <c r="AO20" s="186">
        <f>AO19/F19</f>
        <v>0.23177</v>
      </c>
      <c r="AP20" s="189">
        <f>AP19/F19</f>
        <v>0.31908800000000004</v>
      </c>
      <c r="AQ20" s="188">
        <f>AQ19/F19</f>
        <v>0.92479800000000001</v>
      </c>
      <c r="AS20" s="485"/>
      <c r="AT20" s="485"/>
      <c r="AU20" s="485"/>
    </row>
    <row r="21" spans="1:47" ht="18" customHeight="1">
      <c r="A21" s="17"/>
      <c r="B21" s="1627" t="s">
        <v>780</v>
      </c>
      <c r="C21" s="1628"/>
      <c r="D21" s="1628"/>
      <c r="E21" s="1629"/>
      <c r="F21" s="1630">
        <v>100000</v>
      </c>
      <c r="G21" s="1268">
        <f>F21*C22</f>
        <v>200</v>
      </c>
      <c r="H21" s="1268">
        <f>F21*D22</f>
        <v>0</v>
      </c>
      <c r="I21" s="1492">
        <f>F21*E22</f>
        <v>0</v>
      </c>
      <c r="J21" s="1390">
        <f>G21*$J$5</f>
        <v>906</v>
      </c>
      <c r="K21" s="1613">
        <f>F21*1.5%</f>
        <v>1500</v>
      </c>
      <c r="L21" s="1268"/>
      <c r="M21" s="1268"/>
      <c r="N21" s="1268"/>
      <c r="O21" s="1268"/>
      <c r="P21" s="1268"/>
      <c r="Q21" s="1268"/>
      <c r="R21" s="1615"/>
      <c r="S21" s="1268"/>
      <c r="T21" s="1268"/>
      <c r="U21" s="1268"/>
      <c r="V21" s="1615"/>
      <c r="W21" s="1615"/>
      <c r="X21" s="1615"/>
      <c r="Y21" s="1634"/>
      <c r="Z21" s="25">
        <f>J21+K21+M21</f>
        <v>2406</v>
      </c>
      <c r="AA21" s="26">
        <f>J21+K21+M21+N21+S21+T21</f>
        <v>2406</v>
      </c>
      <c r="AB21" s="27">
        <f>J21+K21+L21+M21+N21+O21+P21+Q21+R21+S21+T21+U21+V21+W21+X21+Y21</f>
        <v>2406</v>
      </c>
      <c r="AC21" s="36">
        <f>Z21*$AE$5</f>
        <v>2237.58</v>
      </c>
      <c r="AD21" s="26">
        <f>AA21*$AE$5</f>
        <v>2237.58</v>
      </c>
      <c r="AE21" s="110">
        <f>AB21*$AE$5</f>
        <v>2237.58</v>
      </c>
      <c r="AF21" s="25">
        <f t="shared" ref="AF21:AH21" si="29">Z21*$AH$5</f>
        <v>2069.16</v>
      </c>
      <c r="AG21" s="26">
        <f t="shared" si="29"/>
        <v>2069.16</v>
      </c>
      <c r="AH21" s="27">
        <f t="shared" si="29"/>
        <v>2069.16</v>
      </c>
      <c r="AI21" s="25">
        <f>Z21*$AK$5</f>
        <v>1996.9799999999998</v>
      </c>
      <c r="AJ21" s="26">
        <f>AA21*$AK$5</f>
        <v>1996.9799999999998</v>
      </c>
      <c r="AK21" s="27">
        <f>AB21*$AK$5</f>
        <v>1996.9799999999998</v>
      </c>
      <c r="AL21" s="36">
        <f>Z21*$AN$5</f>
        <v>1804.5</v>
      </c>
      <c r="AM21" s="110">
        <f>AA21*$AN$5</f>
        <v>1804.5</v>
      </c>
      <c r="AN21" s="110">
        <f>AB21*$AN$5</f>
        <v>1804.5</v>
      </c>
      <c r="AO21" s="25">
        <f>Z21*$AQ$5</f>
        <v>1684.1999999999998</v>
      </c>
      <c r="AP21" s="110">
        <f>AA21*$AQ$5</f>
        <v>1684.1999999999998</v>
      </c>
      <c r="AQ21" s="27">
        <f>AB21*$AQ$5</f>
        <v>1684.1999999999998</v>
      </c>
      <c r="AS21" s="485"/>
      <c r="AT21" s="485"/>
      <c r="AU21" s="485"/>
    </row>
    <row r="22" spans="1:47" ht="18" customHeight="1" thickBot="1">
      <c r="A22" s="17"/>
      <c r="B22" s="439" t="s">
        <v>781</v>
      </c>
      <c r="C22" s="837">
        <v>2E-3</v>
      </c>
      <c r="D22" s="838"/>
      <c r="E22" s="294"/>
      <c r="F22" s="1631"/>
      <c r="G22" s="1235"/>
      <c r="H22" s="1235"/>
      <c r="I22" s="1257"/>
      <c r="J22" s="1255"/>
      <c r="K22" s="1632"/>
      <c r="L22" s="1235"/>
      <c r="M22" s="1235"/>
      <c r="N22" s="1235"/>
      <c r="O22" s="1235"/>
      <c r="P22" s="1235"/>
      <c r="Q22" s="1235"/>
      <c r="R22" s="1633"/>
      <c r="S22" s="1235"/>
      <c r="T22" s="1235"/>
      <c r="U22" s="1235"/>
      <c r="V22" s="1633"/>
      <c r="W22" s="1633"/>
      <c r="X22" s="1633"/>
      <c r="Y22" s="1635"/>
      <c r="Z22" s="839">
        <f>Z21/F21</f>
        <v>2.4060000000000002E-2</v>
      </c>
      <c r="AA22" s="840">
        <f>AA21/F21</f>
        <v>2.4060000000000002E-2</v>
      </c>
      <c r="AB22" s="841">
        <f>AB21/F21</f>
        <v>2.4060000000000002E-2</v>
      </c>
      <c r="AC22" s="842">
        <f>AC21/F21</f>
        <v>2.2375799999999998E-2</v>
      </c>
      <c r="AD22" s="840">
        <f>AD21/F21</f>
        <v>2.2375799999999998E-2</v>
      </c>
      <c r="AE22" s="843">
        <f>AE21/F21</f>
        <v>2.2375799999999998E-2</v>
      </c>
      <c r="AF22" s="839">
        <f t="shared" ref="AF22" si="30">AF21/F21</f>
        <v>2.0691599999999997E-2</v>
      </c>
      <c r="AG22" s="840">
        <f t="shared" ref="AG22" si="31">AG21/F21</f>
        <v>2.0691599999999997E-2</v>
      </c>
      <c r="AH22" s="841">
        <f t="shared" ref="AH22" si="32">AH21/F21</f>
        <v>2.0691599999999997E-2</v>
      </c>
      <c r="AI22" s="839">
        <f>AI21/F21</f>
        <v>1.9969799999999999E-2</v>
      </c>
      <c r="AJ22" s="840">
        <f>AJ21/F21</f>
        <v>1.9969799999999999E-2</v>
      </c>
      <c r="AK22" s="841">
        <f>AK21/F21</f>
        <v>1.9969799999999999E-2</v>
      </c>
      <c r="AL22" s="842">
        <f>AL21/F21</f>
        <v>1.8044999999999999E-2</v>
      </c>
      <c r="AM22" s="843">
        <f>AM21/F21</f>
        <v>1.8044999999999999E-2</v>
      </c>
      <c r="AN22" s="843">
        <f>AN21/F21</f>
        <v>1.8044999999999999E-2</v>
      </c>
      <c r="AO22" s="839">
        <f>AO21/F21</f>
        <v>1.6841999999999999E-2</v>
      </c>
      <c r="AP22" s="843">
        <f>AP21/F21</f>
        <v>1.6841999999999999E-2</v>
      </c>
      <c r="AQ22" s="841">
        <f>AQ21/F21</f>
        <v>1.6841999999999999E-2</v>
      </c>
      <c r="AS22" s="485"/>
      <c r="AT22" s="485"/>
      <c r="AU22" s="485"/>
    </row>
    <row r="23" spans="1:47" ht="18" customHeight="1">
      <c r="A23" s="17"/>
      <c r="B23" s="217"/>
      <c r="C23" s="844"/>
      <c r="D23" s="844"/>
      <c r="E23" s="28"/>
      <c r="F23" s="28"/>
      <c r="G23" s="28"/>
      <c r="H23" s="28"/>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row>
    <row r="24" spans="1:47" ht="18" customHeight="1">
      <c r="A24" s="17"/>
      <c r="B24" s="217"/>
      <c r="C24" s="844"/>
      <c r="D24" s="844"/>
      <c r="E24" s="28"/>
      <c r="F24" s="28"/>
      <c r="G24" s="28"/>
      <c r="H24" s="28"/>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row>
    <row r="25" spans="1:47" s="850" customFormat="1" ht="18" customHeight="1">
      <c r="A25" s="845"/>
      <c r="B25" s="846" t="s">
        <v>782</v>
      </c>
      <c r="C25" s="847"/>
      <c r="D25" s="847"/>
      <c r="E25" s="848"/>
      <c r="F25" s="848"/>
      <c r="G25" s="848"/>
      <c r="H25" s="848"/>
      <c r="I25" s="845"/>
      <c r="J25" s="845"/>
      <c r="K25" s="845"/>
      <c r="L25" s="845"/>
      <c r="M25" s="845"/>
      <c r="N25" s="845"/>
      <c r="O25" s="845"/>
      <c r="P25" s="849"/>
      <c r="Q25" s="849"/>
      <c r="R25" s="845"/>
      <c r="S25" s="849"/>
      <c r="T25" s="849"/>
      <c r="U25" s="849"/>
      <c r="V25" s="845"/>
      <c r="W25" s="845"/>
      <c r="X25" s="845"/>
      <c r="Y25" s="845"/>
      <c r="Z25" s="845"/>
      <c r="AA25" s="849"/>
      <c r="AB25" s="845"/>
      <c r="AC25" s="845"/>
      <c r="AD25" s="845"/>
      <c r="AE25" s="845"/>
      <c r="AF25" s="845"/>
      <c r="AG25" s="845"/>
      <c r="AH25" s="845"/>
      <c r="AI25" s="845"/>
      <c r="AJ25" s="845"/>
      <c r="AK25" s="845"/>
      <c r="AL25" s="845"/>
      <c r="AM25" s="845"/>
      <c r="AN25" s="845"/>
      <c r="AO25" s="845"/>
      <c r="AP25" s="845"/>
      <c r="AQ25" s="845"/>
      <c r="AR25" s="149"/>
    </row>
    <row r="26" spans="1:47" s="850" customFormat="1" ht="18" customHeight="1">
      <c r="A26" s="845"/>
      <c r="B26" s="851" t="s">
        <v>783</v>
      </c>
      <c r="C26" s="852"/>
      <c r="D26" s="852"/>
      <c r="E26" s="853"/>
      <c r="F26" s="848"/>
      <c r="G26" s="848"/>
      <c r="H26" s="848"/>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845"/>
      <c r="AG26" s="845"/>
      <c r="AH26" s="845"/>
      <c r="AI26" s="845"/>
      <c r="AJ26" s="845"/>
      <c r="AK26" s="845"/>
      <c r="AL26" s="845"/>
      <c r="AM26" s="845"/>
      <c r="AN26" s="845"/>
      <c r="AO26" s="845"/>
      <c r="AP26" s="845"/>
      <c r="AQ26" s="845"/>
      <c r="AR26" s="149"/>
    </row>
    <row r="27" spans="1:47" s="845" customFormat="1" ht="18" customHeight="1">
      <c r="B27" s="854" t="s">
        <v>784</v>
      </c>
      <c r="C27" s="852"/>
      <c r="D27" s="852"/>
      <c r="F27" s="848"/>
      <c r="G27" s="848"/>
      <c r="H27" s="848"/>
    </row>
    <row r="28" spans="1:47" s="859" customFormat="1" ht="18" customHeight="1">
      <c r="A28" s="855"/>
      <c r="B28" s="856" t="s">
        <v>785</v>
      </c>
      <c r="C28" s="857"/>
      <c r="D28" s="857"/>
      <c r="E28" s="855"/>
      <c r="F28" s="858"/>
      <c r="G28" s="858"/>
      <c r="H28" s="858"/>
      <c r="I28" s="855"/>
      <c r="J28" s="855"/>
      <c r="K28" s="855"/>
      <c r="L28" s="855"/>
      <c r="M28" s="855"/>
      <c r="N28" s="855"/>
      <c r="O28" s="855"/>
      <c r="P28" s="855"/>
      <c r="Q28" s="855"/>
      <c r="R28" s="855"/>
      <c r="S28" s="855"/>
      <c r="T28" s="855"/>
      <c r="U28" s="855"/>
      <c r="V28" s="855"/>
      <c r="W28" s="855"/>
      <c r="X28" s="855"/>
      <c r="Y28" s="855"/>
      <c r="Z28" s="486"/>
      <c r="AA28" s="855"/>
      <c r="AB28" s="855"/>
      <c r="AC28" s="855"/>
      <c r="AD28" s="855"/>
      <c r="AE28" s="855"/>
      <c r="AF28" s="855"/>
      <c r="AG28" s="855"/>
      <c r="AH28" s="855"/>
      <c r="AI28" s="855"/>
      <c r="AJ28" s="855"/>
      <c r="AK28" s="855"/>
      <c r="AL28" s="855"/>
      <c r="AM28" s="855"/>
      <c r="AN28" s="855"/>
      <c r="AO28" s="855"/>
      <c r="AP28" s="855"/>
      <c r="AQ28" s="855"/>
    </row>
    <row r="29" spans="1:47" s="863" customFormat="1" ht="18" customHeight="1">
      <c r="A29" s="860"/>
      <c r="B29" s="856" t="s">
        <v>786</v>
      </c>
      <c r="C29" s="857"/>
      <c r="D29" s="857"/>
      <c r="E29" s="861"/>
      <c r="F29" s="861"/>
      <c r="G29" s="861"/>
      <c r="H29" s="861"/>
      <c r="I29" s="860"/>
      <c r="J29" s="860"/>
      <c r="K29" s="860"/>
      <c r="L29" s="860"/>
      <c r="M29" s="860"/>
      <c r="N29" s="860"/>
      <c r="O29" s="860"/>
      <c r="P29" s="860"/>
      <c r="Q29" s="860"/>
      <c r="R29" s="860"/>
      <c r="S29" s="860"/>
      <c r="T29" s="860"/>
      <c r="U29" s="860"/>
      <c r="V29" s="860"/>
      <c r="W29" s="860"/>
      <c r="X29" s="860"/>
      <c r="Y29" s="860"/>
      <c r="Z29" s="487"/>
      <c r="AA29" s="862"/>
      <c r="AB29" s="845"/>
      <c r="AC29" s="860"/>
      <c r="AD29" s="860"/>
      <c r="AE29" s="860"/>
      <c r="AF29" s="860"/>
      <c r="AG29" s="860"/>
      <c r="AH29" s="860"/>
      <c r="AI29" s="860"/>
      <c r="AJ29" s="860"/>
      <c r="AK29" s="860"/>
      <c r="AL29" s="860"/>
      <c r="AM29" s="860"/>
      <c r="AN29" s="860"/>
      <c r="AO29" s="860"/>
      <c r="AP29" s="860"/>
      <c r="AQ29" s="860"/>
    </row>
    <row r="30" spans="1:47" s="863" customFormat="1" ht="18" customHeight="1">
      <c r="A30" s="860"/>
      <c r="B30" s="856" t="s">
        <v>1721</v>
      </c>
      <c r="C30" s="857"/>
      <c r="D30" s="857"/>
      <c r="E30" s="861"/>
      <c r="F30" s="861"/>
      <c r="G30" s="861"/>
      <c r="H30" s="861"/>
      <c r="I30" s="860"/>
      <c r="J30" s="860"/>
      <c r="K30" s="860"/>
      <c r="L30" s="860"/>
      <c r="M30" s="860"/>
      <c r="N30" s="860"/>
      <c r="O30" s="860"/>
      <c r="P30" s="860"/>
      <c r="Q30" s="860"/>
      <c r="R30" s="860"/>
      <c r="S30" s="860"/>
      <c r="T30" s="860"/>
      <c r="U30" s="860"/>
      <c r="V30" s="860"/>
      <c r="W30" s="860"/>
      <c r="X30" s="860"/>
      <c r="Y30" s="860"/>
      <c r="Z30" s="862"/>
      <c r="AA30" s="860"/>
      <c r="AB30" s="860"/>
      <c r="AC30" s="860"/>
      <c r="AD30" s="860"/>
      <c r="AE30" s="860"/>
      <c r="AF30" s="860"/>
      <c r="AG30" s="860"/>
      <c r="AH30" s="860"/>
      <c r="AI30" s="860"/>
      <c r="AJ30" s="860"/>
      <c r="AK30" s="860"/>
      <c r="AL30" s="860"/>
      <c r="AM30" s="860"/>
      <c r="AN30" s="860"/>
      <c r="AO30" s="860"/>
      <c r="AP30" s="860"/>
      <c r="AQ30" s="860"/>
    </row>
    <row r="31" spans="1:47" s="863" customFormat="1" ht="18" customHeight="1">
      <c r="A31" s="860"/>
      <c r="B31" s="856" t="s">
        <v>787</v>
      </c>
      <c r="C31" s="857"/>
      <c r="D31" s="857"/>
      <c r="E31" s="861"/>
      <c r="F31" s="861"/>
      <c r="G31" s="861"/>
      <c r="H31" s="861"/>
      <c r="I31" s="860"/>
      <c r="J31" s="860"/>
      <c r="K31" s="860"/>
      <c r="L31" s="860"/>
      <c r="M31" s="860"/>
      <c r="N31" s="860"/>
      <c r="O31" s="860"/>
      <c r="P31" s="860"/>
      <c r="Q31" s="860"/>
      <c r="R31" s="860"/>
      <c r="S31" s="860"/>
      <c r="T31" s="860"/>
      <c r="U31" s="860"/>
      <c r="V31" s="860"/>
      <c r="W31" s="860"/>
      <c r="X31" s="860"/>
      <c r="Y31" s="860"/>
      <c r="Z31" s="862"/>
      <c r="AA31" s="860"/>
      <c r="AB31" s="860"/>
      <c r="AC31" s="860"/>
      <c r="AD31" s="860"/>
      <c r="AE31" s="860"/>
      <c r="AF31" s="860"/>
      <c r="AG31" s="860"/>
      <c r="AH31" s="860"/>
      <c r="AI31" s="860"/>
      <c r="AJ31" s="860"/>
      <c r="AK31" s="860"/>
      <c r="AL31" s="860"/>
      <c r="AM31" s="860"/>
      <c r="AN31" s="860"/>
      <c r="AO31" s="860"/>
      <c r="AP31" s="860"/>
      <c r="AQ31" s="860"/>
    </row>
    <row r="32" spans="1:47" s="850" customFormat="1" ht="18" customHeight="1">
      <c r="A32" s="845"/>
      <c r="B32" s="851" t="s">
        <v>788</v>
      </c>
      <c r="C32" s="852"/>
      <c r="D32" s="852"/>
      <c r="E32" s="848"/>
      <c r="F32" s="848"/>
      <c r="G32" s="848"/>
      <c r="H32" s="848"/>
      <c r="I32" s="845"/>
      <c r="J32" s="845"/>
      <c r="K32" s="845"/>
      <c r="L32" s="845"/>
      <c r="M32" s="845"/>
      <c r="N32" s="845"/>
      <c r="O32" s="845"/>
      <c r="P32" s="845"/>
      <c r="Q32" s="845"/>
      <c r="R32" s="845"/>
      <c r="S32" s="845"/>
      <c r="T32" s="845"/>
      <c r="U32" s="845"/>
      <c r="V32" s="845"/>
      <c r="W32" s="845"/>
      <c r="X32" s="845"/>
      <c r="Y32" s="845"/>
      <c r="Z32" s="488"/>
      <c r="AA32" s="845"/>
      <c r="AB32" s="845"/>
      <c r="AC32" s="845"/>
      <c r="AD32" s="845"/>
      <c r="AE32" s="845"/>
      <c r="AF32" s="845"/>
      <c r="AG32" s="845"/>
      <c r="AH32" s="845"/>
      <c r="AI32" s="845"/>
      <c r="AJ32" s="845"/>
      <c r="AK32" s="845"/>
      <c r="AL32" s="845"/>
      <c r="AM32" s="845"/>
      <c r="AN32" s="845"/>
      <c r="AO32" s="845"/>
      <c r="AP32" s="845"/>
      <c r="AQ32" s="845"/>
    </row>
    <row r="33" spans="1:43" s="850" customFormat="1" ht="18" customHeight="1">
      <c r="A33" s="845"/>
      <c r="B33" s="856" t="s">
        <v>789</v>
      </c>
      <c r="C33" s="857"/>
      <c r="D33" s="857"/>
      <c r="E33" s="861"/>
      <c r="F33" s="861"/>
      <c r="G33" s="861"/>
      <c r="H33" s="861"/>
      <c r="I33" s="860"/>
      <c r="J33" s="860"/>
      <c r="K33" s="860"/>
      <c r="L33" s="860"/>
      <c r="M33" s="860"/>
      <c r="N33" s="860"/>
      <c r="O33" s="860"/>
      <c r="P33" s="860"/>
      <c r="Q33" s="845"/>
      <c r="R33" s="845"/>
      <c r="S33" s="845"/>
      <c r="T33" s="845"/>
      <c r="U33" s="845"/>
      <c r="V33" s="845"/>
      <c r="W33" s="845"/>
      <c r="X33" s="845"/>
      <c r="Y33" s="845"/>
      <c r="Z33" s="864"/>
      <c r="AA33" s="845"/>
      <c r="AB33" s="845"/>
      <c r="AC33" s="845"/>
      <c r="AD33" s="845"/>
      <c r="AE33" s="845"/>
      <c r="AF33" s="845"/>
      <c r="AG33" s="845"/>
      <c r="AH33" s="845"/>
      <c r="AI33" s="845"/>
      <c r="AJ33" s="845"/>
      <c r="AK33" s="845"/>
      <c r="AL33" s="845"/>
      <c r="AM33" s="845"/>
      <c r="AN33" s="845"/>
      <c r="AO33" s="845"/>
      <c r="AP33" s="845"/>
      <c r="AQ33" s="845"/>
    </row>
    <row r="34" spans="1:43" s="850" customFormat="1" ht="18" customHeight="1">
      <c r="A34" s="845"/>
      <c r="B34" s="851" t="s">
        <v>790</v>
      </c>
      <c r="C34" s="852"/>
      <c r="D34" s="852"/>
      <c r="E34" s="848"/>
      <c r="F34" s="848"/>
      <c r="G34" s="848"/>
      <c r="H34" s="848"/>
      <c r="I34" s="845"/>
      <c r="J34" s="845"/>
      <c r="K34" s="845"/>
      <c r="L34" s="845"/>
      <c r="M34" s="845"/>
      <c r="N34" s="845"/>
      <c r="O34" s="845"/>
      <c r="P34" s="845"/>
      <c r="Q34" s="845"/>
      <c r="R34" s="845"/>
      <c r="S34" s="845"/>
      <c r="T34" s="845"/>
      <c r="U34" s="845"/>
      <c r="V34" s="845"/>
      <c r="W34" s="845"/>
      <c r="X34" s="845"/>
      <c r="Y34" s="845"/>
      <c r="Z34" s="864"/>
      <c r="AA34" s="845"/>
      <c r="AB34" s="845"/>
      <c r="AC34" s="845"/>
      <c r="AD34" s="845"/>
      <c r="AE34" s="845"/>
      <c r="AF34" s="845"/>
      <c r="AG34" s="845"/>
      <c r="AH34" s="845"/>
      <c r="AI34" s="845"/>
      <c r="AJ34" s="845"/>
      <c r="AK34" s="845"/>
      <c r="AL34" s="845"/>
      <c r="AM34" s="845"/>
      <c r="AN34" s="845"/>
      <c r="AO34" s="845"/>
      <c r="AP34" s="845"/>
      <c r="AQ34" s="845"/>
    </row>
    <row r="35" spans="1:43" s="850" customFormat="1" ht="18" customHeight="1">
      <c r="A35" s="845"/>
      <c r="B35" s="865" t="s">
        <v>791</v>
      </c>
      <c r="C35" s="866"/>
      <c r="D35" s="866"/>
      <c r="E35" s="848"/>
      <c r="F35" s="848"/>
      <c r="G35" s="848"/>
      <c r="H35" s="848"/>
      <c r="I35" s="845"/>
      <c r="J35" s="845"/>
      <c r="K35" s="845"/>
      <c r="L35" s="845"/>
      <c r="M35" s="845"/>
      <c r="N35" s="845"/>
      <c r="O35" s="845"/>
      <c r="P35" s="845"/>
      <c r="Q35" s="845"/>
      <c r="R35" s="845"/>
      <c r="S35" s="845"/>
      <c r="T35" s="845"/>
      <c r="U35" s="845"/>
      <c r="V35" s="845"/>
      <c r="W35" s="845"/>
      <c r="X35" s="845"/>
      <c r="Y35" s="845"/>
      <c r="Z35" s="845"/>
      <c r="AA35" s="845"/>
      <c r="AB35" s="845"/>
      <c r="AC35" s="845"/>
      <c r="AD35" s="845"/>
      <c r="AE35" s="845"/>
      <c r="AF35" s="845"/>
      <c r="AG35" s="845"/>
      <c r="AH35" s="845"/>
      <c r="AI35" s="845"/>
      <c r="AJ35" s="845"/>
      <c r="AK35" s="845"/>
      <c r="AL35" s="845"/>
      <c r="AM35" s="845"/>
      <c r="AN35" s="845"/>
      <c r="AO35" s="845"/>
      <c r="AP35" s="845"/>
      <c r="AQ35" s="845"/>
    </row>
    <row r="36" spans="1:43" ht="18" customHeight="1">
      <c r="A36" s="17"/>
      <c r="B36" s="218"/>
      <c r="C36" s="867"/>
      <c r="D36" s="867"/>
      <c r="E36" s="29"/>
      <c r="F36" s="29"/>
      <c r="G36" s="29"/>
      <c r="H36" s="29"/>
      <c r="I36" s="29"/>
      <c r="J36" s="29"/>
      <c r="K36" s="29"/>
      <c r="L36" s="29"/>
      <c r="M36" s="29"/>
      <c r="N36" s="29"/>
      <c r="O36" s="29"/>
      <c r="P36" s="29"/>
      <c r="Q36" s="29"/>
      <c r="R36" s="29"/>
      <c r="S36" s="29"/>
      <c r="T36" s="29"/>
      <c r="U36" s="29"/>
      <c r="V36" s="28"/>
      <c r="W36" s="28"/>
      <c r="X36" s="28"/>
      <c r="Y36" s="28"/>
      <c r="Z36" s="29"/>
      <c r="AA36" s="29"/>
      <c r="AB36" s="29"/>
      <c r="AC36" s="29"/>
      <c r="AD36" s="29"/>
      <c r="AE36" s="29"/>
      <c r="AF36" s="29"/>
      <c r="AG36" s="29"/>
      <c r="AH36" s="29"/>
      <c r="AI36" s="29"/>
      <c r="AJ36" s="29"/>
      <c r="AK36" s="29"/>
      <c r="AL36" s="29"/>
      <c r="AM36" s="29"/>
      <c r="AN36" s="29"/>
      <c r="AO36" s="29"/>
      <c r="AP36" s="29"/>
      <c r="AQ36" s="29"/>
    </row>
    <row r="37" spans="1:43" ht="18" customHeight="1">
      <c r="A37" s="17"/>
      <c r="B37" s="219"/>
      <c r="C37" s="868"/>
      <c r="D37" s="868"/>
      <c r="E37" s="74"/>
      <c r="F37" s="74"/>
      <c r="G37" s="74"/>
      <c r="H37" s="74"/>
      <c r="I37" s="74"/>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59"/>
      <c r="AP37" s="59"/>
      <c r="AQ37" s="17"/>
    </row>
    <row r="38" spans="1:43" ht="18" customHeight="1">
      <c r="A38" s="17"/>
      <c r="B38" s="219"/>
      <c r="C38" s="868"/>
      <c r="D38" s="868"/>
      <c r="E38" s="74"/>
      <c r="F38" s="74"/>
      <c r="G38" s="74"/>
      <c r="H38" s="74"/>
      <c r="I38" s="74"/>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59"/>
      <c r="AP38" s="59"/>
      <c r="AQ38" s="17"/>
    </row>
    <row r="39" spans="1:43">
      <c r="A39" s="17"/>
      <c r="B39" s="219"/>
      <c r="C39" s="868"/>
      <c r="D39" s="868"/>
      <c r="E39" s="74"/>
      <c r="F39" s="74"/>
      <c r="G39" s="74"/>
      <c r="H39" s="74"/>
      <c r="I39" s="74"/>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59"/>
      <c r="AP39" s="59"/>
      <c r="AQ39" s="17"/>
    </row>
    <row r="40" spans="1:43">
      <c r="A40" s="17"/>
      <c r="B40" s="220"/>
      <c r="C40" s="869"/>
      <c r="D40" s="869"/>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row>
    <row r="41" spans="1:43" s="161" customFormat="1" ht="25.5" customHeight="1">
      <c r="A41" s="18"/>
      <c r="B41" s="221"/>
      <c r="C41" s="852"/>
      <c r="D41" s="852"/>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row>
    <row r="42" spans="1:43" s="161" customFormat="1">
      <c r="A42" s="18"/>
      <c r="B42" s="221"/>
      <c r="C42" s="852"/>
      <c r="D42" s="852"/>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spans="1:43" s="161" customFormat="1">
      <c r="B43" s="222"/>
      <c r="C43" s="870"/>
      <c r="D43" s="870"/>
    </row>
    <row r="44" spans="1:43" s="161" customFormat="1">
      <c r="B44" s="222"/>
      <c r="C44" s="870"/>
      <c r="D44" s="870"/>
    </row>
  </sheetData>
  <mergeCells count="182">
    <mergeCell ref="V21:V22"/>
    <mergeCell ref="W21:W22"/>
    <mergeCell ref="X21:X22"/>
    <mergeCell ref="Y21:Y22"/>
    <mergeCell ref="N21:N22"/>
    <mergeCell ref="O21:O22"/>
    <mergeCell ref="P21:P22"/>
    <mergeCell ref="Q21:Q22"/>
    <mergeCell ref="R21:R22"/>
    <mergeCell ref="S21:S22"/>
    <mergeCell ref="Y19:Y20"/>
    <mergeCell ref="B21:E21"/>
    <mergeCell ref="F21:F22"/>
    <mergeCell ref="G21:G22"/>
    <mergeCell ref="H21:H22"/>
    <mergeCell ref="I21:I22"/>
    <mergeCell ref="J21:J22"/>
    <mergeCell ref="K21:K22"/>
    <mergeCell ref="L21:L22"/>
    <mergeCell ref="M21:M22"/>
    <mergeCell ref="S19:S20"/>
    <mergeCell ref="T19:T20"/>
    <mergeCell ref="U19:U20"/>
    <mergeCell ref="V19:V20"/>
    <mergeCell ref="W19:W20"/>
    <mergeCell ref="X19:X20"/>
    <mergeCell ref="M19:M20"/>
    <mergeCell ref="N19:N20"/>
    <mergeCell ref="O19:O20"/>
    <mergeCell ref="P19:P20"/>
    <mergeCell ref="Q19:Q20"/>
    <mergeCell ref="R19:R20"/>
    <mergeCell ref="T21:T22"/>
    <mergeCell ref="U21:U22"/>
    <mergeCell ref="S17:S18"/>
    <mergeCell ref="T17:T18"/>
    <mergeCell ref="U17:U18"/>
    <mergeCell ref="V17:V18"/>
    <mergeCell ref="W17:W18"/>
    <mergeCell ref="L17:L18"/>
    <mergeCell ref="M17:M18"/>
    <mergeCell ref="N17:N18"/>
    <mergeCell ref="O17:O18"/>
    <mergeCell ref="P17:P18"/>
    <mergeCell ref="Q17:Q18"/>
    <mergeCell ref="B19:E19"/>
    <mergeCell ref="F19:F20"/>
    <mergeCell ref="G19:G20"/>
    <mergeCell ref="H19:H20"/>
    <mergeCell ref="I19:I20"/>
    <mergeCell ref="J19:J20"/>
    <mergeCell ref="K19:K20"/>
    <mergeCell ref="L19:L20"/>
    <mergeCell ref="R17:R18"/>
    <mergeCell ref="Y15:Y16"/>
    <mergeCell ref="B17:E17"/>
    <mergeCell ref="F17:F18"/>
    <mergeCell ref="G17:G18"/>
    <mergeCell ref="H17:H18"/>
    <mergeCell ref="I17:I18"/>
    <mergeCell ref="J17:J18"/>
    <mergeCell ref="K17:K18"/>
    <mergeCell ref="Q15:Q16"/>
    <mergeCell ref="R15:R16"/>
    <mergeCell ref="S15:S16"/>
    <mergeCell ref="T15:T16"/>
    <mergeCell ref="U15:U16"/>
    <mergeCell ref="V15:V16"/>
    <mergeCell ref="K15:K16"/>
    <mergeCell ref="L15:L16"/>
    <mergeCell ref="M15:M16"/>
    <mergeCell ref="N15:N16"/>
    <mergeCell ref="O15:O16"/>
    <mergeCell ref="P15:P16"/>
    <mergeCell ref="B15:E15"/>
    <mergeCell ref="F15:F16"/>
    <mergeCell ref="X17:X18"/>
    <mergeCell ref="Y17:Y18"/>
    <mergeCell ref="G15:G16"/>
    <mergeCell ref="H15:H16"/>
    <mergeCell ref="I15:I16"/>
    <mergeCell ref="J15:J16"/>
    <mergeCell ref="T13:T14"/>
    <mergeCell ref="U13:U14"/>
    <mergeCell ref="V13:V14"/>
    <mergeCell ref="W13:W14"/>
    <mergeCell ref="X13:X14"/>
    <mergeCell ref="W15:W16"/>
    <mergeCell ref="X15:X16"/>
    <mergeCell ref="Y13:Y14"/>
    <mergeCell ref="N13:N14"/>
    <mergeCell ref="O13:O14"/>
    <mergeCell ref="P13:P14"/>
    <mergeCell ref="Q13:Q14"/>
    <mergeCell ref="R13:R14"/>
    <mergeCell ref="S13:S14"/>
    <mergeCell ref="Y11:Y12"/>
    <mergeCell ref="B13:E13"/>
    <mergeCell ref="F13:F14"/>
    <mergeCell ref="G13:G14"/>
    <mergeCell ref="H13:H14"/>
    <mergeCell ref="I13:I14"/>
    <mergeCell ref="J13:J14"/>
    <mergeCell ref="K13:K14"/>
    <mergeCell ref="L13:L14"/>
    <mergeCell ref="M13:M14"/>
    <mergeCell ref="S11:S12"/>
    <mergeCell ref="T11:T12"/>
    <mergeCell ref="U11:U12"/>
    <mergeCell ref="V11:V12"/>
    <mergeCell ref="W11:W12"/>
    <mergeCell ref="X11:X12"/>
    <mergeCell ref="M11:M12"/>
    <mergeCell ref="N11:N12"/>
    <mergeCell ref="O11:O12"/>
    <mergeCell ref="P11:P12"/>
    <mergeCell ref="Q11:Q12"/>
    <mergeCell ref="R11:R12"/>
    <mergeCell ref="X9:X10"/>
    <mergeCell ref="Y9:Y10"/>
    <mergeCell ref="B11:E11"/>
    <mergeCell ref="F11:F12"/>
    <mergeCell ref="G11:G12"/>
    <mergeCell ref="H11:H12"/>
    <mergeCell ref="I11:I12"/>
    <mergeCell ref="J11:J12"/>
    <mergeCell ref="K11:K12"/>
    <mergeCell ref="L11:L12"/>
    <mergeCell ref="R9:R10"/>
    <mergeCell ref="S9:S10"/>
    <mergeCell ref="T9:T10"/>
    <mergeCell ref="U9:U10"/>
    <mergeCell ref="V9:V10"/>
    <mergeCell ref="W9:W10"/>
    <mergeCell ref="L9:L10"/>
    <mergeCell ref="M9:M10"/>
    <mergeCell ref="N9:N10"/>
    <mergeCell ref="O9:O10"/>
    <mergeCell ref="P9:P10"/>
    <mergeCell ref="Q9:Q10"/>
    <mergeCell ref="W7:W8"/>
    <mergeCell ref="X7:X8"/>
    <mergeCell ref="Y7:Y8"/>
    <mergeCell ref="B9:E9"/>
    <mergeCell ref="F9:F10"/>
    <mergeCell ref="G9:G10"/>
    <mergeCell ref="H9:H10"/>
    <mergeCell ref="I9:I10"/>
    <mergeCell ref="J9:J10"/>
    <mergeCell ref="K9:K10"/>
    <mergeCell ref="Q7:Q8"/>
    <mergeCell ref="R7:R8"/>
    <mergeCell ref="S7:S8"/>
    <mergeCell ref="T7:T8"/>
    <mergeCell ref="U7:U8"/>
    <mergeCell ref="V7:V8"/>
    <mergeCell ref="K7:K8"/>
    <mergeCell ref="L7:L8"/>
    <mergeCell ref="M7:M8"/>
    <mergeCell ref="N7:N8"/>
    <mergeCell ref="O7:O8"/>
    <mergeCell ref="P7:P8"/>
    <mergeCell ref="AF5:AG5"/>
    <mergeCell ref="AI5:AJ5"/>
    <mergeCell ref="AL5:AM5"/>
    <mergeCell ref="AO5:AP5"/>
    <mergeCell ref="B7:E7"/>
    <mergeCell ref="F7:F8"/>
    <mergeCell ref="G7:G8"/>
    <mergeCell ref="H7:H8"/>
    <mergeCell ref="I7:I8"/>
    <mergeCell ref="J7:J8"/>
    <mergeCell ref="B1:AQ1"/>
    <mergeCell ref="B5:E5"/>
    <mergeCell ref="F5:F6"/>
    <mergeCell ref="G5:I5"/>
    <mergeCell ref="L5:P5"/>
    <mergeCell ref="Q5:R5"/>
    <mergeCell ref="S5:V5"/>
    <mergeCell ref="W5:Y5"/>
    <mergeCell ref="Z5:AB5"/>
    <mergeCell ref="AC5:AD5"/>
  </mergeCells>
  <phoneticPr fontId="99" type="noConversion"/>
  <pageMargins left="0.31496062992125984" right="0.31496062992125984" top="0.31496062992125984" bottom="0.31496062992125984" header="0.31496062992125984" footer="0.31496062992125984"/>
  <pageSetup paperSize="9" scale="46"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Q33"/>
  <sheetViews>
    <sheetView zoomScaleNormal="100" workbookViewId="0"/>
  </sheetViews>
  <sheetFormatPr defaultColWidth="12.625" defaultRowHeight="18" customHeight="1"/>
  <cols>
    <col min="1" max="1" width="1" style="58" customWidth="1"/>
    <col min="2" max="3" width="12.625" style="58" customWidth="1"/>
    <col min="4" max="8" width="9.125" style="58" customWidth="1"/>
    <col min="9" max="9" width="12.25" style="58" customWidth="1"/>
    <col min="10" max="10" width="12.125" style="58" customWidth="1"/>
    <col min="11" max="16" width="10.25" style="58" customWidth="1"/>
    <col min="17" max="16384" width="12.625" style="58"/>
  </cols>
  <sheetData>
    <row r="1" spans="1:17" s="47" customFormat="1" ht="30" customHeight="1" thickBot="1">
      <c r="A1" s="46"/>
      <c r="B1" s="1639" t="s">
        <v>1592</v>
      </c>
      <c r="C1" s="1639"/>
      <c r="D1" s="1639"/>
      <c r="E1" s="1639"/>
      <c r="F1" s="1639"/>
      <c r="G1" s="1639"/>
      <c r="H1" s="1639"/>
      <c r="I1" s="1639"/>
      <c r="J1" s="1639"/>
      <c r="K1" s="1639"/>
      <c r="L1" s="1639"/>
      <c r="M1" s="1639"/>
      <c r="N1" s="1639"/>
      <c r="O1" s="1639"/>
      <c r="P1" s="1639"/>
      <c r="Q1" s="46"/>
    </row>
    <row r="2" spans="1:17" s="51" customFormat="1" ht="18" customHeight="1" thickTop="1">
      <c r="A2" s="48"/>
      <c r="B2" s="49"/>
      <c r="C2" s="49"/>
      <c r="D2" s="48"/>
      <c r="E2" s="48"/>
      <c r="F2" s="50"/>
      <c r="G2" s="50"/>
      <c r="H2" s="50"/>
      <c r="I2" s="50"/>
      <c r="J2" s="50"/>
      <c r="K2" s="48"/>
      <c r="L2" s="48"/>
      <c r="M2" s="48"/>
      <c r="N2" s="48"/>
      <c r="O2" s="48"/>
      <c r="P2" s="48"/>
      <c r="Q2" s="48"/>
    </row>
    <row r="3" spans="1:17" s="53" customFormat="1" ht="18" customHeight="1" thickBot="1">
      <c r="A3" s="50"/>
      <c r="B3" s="52" t="s">
        <v>1593</v>
      </c>
      <c r="C3" s="48"/>
      <c r="D3" s="48"/>
      <c r="E3" s="48"/>
      <c r="F3" s="50"/>
      <c r="G3" s="50"/>
      <c r="H3" s="50"/>
      <c r="I3" s="50"/>
      <c r="J3" s="50"/>
      <c r="K3" s="50"/>
      <c r="L3" s="50"/>
      <c r="M3" s="50"/>
      <c r="N3" s="50"/>
      <c r="O3" s="50"/>
      <c r="P3" s="50"/>
      <c r="Q3" s="50"/>
    </row>
    <row r="4" spans="1:17" s="55" customFormat="1" ht="18" customHeight="1">
      <c r="A4" s="54"/>
      <c r="B4" s="1419" t="s">
        <v>1496</v>
      </c>
      <c r="C4" s="1640"/>
      <c r="D4" s="1641" t="s">
        <v>1497</v>
      </c>
      <c r="E4" s="1423"/>
      <c r="F4" s="1423"/>
      <c r="G4" s="1423"/>
      <c r="H4" s="1423"/>
      <c r="I4" s="1423"/>
      <c r="J4" s="1423"/>
      <c r="K4" s="1642" t="s">
        <v>1508</v>
      </c>
      <c r="L4" s="1422"/>
      <c r="M4" s="1422"/>
      <c r="N4" s="1422"/>
      <c r="O4" s="1422"/>
      <c r="P4" s="1643"/>
      <c r="Q4" s="54"/>
    </row>
    <row r="5" spans="1:17" s="55" customFormat="1" ht="18" customHeight="1">
      <c r="A5" s="54"/>
      <c r="B5" s="1644" t="s">
        <v>1594</v>
      </c>
      <c r="C5" s="1645"/>
      <c r="D5" s="1650" t="s">
        <v>1595</v>
      </c>
      <c r="E5" s="1651"/>
      <c r="F5" s="1651"/>
      <c r="G5" s="1651"/>
      <c r="H5" s="1651"/>
      <c r="I5" s="1651"/>
      <c r="J5" s="1652"/>
      <c r="K5" s="1659" t="s">
        <v>1596</v>
      </c>
      <c r="L5" s="1660"/>
      <c r="M5" s="1660"/>
      <c r="N5" s="1660"/>
      <c r="O5" s="1660"/>
      <c r="P5" s="1661"/>
      <c r="Q5" s="54"/>
    </row>
    <row r="6" spans="1:17" s="55" customFormat="1" ht="18" customHeight="1">
      <c r="A6" s="54"/>
      <c r="B6" s="1646"/>
      <c r="C6" s="1647"/>
      <c r="D6" s="1653"/>
      <c r="E6" s="1654"/>
      <c r="F6" s="1654"/>
      <c r="G6" s="1654"/>
      <c r="H6" s="1654"/>
      <c r="I6" s="1654"/>
      <c r="J6" s="1655"/>
      <c r="K6" s="1662"/>
      <c r="L6" s="1663"/>
      <c r="M6" s="1663"/>
      <c r="N6" s="1663"/>
      <c r="O6" s="1663"/>
      <c r="P6" s="1664"/>
      <c r="Q6" s="54"/>
    </row>
    <row r="7" spans="1:17" s="55" customFormat="1" ht="18" customHeight="1" thickBot="1">
      <c r="A7" s="54"/>
      <c r="B7" s="1648"/>
      <c r="C7" s="1649"/>
      <c r="D7" s="1656"/>
      <c r="E7" s="1657"/>
      <c r="F7" s="1657"/>
      <c r="G7" s="1657"/>
      <c r="H7" s="1657"/>
      <c r="I7" s="1657"/>
      <c r="J7" s="1658"/>
      <c r="K7" s="1662"/>
      <c r="L7" s="1665"/>
      <c r="M7" s="1663"/>
      <c r="N7" s="1665"/>
      <c r="O7" s="1665"/>
      <c r="P7" s="1666"/>
      <c r="Q7" s="54"/>
    </row>
    <row r="8" spans="1:17" s="55" customFormat="1" ht="18" customHeight="1">
      <c r="A8" s="54"/>
      <c r="B8" s="1667" t="s">
        <v>1597</v>
      </c>
      <c r="C8" s="1668"/>
      <c r="D8" s="1653" t="s">
        <v>1598</v>
      </c>
      <c r="E8" s="1671"/>
      <c r="F8" s="1671"/>
      <c r="G8" s="1671"/>
      <c r="H8" s="1671"/>
      <c r="I8" s="1671"/>
      <c r="J8" s="1672"/>
      <c r="K8" s="1676" t="s">
        <v>1599</v>
      </c>
      <c r="L8" s="1423"/>
      <c r="M8" s="424" t="s">
        <v>1</v>
      </c>
      <c r="N8" s="1094" t="s">
        <v>2</v>
      </c>
      <c r="O8" s="1098" t="s">
        <v>3</v>
      </c>
      <c r="P8" s="1093" t="s">
        <v>4</v>
      </c>
      <c r="Q8" s="54"/>
    </row>
    <row r="9" spans="1:17" s="55" customFormat="1" ht="18" customHeight="1" thickBot="1">
      <c r="A9" s="54"/>
      <c r="B9" s="1408"/>
      <c r="C9" s="1669"/>
      <c r="D9" s="1653"/>
      <c r="E9" s="1671"/>
      <c r="F9" s="1671"/>
      <c r="G9" s="1671"/>
      <c r="H9" s="1671"/>
      <c r="I9" s="1671"/>
      <c r="J9" s="1672"/>
      <c r="K9" s="1677" t="s">
        <v>1600</v>
      </c>
      <c r="L9" s="1678"/>
      <c r="M9" s="425" t="s">
        <v>1601</v>
      </c>
      <c r="N9" s="784" t="s">
        <v>1602</v>
      </c>
      <c r="O9" s="785" t="s">
        <v>1603</v>
      </c>
      <c r="P9" s="786" t="s">
        <v>1604</v>
      </c>
      <c r="Q9" s="54"/>
    </row>
    <row r="10" spans="1:17" s="55" customFormat="1" ht="18" customHeight="1" thickBot="1">
      <c r="A10" s="54"/>
      <c r="B10" s="1410"/>
      <c r="C10" s="1670"/>
      <c r="D10" s="1673"/>
      <c r="E10" s="1674"/>
      <c r="F10" s="1674"/>
      <c r="G10" s="1674"/>
      <c r="H10" s="1674"/>
      <c r="I10" s="1674"/>
      <c r="J10" s="1675"/>
      <c r="K10" s="1679" t="s">
        <v>1605</v>
      </c>
      <c r="L10" s="1680"/>
      <c r="M10" s="1636" t="s">
        <v>1606</v>
      </c>
      <c r="N10" s="1637"/>
      <c r="O10" s="1637"/>
      <c r="P10" s="1638"/>
      <c r="Q10" s="54"/>
    </row>
    <row r="11" spans="1:17" s="53" customFormat="1" ht="18" customHeight="1">
      <c r="A11" s="54"/>
      <c r="B11" s="1101"/>
      <c r="C11" s="1101"/>
      <c r="D11" s="1101"/>
      <c r="E11" s="1101"/>
      <c r="F11" s="1101"/>
      <c r="G11" s="1101"/>
      <c r="H11" s="1101"/>
      <c r="I11" s="1101"/>
      <c r="J11" s="1101"/>
      <c r="K11" s="1102"/>
      <c r="L11" s="1102"/>
      <c r="M11" s="1102"/>
      <c r="N11" s="1102"/>
      <c r="O11" s="1102"/>
      <c r="P11" s="54"/>
      <c r="Q11" s="54"/>
    </row>
    <row r="12" spans="1:17" s="53" customFormat="1" ht="18" customHeight="1" thickBot="1">
      <c r="A12" s="50"/>
      <c r="B12" s="52" t="s">
        <v>1502</v>
      </c>
      <c r="C12" s="48"/>
      <c r="D12" s="48"/>
      <c r="E12" s="48"/>
      <c r="F12" s="50"/>
      <c r="G12" s="50"/>
      <c r="H12" s="50"/>
      <c r="I12" s="50"/>
      <c r="J12" s="50"/>
      <c r="K12" s="50"/>
      <c r="L12" s="50"/>
      <c r="M12" s="50"/>
      <c r="N12" s="50"/>
      <c r="O12" s="50"/>
      <c r="P12" s="50"/>
      <c r="Q12" s="50"/>
    </row>
    <row r="13" spans="1:17" s="55" customFormat="1" ht="18" customHeight="1">
      <c r="A13" s="54"/>
      <c r="B13" s="1419" t="s">
        <v>1496</v>
      </c>
      <c r="C13" s="1640"/>
      <c r="D13" s="1641" t="s">
        <v>1508</v>
      </c>
      <c r="E13" s="1423"/>
      <c r="F13" s="1423"/>
      <c r="G13" s="1423"/>
      <c r="H13" s="1423"/>
      <c r="I13" s="1423"/>
      <c r="J13" s="1423"/>
      <c r="K13" s="1423"/>
      <c r="L13" s="1423"/>
      <c r="M13" s="1423"/>
      <c r="N13" s="1423"/>
      <c r="O13" s="1423"/>
      <c r="P13" s="1681"/>
      <c r="Q13" s="54"/>
    </row>
    <row r="14" spans="1:17" s="55" customFormat="1" ht="18" customHeight="1">
      <c r="A14" s="54"/>
      <c r="B14" s="1408" t="s">
        <v>1607</v>
      </c>
      <c r="C14" s="1669"/>
      <c r="D14" s="1682" t="s">
        <v>1608</v>
      </c>
      <c r="E14" s="1683"/>
      <c r="F14" s="1683"/>
      <c r="G14" s="1683"/>
      <c r="H14" s="1683"/>
      <c r="I14" s="1683"/>
      <c r="J14" s="1683"/>
      <c r="K14" s="1683"/>
      <c r="L14" s="1683"/>
      <c r="M14" s="1683"/>
      <c r="N14" s="1683"/>
      <c r="O14" s="1683"/>
      <c r="P14" s="1684"/>
      <c r="Q14" s="54"/>
    </row>
    <row r="15" spans="1:17" s="55" customFormat="1" ht="18" customHeight="1" thickBot="1">
      <c r="A15" s="54"/>
      <c r="B15" s="1685" t="s">
        <v>1503</v>
      </c>
      <c r="C15" s="1686"/>
      <c r="D15" s="1687" t="s">
        <v>1609</v>
      </c>
      <c r="E15" s="1688"/>
      <c r="F15" s="1688"/>
      <c r="G15" s="1688"/>
      <c r="H15" s="1688"/>
      <c r="I15" s="1688"/>
      <c r="J15" s="1688"/>
      <c r="K15" s="1688"/>
      <c r="L15" s="1688"/>
      <c r="M15" s="1688"/>
      <c r="N15" s="1688"/>
      <c r="O15" s="1688"/>
      <c r="P15" s="1689"/>
      <c r="Q15" s="54"/>
    </row>
    <row r="16" spans="1:17" s="53" customFormat="1" ht="18" customHeight="1">
      <c r="A16" s="54"/>
      <c r="B16" s="1101"/>
      <c r="C16" s="1101"/>
      <c r="D16" s="1101"/>
      <c r="E16" s="1101"/>
      <c r="F16" s="1101"/>
      <c r="G16" s="1101"/>
      <c r="H16" s="1101"/>
      <c r="I16" s="1101"/>
      <c r="J16" s="1101"/>
      <c r="K16" s="1101"/>
      <c r="L16" s="1101"/>
      <c r="M16" s="1101"/>
      <c r="N16" s="1101"/>
      <c r="O16" s="1101"/>
      <c r="P16" s="54"/>
      <c r="Q16" s="54"/>
    </row>
    <row r="17" spans="1:17" s="53" customFormat="1" ht="18" customHeight="1" thickBot="1">
      <c r="A17" s="48"/>
      <c r="B17" s="52" t="s">
        <v>1506</v>
      </c>
      <c r="C17" s="48"/>
      <c r="D17" s="48"/>
      <c r="E17" s="56"/>
      <c r="F17" s="50"/>
      <c r="G17" s="50"/>
      <c r="H17" s="50"/>
      <c r="I17" s="50"/>
      <c r="J17" s="50"/>
      <c r="K17" s="48"/>
      <c r="L17" s="48"/>
      <c r="M17" s="48"/>
      <c r="N17" s="48"/>
      <c r="O17" s="48"/>
      <c r="P17" s="48"/>
      <c r="Q17" s="48"/>
    </row>
    <row r="18" spans="1:17" s="55" customFormat="1" ht="18" customHeight="1" thickBot="1">
      <c r="A18" s="54"/>
      <c r="B18" s="1419" t="s">
        <v>1496</v>
      </c>
      <c r="C18" s="1640"/>
      <c r="D18" s="1641" t="s">
        <v>1507</v>
      </c>
      <c r="E18" s="1423"/>
      <c r="F18" s="1423"/>
      <c r="G18" s="1423"/>
      <c r="H18" s="1423"/>
      <c r="I18" s="1423"/>
      <c r="J18" s="1424"/>
      <c r="K18" s="1690" t="s">
        <v>1508</v>
      </c>
      <c r="L18" s="1690"/>
      <c r="M18" s="1690"/>
      <c r="N18" s="1690"/>
      <c r="O18" s="1642"/>
      <c r="P18" s="1093" t="s">
        <v>1509</v>
      </c>
      <c r="Q18" s="54"/>
    </row>
    <row r="19" spans="1:17" s="55" customFormat="1" ht="18" customHeight="1">
      <c r="A19" s="54"/>
      <c r="B19" s="1691" t="s">
        <v>1610</v>
      </c>
      <c r="C19" s="1669"/>
      <c r="D19" s="1660" t="s">
        <v>1611</v>
      </c>
      <c r="E19" s="1660"/>
      <c r="F19" s="1660"/>
      <c r="G19" s="1660"/>
      <c r="H19" s="1660"/>
      <c r="I19" s="1660"/>
      <c r="J19" s="1661"/>
      <c r="K19" s="1694" t="s">
        <v>1612</v>
      </c>
      <c r="L19" s="1098" t="s">
        <v>1613</v>
      </c>
      <c r="M19" s="1098" t="s">
        <v>1614</v>
      </c>
      <c r="N19" s="1098" t="s">
        <v>1615</v>
      </c>
      <c r="O19" s="1093" t="s">
        <v>1616</v>
      </c>
      <c r="P19" s="1684" t="s">
        <v>1617</v>
      </c>
      <c r="Q19" s="54"/>
    </row>
    <row r="20" spans="1:17" s="55" customFormat="1" ht="18" customHeight="1" thickBot="1">
      <c r="A20" s="54"/>
      <c r="B20" s="1408"/>
      <c r="C20" s="1669"/>
      <c r="D20" s="1692"/>
      <c r="E20" s="1692"/>
      <c r="F20" s="1692"/>
      <c r="G20" s="1692"/>
      <c r="H20" s="1692"/>
      <c r="I20" s="1692"/>
      <c r="J20" s="1693"/>
      <c r="K20" s="1695"/>
      <c r="L20" s="57" t="s">
        <v>1618</v>
      </c>
      <c r="M20" s="539">
        <v>0.29299999999999998</v>
      </c>
      <c r="N20" s="540">
        <v>0.14299999999999999</v>
      </c>
      <c r="O20" s="541">
        <v>0.11700000000000001</v>
      </c>
      <c r="P20" s="1684"/>
      <c r="Q20" s="54"/>
    </row>
    <row r="21" spans="1:17" s="79" customFormat="1" ht="18" customHeight="1">
      <c r="A21" s="54"/>
      <c r="B21" s="1696" t="s">
        <v>1619</v>
      </c>
      <c r="C21" s="1697"/>
      <c r="D21" s="1662" t="s">
        <v>1620</v>
      </c>
      <c r="E21" s="1663"/>
      <c r="F21" s="1663"/>
      <c r="G21" s="1663"/>
      <c r="H21" s="1663"/>
      <c r="I21" s="1663"/>
      <c r="J21" s="1663"/>
      <c r="K21" s="1103" t="s">
        <v>1599</v>
      </c>
      <c r="L21" s="424" t="s">
        <v>1</v>
      </c>
      <c r="M21" s="1100" t="s">
        <v>2</v>
      </c>
      <c r="N21" s="556" t="s">
        <v>3</v>
      </c>
      <c r="O21" s="557" t="s">
        <v>4</v>
      </c>
      <c r="P21" s="1701" t="s">
        <v>1621</v>
      </c>
      <c r="Q21" s="54"/>
    </row>
    <row r="22" spans="1:17" s="79" customFormat="1" ht="18" customHeight="1" thickBot="1">
      <c r="A22" s="54"/>
      <c r="B22" s="1696"/>
      <c r="C22" s="1697"/>
      <c r="D22" s="1662"/>
      <c r="E22" s="1663"/>
      <c r="F22" s="1663"/>
      <c r="G22" s="1663"/>
      <c r="H22" s="1663"/>
      <c r="I22" s="1663"/>
      <c r="J22" s="1663"/>
      <c r="K22" s="1097" t="s">
        <v>41</v>
      </c>
      <c r="L22" s="558">
        <v>3.77</v>
      </c>
      <c r="M22" s="559">
        <v>3.52</v>
      </c>
      <c r="N22" s="560">
        <v>3.02</v>
      </c>
      <c r="O22" s="561">
        <v>2.52</v>
      </c>
      <c r="P22" s="1684"/>
      <c r="Q22" s="54"/>
    </row>
    <row r="23" spans="1:17" s="249" customFormat="1" ht="18" customHeight="1">
      <c r="B23" s="1696"/>
      <c r="C23" s="1697"/>
      <c r="D23" s="1662"/>
      <c r="E23" s="1663"/>
      <c r="F23" s="1663"/>
      <c r="G23" s="1663"/>
      <c r="H23" s="1663"/>
      <c r="I23" s="1663"/>
      <c r="J23" s="1663"/>
      <c r="K23" s="1703" t="s">
        <v>1622</v>
      </c>
      <c r="L23" s="1704"/>
      <c r="M23" s="542" t="s">
        <v>1623</v>
      </c>
      <c r="N23" s="543" t="s">
        <v>1624</v>
      </c>
      <c r="O23" s="426" t="s">
        <v>1625</v>
      </c>
      <c r="P23" s="1684"/>
    </row>
    <row r="24" spans="1:17" s="249" customFormat="1" ht="18" customHeight="1" thickBot="1">
      <c r="B24" s="1698"/>
      <c r="C24" s="1699"/>
      <c r="D24" s="1700"/>
      <c r="E24" s="1665"/>
      <c r="F24" s="1665"/>
      <c r="G24" s="1665"/>
      <c r="H24" s="1665"/>
      <c r="I24" s="1665"/>
      <c r="J24" s="1665"/>
      <c r="K24" s="1705" t="s">
        <v>70</v>
      </c>
      <c r="L24" s="1706"/>
      <c r="M24" s="250">
        <v>1</v>
      </c>
      <c r="N24" s="427">
        <v>0.98</v>
      </c>
      <c r="O24" s="428">
        <v>0.97</v>
      </c>
      <c r="P24" s="1702"/>
    </row>
    <row r="25" spans="1:17" s="249" customFormat="1" ht="18" customHeight="1"/>
    <row r="26" spans="1:17" s="249" customFormat="1" ht="18" hidden="1" customHeight="1"/>
    <row r="27" spans="1:17" ht="18" hidden="1" customHeight="1">
      <c r="I27" s="249"/>
      <c r="J27" s="249"/>
      <c r="K27" s="249"/>
      <c r="L27" s="249"/>
      <c r="M27" s="249"/>
      <c r="N27" s="249"/>
      <c r="O27" s="249"/>
      <c r="P27" s="249"/>
    </row>
    <row r="28" spans="1:17" ht="18" hidden="1" customHeight="1">
      <c r="J28" s="249"/>
      <c r="K28" s="249"/>
      <c r="L28" s="249"/>
      <c r="M28" s="249"/>
      <c r="N28" s="249"/>
      <c r="O28" s="249"/>
      <c r="P28" s="249"/>
    </row>
    <row r="29" spans="1:17" ht="18" hidden="1" customHeight="1" thickBot="1">
      <c r="J29" s="249"/>
      <c r="K29" s="249"/>
      <c r="L29" s="249"/>
      <c r="M29" s="249"/>
      <c r="N29" s="249"/>
      <c r="O29" s="249"/>
      <c r="P29" s="249"/>
    </row>
    <row r="30" spans="1:17" ht="18" hidden="1" customHeight="1">
      <c r="J30" s="249"/>
      <c r="K30" s="249"/>
      <c r="L30" s="249"/>
      <c r="M30" s="249"/>
      <c r="N30" s="249"/>
      <c r="O30" s="249"/>
      <c r="P30" s="249"/>
    </row>
    <row r="31" spans="1:17" ht="18" hidden="1" customHeight="1" thickBot="1"/>
    <row r="32" spans="1:17" ht="18" hidden="1" customHeight="1"/>
    <row r="33" ht="18" hidden="1" customHeight="1" thickBot="1"/>
  </sheetData>
  <mergeCells count="31">
    <mergeCell ref="P19:P20"/>
    <mergeCell ref="B21:C24"/>
    <mergeCell ref="D21:J24"/>
    <mergeCell ref="P21:P24"/>
    <mergeCell ref="K23:L23"/>
    <mergeCell ref="K24:L24"/>
    <mergeCell ref="B18:C18"/>
    <mergeCell ref="D18:J18"/>
    <mergeCell ref="K18:O18"/>
    <mergeCell ref="B19:C20"/>
    <mergeCell ref="D19:J20"/>
    <mergeCell ref="K19:K20"/>
    <mergeCell ref="B13:C13"/>
    <mergeCell ref="D13:P13"/>
    <mergeCell ref="B14:C14"/>
    <mergeCell ref="D14:P14"/>
    <mergeCell ref="B15:C15"/>
    <mergeCell ref="D15:P15"/>
    <mergeCell ref="M10:P10"/>
    <mergeCell ref="B1:P1"/>
    <mergeCell ref="B4:C4"/>
    <mergeCell ref="D4:J4"/>
    <mergeCell ref="K4:P4"/>
    <mergeCell ref="B5:C7"/>
    <mergeCell ref="D5:J7"/>
    <mergeCell ref="K5:P7"/>
    <mergeCell ref="B8:C10"/>
    <mergeCell ref="D8:J10"/>
    <mergeCell ref="K8:L8"/>
    <mergeCell ref="K9:L9"/>
    <mergeCell ref="K10:L10"/>
  </mergeCells>
  <phoneticPr fontId="99" type="noConversion"/>
  <printOptions horizontalCentered="1"/>
  <pageMargins left="0.31496062992125984" right="0.31496062992125984" top="0.31496062992125984" bottom="0.31496062992125984" header="0" footer="0"/>
  <pageSetup paperSize="9" scale="83"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8"/>
  <sheetViews>
    <sheetView zoomScaleNormal="100" workbookViewId="0"/>
  </sheetViews>
  <sheetFormatPr defaultColWidth="9.125" defaultRowHeight="18" customHeight="1"/>
  <cols>
    <col min="1" max="1" width="0.625" style="58" customWidth="1"/>
    <col min="2" max="2" width="5.625" style="58" customWidth="1"/>
    <col min="3" max="3" width="22.125" style="58" customWidth="1"/>
    <col min="4" max="4" width="8" style="58" customWidth="1"/>
    <col min="5" max="5" width="7.625" style="58" bestFit="1" customWidth="1"/>
    <col min="6" max="6" width="6.125" style="58" bestFit="1" customWidth="1"/>
    <col min="7" max="7" width="9" style="58" bestFit="1" customWidth="1"/>
    <col min="8" max="8" width="5.875" style="58" bestFit="1" customWidth="1"/>
    <col min="9" max="9" width="6.625" style="58" bestFit="1" customWidth="1"/>
    <col min="10" max="11" width="7.5" style="58" bestFit="1" customWidth="1"/>
    <col min="12" max="29" width="8.125" style="58" customWidth="1"/>
    <col min="30" max="16384" width="9.125" style="58"/>
  </cols>
  <sheetData>
    <row r="1" spans="1:37" ht="30" customHeight="1" thickBot="1">
      <c r="B1" s="1707" t="s">
        <v>1626</v>
      </c>
      <c r="C1" s="1707"/>
      <c r="D1" s="1707"/>
      <c r="E1" s="1707"/>
      <c r="F1" s="1707"/>
      <c r="G1" s="1707"/>
      <c r="H1" s="1707"/>
      <c r="I1" s="1707"/>
      <c r="J1" s="1707"/>
      <c r="K1" s="1707"/>
      <c r="L1" s="1707"/>
      <c r="M1" s="1707"/>
      <c r="N1" s="1707"/>
      <c r="O1" s="1707"/>
      <c r="P1" s="1707"/>
      <c r="Q1" s="1707"/>
      <c r="R1" s="1707"/>
      <c r="S1" s="1707"/>
      <c r="T1" s="1707"/>
      <c r="U1" s="1707"/>
      <c r="V1" s="1707"/>
      <c r="W1" s="1707"/>
      <c r="X1" s="1707"/>
      <c r="Y1" s="1707"/>
      <c r="Z1" s="1707"/>
      <c r="AA1" s="1707"/>
      <c r="AB1" s="1707"/>
      <c r="AC1" s="1707"/>
    </row>
    <row r="2" spans="1:37" s="2" customFormat="1" ht="6" customHeight="1" thickTop="1">
      <c r="A2" s="5"/>
      <c r="B2" s="37"/>
      <c r="C2" s="37"/>
      <c r="D2" s="37"/>
      <c r="E2" s="37"/>
      <c r="F2" s="37"/>
      <c r="G2" s="37"/>
      <c r="H2" s="5"/>
      <c r="I2" s="5"/>
      <c r="J2" s="6"/>
      <c r="K2" s="6"/>
      <c r="L2" s="6"/>
      <c r="M2" s="5"/>
      <c r="N2" s="5"/>
      <c r="O2" s="5"/>
      <c r="P2" s="5"/>
      <c r="Q2" s="5"/>
      <c r="R2" s="5"/>
      <c r="S2" s="5"/>
      <c r="T2" s="5"/>
      <c r="U2" s="5"/>
      <c r="V2" s="5"/>
      <c r="W2" s="5"/>
      <c r="X2" s="5"/>
      <c r="Y2" s="5"/>
      <c r="Z2" s="5"/>
      <c r="AA2" s="5"/>
      <c r="AB2" s="5"/>
      <c r="AC2" s="5"/>
      <c r="AD2" s="5"/>
      <c r="AE2" s="5"/>
      <c r="AF2" s="5"/>
      <c r="AG2" s="5"/>
      <c r="AH2" s="5"/>
      <c r="AI2" s="5"/>
      <c r="AJ2" s="5"/>
      <c r="AK2" s="5"/>
    </row>
    <row r="3" spans="1:37" s="274" customFormat="1" ht="18" customHeight="1">
      <c r="B3" s="364" t="s">
        <v>1747</v>
      </c>
      <c r="C3" s="273"/>
      <c r="D3" s="273"/>
      <c r="E3" s="273"/>
      <c r="F3" s="273"/>
      <c r="G3" s="273"/>
      <c r="M3" s="275"/>
      <c r="N3" s="275"/>
      <c r="O3" s="275"/>
    </row>
    <row r="4" spans="1:37" s="2" customFormat="1" ht="6" customHeight="1" thickBot="1">
      <c r="A4" s="5"/>
      <c r="B4" s="37"/>
      <c r="C4" s="37"/>
      <c r="D4" s="37"/>
      <c r="E4" s="37"/>
      <c r="F4" s="37"/>
      <c r="G4" s="37"/>
      <c r="H4" s="5"/>
      <c r="I4" s="5"/>
      <c r="J4" s="6"/>
      <c r="K4" s="6"/>
      <c r="L4" s="6"/>
      <c r="M4" s="5"/>
      <c r="N4" s="5"/>
      <c r="O4" s="5"/>
      <c r="P4" s="5"/>
      <c r="Q4" s="5"/>
      <c r="R4" s="5"/>
      <c r="S4" s="5"/>
      <c r="T4" s="5"/>
      <c r="U4" s="5"/>
      <c r="V4" s="5"/>
      <c r="W4" s="5"/>
      <c r="X4" s="5"/>
      <c r="Y4" s="5"/>
      <c r="Z4" s="5"/>
      <c r="AA4" s="5"/>
      <c r="AB4" s="5"/>
      <c r="AC4" s="5"/>
      <c r="AD4" s="5"/>
      <c r="AE4" s="5"/>
      <c r="AF4" s="5"/>
      <c r="AG4" s="5"/>
      <c r="AH4" s="5"/>
      <c r="AI4" s="5"/>
      <c r="AJ4" s="5"/>
      <c r="AK4" s="5"/>
    </row>
    <row r="5" spans="1:37" ht="18" customHeight="1">
      <c r="B5" s="1708" t="s">
        <v>1542</v>
      </c>
      <c r="C5" s="1709"/>
      <c r="D5" s="1710"/>
      <c r="E5" s="1588" t="s">
        <v>1543</v>
      </c>
      <c r="F5" s="1277" t="s">
        <v>1627</v>
      </c>
      <c r="G5" s="1713" t="s">
        <v>1628</v>
      </c>
      <c r="H5" s="1281" t="s">
        <v>1629</v>
      </c>
      <c r="I5" s="1281"/>
      <c r="J5" s="1715" t="s">
        <v>1630</v>
      </c>
      <c r="K5" s="1716"/>
      <c r="L5" s="1283" t="s">
        <v>1547</v>
      </c>
      <c r="M5" s="1284"/>
      <c r="N5" s="1285"/>
      <c r="O5" s="1286" t="s">
        <v>1548</v>
      </c>
      <c r="P5" s="1287"/>
      <c r="Q5" s="244">
        <v>0.93</v>
      </c>
      <c r="R5" s="1286" t="s">
        <v>1549</v>
      </c>
      <c r="S5" s="1287"/>
      <c r="T5" s="244">
        <v>0.86</v>
      </c>
      <c r="U5" s="1286" t="s">
        <v>1550</v>
      </c>
      <c r="V5" s="1287"/>
      <c r="W5" s="244">
        <v>0.83</v>
      </c>
      <c r="X5" s="1286" t="s">
        <v>1551</v>
      </c>
      <c r="Y5" s="1287"/>
      <c r="Z5" s="244">
        <v>0.75</v>
      </c>
      <c r="AA5" s="1717" t="s">
        <v>1552</v>
      </c>
      <c r="AB5" s="1718"/>
      <c r="AC5" s="244">
        <v>0.7</v>
      </c>
    </row>
    <row r="6" spans="1:37" ht="15" customHeight="1">
      <c r="B6" s="1719" t="s">
        <v>1553</v>
      </c>
      <c r="C6" s="1720" t="s">
        <v>1554</v>
      </c>
      <c r="D6" s="1721" t="s">
        <v>1555</v>
      </c>
      <c r="E6" s="1711"/>
      <c r="F6" s="1712"/>
      <c r="G6" s="1714"/>
      <c r="H6" s="447" t="s">
        <v>1631</v>
      </c>
      <c r="I6" s="447" t="s">
        <v>1632</v>
      </c>
      <c r="J6" s="291" t="s">
        <v>71</v>
      </c>
      <c r="K6" s="448" t="s">
        <v>72</v>
      </c>
      <c r="L6" s="1723" t="s">
        <v>1559</v>
      </c>
      <c r="M6" s="1725" t="s">
        <v>1560</v>
      </c>
      <c r="N6" s="1727" t="s">
        <v>1561</v>
      </c>
      <c r="O6" s="1723" t="s">
        <v>1559</v>
      </c>
      <c r="P6" s="1725" t="s">
        <v>1560</v>
      </c>
      <c r="Q6" s="1727" t="s">
        <v>1561</v>
      </c>
      <c r="R6" s="1723" t="s">
        <v>1559</v>
      </c>
      <c r="S6" s="1725" t="s">
        <v>1560</v>
      </c>
      <c r="T6" s="1727" t="s">
        <v>1561</v>
      </c>
      <c r="U6" s="1723" t="s">
        <v>1559</v>
      </c>
      <c r="V6" s="1725" t="s">
        <v>1560</v>
      </c>
      <c r="W6" s="1727" t="s">
        <v>1561</v>
      </c>
      <c r="X6" s="1723" t="s">
        <v>1559</v>
      </c>
      <c r="Y6" s="1725" t="s">
        <v>1560</v>
      </c>
      <c r="Z6" s="1727" t="s">
        <v>1561</v>
      </c>
      <c r="AA6" s="1723" t="s">
        <v>1559</v>
      </c>
      <c r="AB6" s="1725" t="s">
        <v>1560</v>
      </c>
      <c r="AC6" s="1727" t="s">
        <v>1561</v>
      </c>
    </row>
    <row r="7" spans="1:37" ht="15" customHeight="1" thickBot="1">
      <c r="B7" s="1260"/>
      <c r="C7" s="1278"/>
      <c r="D7" s="1722"/>
      <c r="E7" s="1589"/>
      <c r="F7" s="1712"/>
      <c r="G7" s="449">
        <f>377%*97%</f>
        <v>3.6568999999999998</v>
      </c>
      <c r="H7" s="459">
        <v>0.29299999999999998</v>
      </c>
      <c r="I7" s="459">
        <v>0.29299999999999998</v>
      </c>
      <c r="J7" s="538">
        <v>0.14299999999999999</v>
      </c>
      <c r="K7" s="538">
        <v>0.11700000000000001</v>
      </c>
      <c r="L7" s="1724"/>
      <c r="M7" s="1726"/>
      <c r="N7" s="1728"/>
      <c r="O7" s="1724"/>
      <c r="P7" s="1726"/>
      <c r="Q7" s="1728"/>
      <c r="R7" s="1724"/>
      <c r="S7" s="1726"/>
      <c r="T7" s="1728"/>
      <c r="U7" s="1724"/>
      <c r="V7" s="1726"/>
      <c r="W7" s="1728"/>
      <c r="X7" s="1724"/>
      <c r="Y7" s="1726"/>
      <c r="Z7" s="1728"/>
      <c r="AA7" s="1724"/>
      <c r="AB7" s="1726"/>
      <c r="AC7" s="1728"/>
      <c r="AD7" s="292"/>
      <c r="AE7" s="292"/>
      <c r="AF7" s="292"/>
      <c r="AG7" s="292"/>
    </row>
    <row r="8" spans="1:37" ht="18" customHeight="1">
      <c r="B8" s="1258" t="s">
        <v>1633</v>
      </c>
      <c r="C8" s="1729" t="s">
        <v>1634</v>
      </c>
      <c r="D8" s="1730"/>
      <c r="E8" s="1731">
        <v>1000</v>
      </c>
      <c r="F8" s="1226">
        <f>E8*D9</f>
        <v>660</v>
      </c>
      <c r="G8" s="1224">
        <f>F8*$G$7</f>
        <v>2413.5540000000001</v>
      </c>
      <c r="H8" s="1226">
        <f>F8*$H$7*5</f>
        <v>966.9</v>
      </c>
      <c r="I8" s="1226">
        <f>F8*$I$7*7</f>
        <v>1353.6599999999999</v>
      </c>
      <c r="J8" s="1226">
        <f>F8*$J$7*12</f>
        <v>1132.56</v>
      </c>
      <c r="K8" s="1226">
        <f>F8*$K$7*12</f>
        <v>926.64</v>
      </c>
      <c r="L8" s="499">
        <f>H8+G8</f>
        <v>3380.4540000000002</v>
      </c>
      <c r="M8" s="500">
        <f>G8+H8+I8</f>
        <v>4734.1139999999996</v>
      </c>
      <c r="N8" s="464">
        <f>H8+I8+J8+K8+G8</f>
        <v>6793.3140000000003</v>
      </c>
      <c r="O8" s="499">
        <f>L8*$Q$5</f>
        <v>3143.8222200000005</v>
      </c>
      <c r="P8" s="500">
        <f>M8*$Q$5</f>
        <v>4402.7260200000001</v>
      </c>
      <c r="Q8" s="464">
        <f>N8*$Q$5</f>
        <v>6317.7820200000006</v>
      </c>
      <c r="R8" s="672">
        <f>L8*$T$5</f>
        <v>2907.1904400000003</v>
      </c>
      <c r="S8" s="500">
        <f>M8*$T$5</f>
        <v>4071.3380399999996</v>
      </c>
      <c r="T8" s="464">
        <f>N8*$T$5</f>
        <v>5842.2500399999999</v>
      </c>
      <c r="U8" s="499">
        <f>L8*$W$5</f>
        <v>2805.77682</v>
      </c>
      <c r="V8" s="500">
        <f>M8*$W$5</f>
        <v>3929.3146199999996</v>
      </c>
      <c r="W8" s="464">
        <f>N8*$W$5</f>
        <v>5638.4506199999996</v>
      </c>
      <c r="X8" s="499">
        <f>L8*$Z$5</f>
        <v>2535.3405000000002</v>
      </c>
      <c r="Y8" s="500">
        <f>M8*$Z$5</f>
        <v>3550.5854999999997</v>
      </c>
      <c r="Z8" s="464">
        <f>N8*$Z$5</f>
        <v>5094.9855000000007</v>
      </c>
      <c r="AA8" s="499">
        <f>L8*$AC$5</f>
        <v>2366.3177999999998</v>
      </c>
      <c r="AB8" s="500">
        <f>M8*$AC$5</f>
        <v>3313.8797999999997</v>
      </c>
      <c r="AC8" s="464">
        <f>N8*$AC$5</f>
        <v>4755.3198000000002</v>
      </c>
      <c r="AD8" s="292"/>
      <c r="AE8" s="292"/>
      <c r="AF8" s="292"/>
      <c r="AG8" s="292"/>
    </row>
    <row r="9" spans="1:37" ht="18" customHeight="1">
      <c r="B9" s="1259"/>
      <c r="C9" s="279" t="s">
        <v>1635</v>
      </c>
      <c r="D9" s="445">
        <v>0.66</v>
      </c>
      <c r="E9" s="1607"/>
      <c r="F9" s="1227"/>
      <c r="G9" s="1225"/>
      <c r="H9" s="1227"/>
      <c r="I9" s="1227"/>
      <c r="J9" s="1227"/>
      <c r="K9" s="1227"/>
      <c r="L9" s="186">
        <f t="shared" ref="L9:AC9" si="0">L8/$E8</f>
        <v>3.3804540000000003</v>
      </c>
      <c r="M9" s="189">
        <f t="shared" si="0"/>
        <v>4.7341139999999999</v>
      </c>
      <c r="N9" s="188">
        <f t="shared" si="0"/>
        <v>6.7933140000000005</v>
      </c>
      <c r="O9" s="186">
        <f t="shared" si="0"/>
        <v>3.1438222200000006</v>
      </c>
      <c r="P9" s="189">
        <f t="shared" si="0"/>
        <v>4.4027260200000002</v>
      </c>
      <c r="Q9" s="188">
        <f t="shared" si="0"/>
        <v>6.317782020000001</v>
      </c>
      <c r="R9" s="186">
        <f t="shared" si="0"/>
        <v>2.9071904400000004</v>
      </c>
      <c r="S9" s="189">
        <f t="shared" si="0"/>
        <v>4.0713380399999997</v>
      </c>
      <c r="T9" s="188">
        <f t="shared" si="0"/>
        <v>5.8422500399999997</v>
      </c>
      <c r="U9" s="186">
        <f t="shared" si="0"/>
        <v>2.8057768200000002</v>
      </c>
      <c r="V9" s="189">
        <f t="shared" si="0"/>
        <v>3.9293146199999995</v>
      </c>
      <c r="W9" s="188">
        <f t="shared" si="0"/>
        <v>5.6384506199999995</v>
      </c>
      <c r="X9" s="186">
        <f t="shared" si="0"/>
        <v>2.5353405000000002</v>
      </c>
      <c r="Y9" s="189">
        <f t="shared" si="0"/>
        <v>3.5505854999999995</v>
      </c>
      <c r="Z9" s="188">
        <f t="shared" si="0"/>
        <v>5.0949855000000008</v>
      </c>
      <c r="AA9" s="186">
        <f t="shared" si="0"/>
        <v>2.3663178</v>
      </c>
      <c r="AB9" s="189">
        <f t="shared" si="0"/>
        <v>3.3138797999999996</v>
      </c>
      <c r="AC9" s="188">
        <f t="shared" si="0"/>
        <v>4.7553198000000005</v>
      </c>
      <c r="AD9" s="292"/>
      <c r="AE9" s="292"/>
      <c r="AF9" s="292"/>
      <c r="AG9" s="292"/>
    </row>
    <row r="10" spans="1:37" ht="18" customHeight="1">
      <c r="B10" s="1259"/>
      <c r="C10" s="1373" t="s">
        <v>1636</v>
      </c>
      <c r="D10" s="1732"/>
      <c r="E10" s="1607">
        <v>1000</v>
      </c>
      <c r="F10" s="1227">
        <f>E10*D11</f>
        <v>640</v>
      </c>
      <c r="G10" s="1225">
        <f t="shared" ref="G10" si="1">F10*$G$7</f>
        <v>2340.4159999999997</v>
      </c>
      <c r="H10" s="1227">
        <f>F10*$H$7*5</f>
        <v>937.59999999999991</v>
      </c>
      <c r="I10" s="1227">
        <f>F10*$I$7*7</f>
        <v>1312.6399999999999</v>
      </c>
      <c r="J10" s="1227">
        <f t="shared" ref="J10" si="2">F10*$J$7*12</f>
        <v>1098.24</v>
      </c>
      <c r="K10" s="1227">
        <f t="shared" ref="K10" si="3">F10*$K$7*12</f>
        <v>898.56000000000017</v>
      </c>
      <c r="L10" s="463">
        <f>H10+G10</f>
        <v>3278.0159999999996</v>
      </c>
      <c r="M10" s="671">
        <f>G10+H10+I10</f>
        <v>4590.655999999999</v>
      </c>
      <c r="N10" s="466">
        <f>H10+I10+J10+K10+G10</f>
        <v>6587.4560000000001</v>
      </c>
      <c r="O10" s="463">
        <f>L10*$Q$5</f>
        <v>3048.5548799999997</v>
      </c>
      <c r="P10" s="671">
        <f>M10*$Q$5</f>
        <v>4269.3100799999993</v>
      </c>
      <c r="Q10" s="466">
        <f>N10*$Q$5</f>
        <v>6126.3340800000005</v>
      </c>
      <c r="R10" s="463">
        <f>L10*$T$5</f>
        <v>2819.0937599999997</v>
      </c>
      <c r="S10" s="671">
        <f>M10*$T$5</f>
        <v>3947.9641599999991</v>
      </c>
      <c r="T10" s="466">
        <f>N10*$T$5</f>
        <v>5665.21216</v>
      </c>
      <c r="U10" s="463">
        <f>L10*$W$5</f>
        <v>2720.7532799999994</v>
      </c>
      <c r="V10" s="671">
        <f>M10*$W$5</f>
        <v>3810.2444799999989</v>
      </c>
      <c r="W10" s="466">
        <f>N10*$W$5</f>
        <v>5467.5884799999994</v>
      </c>
      <c r="X10" s="463">
        <f>L10*$Z$5</f>
        <v>2458.5119999999997</v>
      </c>
      <c r="Y10" s="671">
        <f>M10*$Z$5</f>
        <v>3442.9919999999993</v>
      </c>
      <c r="Z10" s="466">
        <f>N10*$Z$5</f>
        <v>4940.5920000000006</v>
      </c>
      <c r="AA10" s="463">
        <f>L10*$AC$5</f>
        <v>2294.6111999999994</v>
      </c>
      <c r="AB10" s="671">
        <f>M10*$AC$5</f>
        <v>3213.4591999999993</v>
      </c>
      <c r="AC10" s="466">
        <f>N10*$AC$5</f>
        <v>4611.2191999999995</v>
      </c>
      <c r="AD10" s="292"/>
      <c r="AE10" s="292"/>
      <c r="AF10" s="292"/>
      <c r="AG10" s="292"/>
    </row>
    <row r="11" spans="1:37" ht="18" customHeight="1">
      <c r="B11" s="1259"/>
      <c r="C11" s="279" t="s">
        <v>1635</v>
      </c>
      <c r="D11" s="445">
        <v>0.64</v>
      </c>
      <c r="E11" s="1607"/>
      <c r="F11" s="1227"/>
      <c r="G11" s="1225"/>
      <c r="H11" s="1227"/>
      <c r="I11" s="1227"/>
      <c r="J11" s="1227"/>
      <c r="K11" s="1227"/>
      <c r="L11" s="186">
        <f t="shared" ref="L11:AC11" si="4">L10/$E10</f>
        <v>3.2780159999999996</v>
      </c>
      <c r="M11" s="189">
        <f t="shared" si="4"/>
        <v>4.5906559999999992</v>
      </c>
      <c r="N11" s="188">
        <f t="shared" si="4"/>
        <v>6.5874560000000004</v>
      </c>
      <c r="O11" s="186">
        <f t="shared" si="4"/>
        <v>3.0485548799999997</v>
      </c>
      <c r="P11" s="189">
        <f t="shared" si="4"/>
        <v>4.2693100799999995</v>
      </c>
      <c r="Q11" s="188">
        <f t="shared" si="4"/>
        <v>6.1263340800000003</v>
      </c>
      <c r="R11" s="186">
        <f t="shared" si="4"/>
        <v>2.8190937599999999</v>
      </c>
      <c r="S11" s="189">
        <f t="shared" si="4"/>
        <v>3.9479641599999993</v>
      </c>
      <c r="T11" s="188">
        <f t="shared" si="4"/>
        <v>5.6652121600000003</v>
      </c>
      <c r="U11" s="186">
        <f t="shared" si="4"/>
        <v>2.7207532799999994</v>
      </c>
      <c r="V11" s="189">
        <f t="shared" si="4"/>
        <v>3.8102444799999988</v>
      </c>
      <c r="W11" s="188">
        <f t="shared" si="4"/>
        <v>5.4675884799999999</v>
      </c>
      <c r="X11" s="186">
        <f t="shared" si="4"/>
        <v>2.4585119999999998</v>
      </c>
      <c r="Y11" s="189">
        <f t="shared" si="4"/>
        <v>3.4429919999999994</v>
      </c>
      <c r="Z11" s="188">
        <f t="shared" si="4"/>
        <v>4.9405920000000005</v>
      </c>
      <c r="AA11" s="186">
        <f t="shared" si="4"/>
        <v>2.2946111999999994</v>
      </c>
      <c r="AB11" s="189">
        <f t="shared" si="4"/>
        <v>3.2134591999999995</v>
      </c>
      <c r="AC11" s="188">
        <f t="shared" si="4"/>
        <v>4.6112191999999999</v>
      </c>
      <c r="AD11" s="292"/>
      <c r="AE11" s="292"/>
      <c r="AF11" s="292"/>
      <c r="AG11" s="292"/>
    </row>
    <row r="12" spans="1:37" ht="18" customHeight="1">
      <c r="B12" s="1259"/>
      <c r="C12" s="1373" t="s">
        <v>1637</v>
      </c>
      <c r="D12" s="1732"/>
      <c r="E12" s="1607">
        <v>1000</v>
      </c>
      <c r="F12" s="1227">
        <f>E12*D13</f>
        <v>600</v>
      </c>
      <c r="G12" s="1225">
        <f t="shared" ref="G12" si="5">F12*$G$7</f>
        <v>2194.14</v>
      </c>
      <c r="H12" s="1227">
        <f>F12*$H$7*5</f>
        <v>878.99999999999989</v>
      </c>
      <c r="I12" s="1227">
        <f>F12*$I$7*7</f>
        <v>1230.5999999999999</v>
      </c>
      <c r="J12" s="1227">
        <f t="shared" ref="J12" si="6">F12*$J$7*12</f>
        <v>1029.5999999999999</v>
      </c>
      <c r="K12" s="1227">
        <f t="shared" ref="K12" si="7">F12*$K$7*12</f>
        <v>842.40000000000009</v>
      </c>
      <c r="L12" s="469">
        <f>H12+G12</f>
        <v>3073.14</v>
      </c>
      <c r="M12" s="671">
        <f>G12+H12+I12</f>
        <v>4303.74</v>
      </c>
      <c r="N12" s="466">
        <f>H12+I12+J12+K12+G12</f>
        <v>6175.74</v>
      </c>
      <c r="O12" s="463">
        <f>L12*$Q$5</f>
        <v>2858.0201999999999</v>
      </c>
      <c r="P12" s="671">
        <f>M12*$Q$5</f>
        <v>4002.4782</v>
      </c>
      <c r="Q12" s="466">
        <f>N12*$Q$5</f>
        <v>5743.4382000000005</v>
      </c>
      <c r="R12" s="463">
        <f>L12*$T$5</f>
        <v>2642.9004</v>
      </c>
      <c r="S12" s="671">
        <f>M12*$T$5</f>
        <v>3701.2163999999998</v>
      </c>
      <c r="T12" s="466">
        <f>N12*$T$5</f>
        <v>5311.1363999999994</v>
      </c>
      <c r="U12" s="463">
        <f>L12*$W$5</f>
        <v>2550.7061999999996</v>
      </c>
      <c r="V12" s="671">
        <f>M12*$W$5</f>
        <v>3572.1041999999998</v>
      </c>
      <c r="W12" s="466">
        <f>N12*$W$5</f>
        <v>5125.8642</v>
      </c>
      <c r="X12" s="463">
        <f>L12*$Z$5</f>
        <v>2304.855</v>
      </c>
      <c r="Y12" s="671">
        <f>M12*$Z$5</f>
        <v>3227.8049999999998</v>
      </c>
      <c r="Z12" s="466">
        <f>N12*$Z$5</f>
        <v>4631.8050000000003</v>
      </c>
      <c r="AA12" s="463">
        <f>L12*$AC$5</f>
        <v>2151.1979999999999</v>
      </c>
      <c r="AB12" s="671">
        <f>M12*$AC$5</f>
        <v>3012.6179999999995</v>
      </c>
      <c r="AC12" s="466">
        <f>N12*$AC$5</f>
        <v>4323.0179999999991</v>
      </c>
      <c r="AD12" s="292"/>
      <c r="AE12" s="292"/>
      <c r="AF12" s="292"/>
      <c r="AG12" s="292"/>
    </row>
    <row r="13" spans="1:37" ht="18" customHeight="1">
      <c r="B13" s="1259"/>
      <c r="C13" s="279" t="s">
        <v>1638</v>
      </c>
      <c r="D13" s="445">
        <v>0.6</v>
      </c>
      <c r="E13" s="1607"/>
      <c r="F13" s="1227"/>
      <c r="G13" s="1225"/>
      <c r="H13" s="1227"/>
      <c r="I13" s="1227"/>
      <c r="J13" s="1227"/>
      <c r="K13" s="1227"/>
      <c r="L13" s="186">
        <f>L12/$E12</f>
        <v>3.07314</v>
      </c>
      <c r="M13" s="189">
        <f>M12/$E12</f>
        <v>4.3037399999999995</v>
      </c>
      <c r="N13" s="188">
        <f>N12/$E12</f>
        <v>6.1757399999999993</v>
      </c>
      <c r="O13" s="186">
        <f t="shared" ref="O13:AC13" si="8">O12/$E12</f>
        <v>2.8580201999999999</v>
      </c>
      <c r="P13" s="189">
        <f t="shared" si="8"/>
        <v>4.0024781999999997</v>
      </c>
      <c r="Q13" s="188">
        <f t="shared" si="8"/>
        <v>5.7434382000000008</v>
      </c>
      <c r="R13" s="186">
        <f t="shared" si="8"/>
        <v>2.6429003999999998</v>
      </c>
      <c r="S13" s="189">
        <f t="shared" si="8"/>
        <v>3.7012163999999999</v>
      </c>
      <c r="T13" s="188">
        <f t="shared" si="8"/>
        <v>5.3111363999999996</v>
      </c>
      <c r="U13" s="186">
        <f t="shared" si="8"/>
        <v>2.5507061999999996</v>
      </c>
      <c r="V13" s="189">
        <f t="shared" si="8"/>
        <v>3.5721041999999996</v>
      </c>
      <c r="W13" s="188">
        <f t="shared" si="8"/>
        <v>5.1258641999999996</v>
      </c>
      <c r="X13" s="186">
        <f t="shared" si="8"/>
        <v>2.3048549999999999</v>
      </c>
      <c r="Y13" s="189">
        <f t="shared" si="8"/>
        <v>3.227805</v>
      </c>
      <c r="Z13" s="188">
        <f t="shared" si="8"/>
        <v>4.6318049999999999</v>
      </c>
      <c r="AA13" s="186">
        <f t="shared" si="8"/>
        <v>2.1511979999999999</v>
      </c>
      <c r="AB13" s="189">
        <f t="shared" si="8"/>
        <v>3.0126179999999994</v>
      </c>
      <c r="AC13" s="188">
        <f t="shared" si="8"/>
        <v>4.3230179999999994</v>
      </c>
      <c r="AD13" s="292"/>
      <c r="AE13" s="292"/>
      <c r="AF13" s="292"/>
      <c r="AG13" s="292"/>
    </row>
    <row r="14" spans="1:37" ht="18" customHeight="1">
      <c r="B14" s="1259"/>
      <c r="C14" s="1373" t="s">
        <v>1639</v>
      </c>
      <c r="D14" s="1732"/>
      <c r="E14" s="1607">
        <v>1000</v>
      </c>
      <c r="F14" s="1227">
        <f>E14*D15</f>
        <v>270</v>
      </c>
      <c r="G14" s="1225">
        <f t="shared" ref="G14" si="9">F14*$G$7</f>
        <v>987.36299999999994</v>
      </c>
      <c r="H14" s="1227">
        <f>F14*$H$7*5</f>
        <v>395.55</v>
      </c>
      <c r="I14" s="1227">
        <f>F14*$I$7*7</f>
        <v>553.77</v>
      </c>
      <c r="J14" s="1227">
        <f t="shared" ref="J14" si="10">F14*$J$7*12</f>
        <v>463.32</v>
      </c>
      <c r="K14" s="1227">
        <f t="shared" ref="K14" si="11">F14*$K$7*12</f>
        <v>379.08000000000004</v>
      </c>
      <c r="L14" s="469">
        <f>H14+G14</f>
        <v>1382.913</v>
      </c>
      <c r="M14" s="671">
        <f>G14+H14+I14</f>
        <v>1936.683</v>
      </c>
      <c r="N14" s="466">
        <f>H14+I14+J14+K14+G14</f>
        <v>2779.0829999999996</v>
      </c>
      <c r="O14" s="463">
        <f>L14*$Q$5</f>
        <v>1286.1090900000002</v>
      </c>
      <c r="P14" s="671">
        <f>M14*$Q$5</f>
        <v>1801.11519</v>
      </c>
      <c r="Q14" s="466">
        <f>N14*$Q$5</f>
        <v>2584.5471899999998</v>
      </c>
      <c r="R14" s="463">
        <f>L14*$T$5</f>
        <v>1189.3051800000001</v>
      </c>
      <c r="S14" s="671">
        <f>M14*$T$5</f>
        <v>1665.54738</v>
      </c>
      <c r="T14" s="466">
        <f>N14*$T$5</f>
        <v>2390.0113799999995</v>
      </c>
      <c r="U14" s="463">
        <f>L14*$W$5</f>
        <v>1147.8177900000001</v>
      </c>
      <c r="V14" s="671">
        <f>M14*$W$5</f>
        <v>1607.4468899999999</v>
      </c>
      <c r="W14" s="466">
        <f>N14*$W$5</f>
        <v>2306.6388899999997</v>
      </c>
      <c r="X14" s="463">
        <f>L14*$Z$5</f>
        <v>1037.1847499999999</v>
      </c>
      <c r="Y14" s="671">
        <f>M14*$Z$5</f>
        <v>1452.51225</v>
      </c>
      <c r="Z14" s="466">
        <f>N14*$Z$5</f>
        <v>2084.3122499999999</v>
      </c>
      <c r="AA14" s="463">
        <f>L14*$AC$5</f>
        <v>968.03909999999996</v>
      </c>
      <c r="AB14" s="671">
        <f>M14*$AC$5</f>
        <v>1355.6780999999999</v>
      </c>
      <c r="AC14" s="466">
        <f>N14*$AC$5</f>
        <v>1945.3580999999997</v>
      </c>
      <c r="AD14" s="292"/>
      <c r="AE14" s="292"/>
      <c r="AF14" s="292"/>
      <c r="AG14" s="292"/>
    </row>
    <row r="15" spans="1:37" ht="18" customHeight="1" thickBot="1">
      <c r="B15" s="1259"/>
      <c r="C15" s="279" t="s">
        <v>1640</v>
      </c>
      <c r="D15" s="445">
        <v>0.27</v>
      </c>
      <c r="E15" s="1607"/>
      <c r="F15" s="1227"/>
      <c r="G15" s="1225"/>
      <c r="H15" s="1227"/>
      <c r="I15" s="1227"/>
      <c r="J15" s="1227"/>
      <c r="K15" s="1227"/>
      <c r="L15" s="186">
        <f>L14/$E14</f>
        <v>1.3829130000000001</v>
      </c>
      <c r="M15" s="189">
        <f>M14/$E14</f>
        <v>1.9366829999999999</v>
      </c>
      <c r="N15" s="188">
        <f>N14/$E14</f>
        <v>2.7790829999999995</v>
      </c>
      <c r="O15" s="186">
        <f t="shared" ref="O15:AC15" si="12">O14/$E14</f>
        <v>1.2861090900000001</v>
      </c>
      <c r="P15" s="189">
        <f t="shared" si="12"/>
        <v>1.80111519</v>
      </c>
      <c r="Q15" s="188">
        <f t="shared" si="12"/>
        <v>2.5845471899999999</v>
      </c>
      <c r="R15" s="186">
        <f t="shared" si="12"/>
        <v>1.1893051800000001</v>
      </c>
      <c r="S15" s="189">
        <f t="shared" si="12"/>
        <v>1.66554738</v>
      </c>
      <c r="T15" s="188">
        <f t="shared" si="12"/>
        <v>2.3900113799999994</v>
      </c>
      <c r="U15" s="186">
        <f t="shared" si="12"/>
        <v>1.1478177899999999</v>
      </c>
      <c r="V15" s="189">
        <f t="shared" si="12"/>
        <v>1.6074468899999999</v>
      </c>
      <c r="W15" s="188">
        <f t="shared" si="12"/>
        <v>2.3066388899999999</v>
      </c>
      <c r="X15" s="186">
        <f t="shared" si="12"/>
        <v>1.03718475</v>
      </c>
      <c r="Y15" s="189">
        <f t="shared" si="12"/>
        <v>1.4525122500000001</v>
      </c>
      <c r="Z15" s="188">
        <f t="shared" si="12"/>
        <v>2.08431225</v>
      </c>
      <c r="AA15" s="186">
        <f t="shared" si="12"/>
        <v>0.96803909999999993</v>
      </c>
      <c r="AB15" s="189">
        <f t="shared" si="12"/>
        <v>1.3556780999999998</v>
      </c>
      <c r="AC15" s="188">
        <f t="shared" si="12"/>
        <v>1.9453580999999998</v>
      </c>
      <c r="AD15" s="292"/>
      <c r="AE15" s="292"/>
      <c r="AF15" s="292"/>
      <c r="AG15" s="292"/>
    </row>
    <row r="16" spans="1:37" ht="18" customHeight="1">
      <c r="B16" s="1258" t="s">
        <v>1641</v>
      </c>
      <c r="C16" s="1269" t="s">
        <v>1642</v>
      </c>
      <c r="D16" s="1270"/>
      <c r="E16" s="1731">
        <v>1000</v>
      </c>
      <c r="F16" s="1226">
        <f>E16*D17</f>
        <v>1250</v>
      </c>
      <c r="G16" s="1226">
        <f t="shared" ref="G16" si="13">F16*$G$7</f>
        <v>4571.125</v>
      </c>
      <c r="H16" s="1226">
        <f>F16*$H$7*5</f>
        <v>1831.25</v>
      </c>
      <c r="I16" s="1226">
        <f>F16*$I$7*7</f>
        <v>2563.75</v>
      </c>
      <c r="J16" s="1226">
        <f t="shared" ref="J16" si="14">F16*$J$7*12</f>
        <v>2144.9999999999995</v>
      </c>
      <c r="K16" s="1733">
        <f t="shared" ref="K16" si="15">F16*$K$7*12</f>
        <v>1755</v>
      </c>
      <c r="L16" s="499">
        <f>H16+G16</f>
        <v>6402.375</v>
      </c>
      <c r="M16" s="500">
        <f>G16+H16+I16</f>
        <v>8966.125</v>
      </c>
      <c r="N16" s="464">
        <f>H16+I16+J16+K16+G16</f>
        <v>12866.125</v>
      </c>
      <c r="O16" s="499">
        <f>L16*$Q$5</f>
        <v>5954.2087500000007</v>
      </c>
      <c r="P16" s="500">
        <f>M16*$Q$5</f>
        <v>8338.4962500000001</v>
      </c>
      <c r="Q16" s="464">
        <f>N16*$Q$5</f>
        <v>11965.49625</v>
      </c>
      <c r="R16" s="499">
        <f>L16*$T$5</f>
        <v>5506.0424999999996</v>
      </c>
      <c r="S16" s="500">
        <f>M16*$T$5</f>
        <v>7710.8675000000003</v>
      </c>
      <c r="T16" s="464">
        <f>N16*$T$5</f>
        <v>11064.8675</v>
      </c>
      <c r="U16" s="499">
        <f>L16*$W$5</f>
        <v>5313.9712499999996</v>
      </c>
      <c r="V16" s="500">
        <f>M16*$W$5</f>
        <v>7441.88375</v>
      </c>
      <c r="W16" s="464">
        <f>N16*$W$5</f>
        <v>10678.883749999999</v>
      </c>
      <c r="X16" s="499">
        <f>L16*$Z$5</f>
        <v>4801.78125</v>
      </c>
      <c r="Y16" s="500">
        <f>M16*$Z$5</f>
        <v>6724.59375</v>
      </c>
      <c r="Z16" s="464">
        <f>N16*$Z$5</f>
        <v>9649.59375</v>
      </c>
      <c r="AA16" s="499">
        <f>L16*$AC$5</f>
        <v>4481.6624999999995</v>
      </c>
      <c r="AB16" s="500">
        <f>M16*$AC$5</f>
        <v>6276.2874999999995</v>
      </c>
      <c r="AC16" s="464">
        <f>N16*$AC$5</f>
        <v>9006.2874999999985</v>
      </c>
      <c r="AD16" s="292"/>
      <c r="AE16" s="292"/>
      <c r="AF16" s="292"/>
      <c r="AG16" s="292"/>
      <c r="AH16" s="292"/>
      <c r="AI16" s="292"/>
    </row>
    <row r="17" spans="2:35" ht="18" customHeight="1" thickBot="1">
      <c r="B17" s="1259"/>
      <c r="C17" s="334" t="s">
        <v>1643</v>
      </c>
      <c r="D17" s="109">
        <v>1.25</v>
      </c>
      <c r="E17" s="1607"/>
      <c r="F17" s="1227"/>
      <c r="G17" s="1227"/>
      <c r="H17" s="1227"/>
      <c r="I17" s="1227"/>
      <c r="J17" s="1227"/>
      <c r="K17" s="1606"/>
      <c r="L17" s="186">
        <f>L16/$E16</f>
        <v>6.4023750000000001</v>
      </c>
      <c r="M17" s="189">
        <f t="shared" ref="M17:AC17" si="16">M16/$E16</f>
        <v>8.9661249999999999</v>
      </c>
      <c r="N17" s="188">
        <f t="shared" si="16"/>
        <v>12.866125</v>
      </c>
      <c r="O17" s="186">
        <f t="shared" si="16"/>
        <v>5.9542087500000003</v>
      </c>
      <c r="P17" s="189">
        <f t="shared" si="16"/>
        <v>8.3384962500000004</v>
      </c>
      <c r="Q17" s="188">
        <f t="shared" si="16"/>
        <v>11.965496249999999</v>
      </c>
      <c r="R17" s="186">
        <f t="shared" si="16"/>
        <v>5.5060424999999995</v>
      </c>
      <c r="S17" s="189">
        <f t="shared" si="16"/>
        <v>7.7108675</v>
      </c>
      <c r="T17" s="188">
        <f t="shared" si="16"/>
        <v>11.0648675</v>
      </c>
      <c r="U17" s="186">
        <f t="shared" si="16"/>
        <v>5.3139712499999998</v>
      </c>
      <c r="V17" s="189">
        <f t="shared" si="16"/>
        <v>7.4418837499999997</v>
      </c>
      <c r="W17" s="188">
        <f t="shared" si="16"/>
        <v>10.678883749999999</v>
      </c>
      <c r="X17" s="186">
        <f t="shared" si="16"/>
        <v>4.8017812500000003</v>
      </c>
      <c r="Y17" s="189">
        <f t="shared" si="16"/>
        <v>6.7245937500000004</v>
      </c>
      <c r="Z17" s="188">
        <f t="shared" si="16"/>
        <v>9.6495937499999993</v>
      </c>
      <c r="AA17" s="186">
        <f t="shared" si="16"/>
        <v>4.4816624999999997</v>
      </c>
      <c r="AB17" s="189">
        <f t="shared" si="16"/>
        <v>6.2762874999999996</v>
      </c>
      <c r="AC17" s="188">
        <f t="shared" si="16"/>
        <v>9.0062874999999991</v>
      </c>
      <c r="AD17" s="292"/>
      <c r="AE17" s="292"/>
      <c r="AF17" s="292"/>
      <c r="AG17" s="292"/>
    </row>
    <row r="18" spans="2:35" ht="18" customHeight="1">
      <c r="B18" s="1259"/>
      <c r="C18" s="1269" t="s">
        <v>1660</v>
      </c>
      <c r="D18" s="1270"/>
      <c r="E18" s="1622">
        <v>1000</v>
      </c>
      <c r="F18" s="1232">
        <f>E18*D19</f>
        <v>1060</v>
      </c>
      <c r="G18" s="1232">
        <f t="shared" ref="G18" si="17">F18*$G$7</f>
        <v>3876.3139999999999</v>
      </c>
      <c r="H18" s="1232">
        <f>F18*$H$7*5</f>
        <v>1552.8999999999999</v>
      </c>
      <c r="I18" s="1232">
        <f>F18*$I$7*7</f>
        <v>2174.06</v>
      </c>
      <c r="J18" s="1232">
        <f t="shared" ref="J18" si="18">F18*$J$7*12</f>
        <v>1818.9599999999998</v>
      </c>
      <c r="K18" s="1251">
        <f t="shared" ref="K18" si="19">F18*$K$7*12</f>
        <v>1488.2400000000002</v>
      </c>
      <c r="L18" s="469">
        <f>H18+G18</f>
        <v>5429.2139999999999</v>
      </c>
      <c r="M18" s="1095">
        <f>G18+H18+I18</f>
        <v>7603.2739999999994</v>
      </c>
      <c r="N18" s="1096">
        <f>H18+I18+J18+K18+G18</f>
        <v>10910.474</v>
      </c>
      <c r="O18" s="469">
        <f>L18*$Q$5</f>
        <v>5049.1690200000003</v>
      </c>
      <c r="P18" s="1095">
        <f>M18*$Q$5</f>
        <v>7071.0448200000001</v>
      </c>
      <c r="Q18" s="1096">
        <f>N18*$Q$5</f>
        <v>10146.740820000001</v>
      </c>
      <c r="R18" s="469">
        <f>L18*$T$5</f>
        <v>4669.1240399999997</v>
      </c>
      <c r="S18" s="1095">
        <f>M18*$T$5</f>
        <v>6538.8156399999998</v>
      </c>
      <c r="T18" s="1096">
        <f>N18*$T$5</f>
        <v>9383.0076399999998</v>
      </c>
      <c r="U18" s="469">
        <f>L18*$W$5</f>
        <v>4506.2476200000001</v>
      </c>
      <c r="V18" s="1095">
        <f>M18*$W$5</f>
        <v>6310.717419999999</v>
      </c>
      <c r="W18" s="1096">
        <f>N18*$W$5</f>
        <v>9055.6934199999996</v>
      </c>
      <c r="X18" s="469">
        <f>L18*$Z$5</f>
        <v>4071.9105</v>
      </c>
      <c r="Y18" s="1095">
        <f>M18*$Z$5</f>
        <v>5702.4555</v>
      </c>
      <c r="Z18" s="1096">
        <f>N18*$Z$5</f>
        <v>8182.8554999999997</v>
      </c>
      <c r="AA18" s="469">
        <f>L18*$AC$5</f>
        <v>3800.4497999999999</v>
      </c>
      <c r="AB18" s="1095">
        <f>M18*$AC$5</f>
        <v>5322.2917999999991</v>
      </c>
      <c r="AC18" s="1096">
        <f>N18*$AC$5</f>
        <v>7637.3317999999999</v>
      </c>
      <c r="AD18" s="292"/>
      <c r="AE18" s="292"/>
      <c r="AF18" s="292"/>
      <c r="AG18" s="292"/>
      <c r="AH18" s="292"/>
      <c r="AI18" s="292"/>
    </row>
    <row r="19" spans="2:35" ht="18" customHeight="1">
      <c r="B19" s="1259"/>
      <c r="C19" s="334" t="s">
        <v>1661</v>
      </c>
      <c r="D19" s="109">
        <v>1.06</v>
      </c>
      <c r="E19" s="1607"/>
      <c r="F19" s="1227"/>
      <c r="G19" s="1227"/>
      <c r="H19" s="1227"/>
      <c r="I19" s="1227"/>
      <c r="J19" s="1227"/>
      <c r="K19" s="1606"/>
      <c r="L19" s="186">
        <f>L18/$E18</f>
        <v>5.429214</v>
      </c>
      <c r="M19" s="189">
        <f t="shared" ref="M19:AC19" si="20">M18/$E18</f>
        <v>7.6032739999999999</v>
      </c>
      <c r="N19" s="188">
        <f t="shared" si="20"/>
        <v>10.910474000000001</v>
      </c>
      <c r="O19" s="186">
        <f t="shared" si="20"/>
        <v>5.0491690199999999</v>
      </c>
      <c r="P19" s="189">
        <f t="shared" si="20"/>
        <v>7.07104482</v>
      </c>
      <c r="Q19" s="188">
        <f t="shared" si="20"/>
        <v>10.146740820000002</v>
      </c>
      <c r="R19" s="186">
        <f t="shared" si="20"/>
        <v>4.6691240399999998</v>
      </c>
      <c r="S19" s="189">
        <f t="shared" si="20"/>
        <v>6.5388156400000002</v>
      </c>
      <c r="T19" s="188">
        <f t="shared" si="20"/>
        <v>9.3830076400000006</v>
      </c>
      <c r="U19" s="186">
        <f t="shared" si="20"/>
        <v>4.5062476199999999</v>
      </c>
      <c r="V19" s="189">
        <f t="shared" si="20"/>
        <v>6.3107174199999987</v>
      </c>
      <c r="W19" s="188">
        <f t="shared" si="20"/>
        <v>9.055693419999999</v>
      </c>
      <c r="X19" s="186">
        <f t="shared" si="20"/>
        <v>4.0719104999999995</v>
      </c>
      <c r="Y19" s="189">
        <f t="shared" si="20"/>
        <v>5.7024555000000001</v>
      </c>
      <c r="Z19" s="188">
        <f t="shared" si="20"/>
        <v>8.1828555000000005</v>
      </c>
      <c r="AA19" s="186">
        <f t="shared" si="20"/>
        <v>3.8004498</v>
      </c>
      <c r="AB19" s="189">
        <f t="shared" si="20"/>
        <v>5.3222917999999995</v>
      </c>
      <c r="AC19" s="188">
        <f t="shared" si="20"/>
        <v>7.6373318000000001</v>
      </c>
      <c r="AD19" s="292"/>
      <c r="AE19" s="292"/>
      <c r="AF19" s="292"/>
      <c r="AG19" s="292"/>
    </row>
    <row r="20" spans="2:35" ht="18" customHeight="1">
      <c r="B20" s="1259"/>
      <c r="C20" s="1264" t="s">
        <v>1644</v>
      </c>
      <c r="D20" s="1265"/>
      <c r="E20" s="1622">
        <v>1000</v>
      </c>
      <c r="F20" s="1232">
        <f>E20*D21</f>
        <v>1580</v>
      </c>
      <c r="G20" s="1236">
        <f t="shared" ref="G20" si="21">F20*$G$7</f>
        <v>5777.902</v>
      </c>
      <c r="H20" s="1232">
        <f>F20*$H$7*5</f>
        <v>2314.6999999999998</v>
      </c>
      <c r="I20" s="1232">
        <f>F20*$I$7*7</f>
        <v>3240.58</v>
      </c>
      <c r="J20" s="1232">
        <f t="shared" ref="J20" si="22">F20*$J$7*12</f>
        <v>2711.2799999999997</v>
      </c>
      <c r="K20" s="1251">
        <f t="shared" ref="K20" si="23">F20*$K$7*12</f>
        <v>2218.3200000000002</v>
      </c>
      <c r="L20" s="469">
        <f>H20+G20</f>
        <v>8092.6019999999999</v>
      </c>
      <c r="M20" s="1095">
        <f>G20+H20+I20</f>
        <v>11333.182000000001</v>
      </c>
      <c r="N20" s="1096">
        <f>H20+I20+J20+K20+G20</f>
        <v>16262.781999999999</v>
      </c>
      <c r="O20" s="469">
        <f>L20*$Q$5</f>
        <v>7526.1198600000007</v>
      </c>
      <c r="P20" s="1095">
        <f>M20*$Q$5</f>
        <v>10539.859260000001</v>
      </c>
      <c r="Q20" s="1096">
        <f>N20*$Q$5</f>
        <v>15124.38726</v>
      </c>
      <c r="R20" s="469">
        <f>L20*$T$5</f>
        <v>6959.6377199999997</v>
      </c>
      <c r="S20" s="1095">
        <f>M20*$T$5</f>
        <v>9746.5365199999997</v>
      </c>
      <c r="T20" s="1096">
        <f>N20*$T$5</f>
        <v>13985.99252</v>
      </c>
      <c r="U20" s="469">
        <f>L20*$W$5</f>
        <v>6716.8596599999992</v>
      </c>
      <c r="V20" s="1095">
        <f>M20*$W$5</f>
        <v>9406.5410599999996</v>
      </c>
      <c r="W20" s="1096">
        <f>N20*$W$5</f>
        <v>13498.109059999999</v>
      </c>
      <c r="X20" s="469">
        <f>L20*$Z$5</f>
        <v>6069.4515000000001</v>
      </c>
      <c r="Y20" s="1095">
        <f>M20*$Z$5</f>
        <v>8499.8865000000005</v>
      </c>
      <c r="Z20" s="1096">
        <f>N20*$Z$5</f>
        <v>12197.086499999999</v>
      </c>
      <c r="AA20" s="469">
        <f>L20*$AC$5</f>
        <v>5664.8213999999998</v>
      </c>
      <c r="AB20" s="1095">
        <f>M20*$AC$5</f>
        <v>7933.2273999999998</v>
      </c>
      <c r="AC20" s="1096">
        <f>N20*$AC$5</f>
        <v>11383.947399999999</v>
      </c>
      <c r="AD20" s="292"/>
      <c r="AE20" s="292"/>
      <c r="AF20" s="292"/>
      <c r="AG20" s="292"/>
    </row>
    <row r="21" spans="2:35" ht="18" customHeight="1">
      <c r="B21" s="1259"/>
      <c r="C21" s="334" t="s">
        <v>1645</v>
      </c>
      <c r="D21" s="109">
        <v>1.58</v>
      </c>
      <c r="E21" s="1607"/>
      <c r="F21" s="1227"/>
      <c r="G21" s="1225"/>
      <c r="H21" s="1227"/>
      <c r="I21" s="1227"/>
      <c r="J21" s="1227"/>
      <c r="K21" s="1606"/>
      <c r="L21" s="186">
        <f>L20/$E20</f>
        <v>8.0926019999999994</v>
      </c>
      <c r="M21" s="189">
        <f t="shared" ref="M21:AC21" si="24">M20/$E20</f>
        <v>11.333182000000001</v>
      </c>
      <c r="N21" s="188">
        <f t="shared" si="24"/>
        <v>16.262781999999998</v>
      </c>
      <c r="O21" s="186">
        <f t="shared" si="24"/>
        <v>7.5261198600000005</v>
      </c>
      <c r="P21" s="189">
        <f t="shared" si="24"/>
        <v>10.539859260000002</v>
      </c>
      <c r="Q21" s="188">
        <f t="shared" si="24"/>
        <v>15.124387259999999</v>
      </c>
      <c r="R21" s="186">
        <f t="shared" si="24"/>
        <v>6.9596377199999999</v>
      </c>
      <c r="S21" s="189">
        <f t="shared" si="24"/>
        <v>9.7465365199999994</v>
      </c>
      <c r="T21" s="188">
        <f t="shared" si="24"/>
        <v>13.98599252</v>
      </c>
      <c r="U21" s="186">
        <f t="shared" si="24"/>
        <v>6.716859659999999</v>
      </c>
      <c r="V21" s="189">
        <f t="shared" si="24"/>
        <v>9.4065410600000003</v>
      </c>
      <c r="W21" s="188">
        <f t="shared" si="24"/>
        <v>13.498109059999999</v>
      </c>
      <c r="X21" s="186">
        <f t="shared" si="24"/>
        <v>6.0694515000000004</v>
      </c>
      <c r="Y21" s="189">
        <f t="shared" si="24"/>
        <v>8.4998865000000006</v>
      </c>
      <c r="Z21" s="188">
        <f t="shared" si="24"/>
        <v>12.197086499999999</v>
      </c>
      <c r="AA21" s="186">
        <f t="shared" si="24"/>
        <v>5.6648214000000001</v>
      </c>
      <c r="AB21" s="189">
        <f t="shared" si="24"/>
        <v>7.9332273999999998</v>
      </c>
      <c r="AC21" s="188">
        <f t="shared" si="24"/>
        <v>11.383947399999998</v>
      </c>
      <c r="AD21" s="292"/>
      <c r="AE21" s="292"/>
      <c r="AF21" s="292"/>
      <c r="AG21" s="292"/>
    </row>
    <row r="22" spans="2:35" ht="18" customHeight="1">
      <c r="B22" s="1259"/>
      <c r="C22" s="1264" t="s">
        <v>1646</v>
      </c>
      <c r="D22" s="1265"/>
      <c r="E22" s="1607">
        <v>1000</v>
      </c>
      <c r="F22" s="1227">
        <f>E22*D23</f>
        <v>1510</v>
      </c>
      <c r="G22" s="1225">
        <f t="shared" ref="G22" si="25">F22*$G$7</f>
        <v>5521.9189999999999</v>
      </c>
      <c r="H22" s="1227">
        <f>F22*$H$7*5</f>
        <v>2212.1499999999996</v>
      </c>
      <c r="I22" s="1227">
        <f>F22*$I$7*7</f>
        <v>3097.0099999999998</v>
      </c>
      <c r="J22" s="1227">
        <f t="shared" ref="J22" si="26">F22*$J$7*12</f>
        <v>2591.16</v>
      </c>
      <c r="K22" s="1606">
        <f t="shared" ref="K22" si="27">F22*$K$7*12</f>
        <v>2120.04</v>
      </c>
      <c r="L22" s="463">
        <f>H22+G22</f>
        <v>7734.0689999999995</v>
      </c>
      <c r="M22" s="671">
        <f>G22+H22+I22</f>
        <v>10831.079</v>
      </c>
      <c r="N22" s="466">
        <f>H22+I22+J22+K22+G22</f>
        <v>15542.279</v>
      </c>
      <c r="O22" s="463">
        <f>L22*$Q$5</f>
        <v>7192.6841699999995</v>
      </c>
      <c r="P22" s="671">
        <f>M22*$Q$5</f>
        <v>10072.903470000001</v>
      </c>
      <c r="Q22" s="466">
        <f>N22*$Q$5</f>
        <v>14454.31947</v>
      </c>
      <c r="R22" s="463">
        <f>L22*$T$5</f>
        <v>6651.2993399999996</v>
      </c>
      <c r="S22" s="671">
        <f>M22*$T$5</f>
        <v>9314.7279399999989</v>
      </c>
      <c r="T22" s="466">
        <f>N22*$T$5</f>
        <v>13366.35994</v>
      </c>
      <c r="U22" s="463">
        <f>L22*$W$5</f>
        <v>6419.2772699999996</v>
      </c>
      <c r="V22" s="671">
        <f>M22*$W$5</f>
        <v>8989.7955700000002</v>
      </c>
      <c r="W22" s="466">
        <f>N22*$W$5</f>
        <v>12900.091570000001</v>
      </c>
      <c r="X22" s="463">
        <f>L22*$Z$5</f>
        <v>5800.5517499999996</v>
      </c>
      <c r="Y22" s="671">
        <f>M22*$Z$5</f>
        <v>8123.3092500000002</v>
      </c>
      <c r="Z22" s="466">
        <f>N22*$Z$5</f>
        <v>11656.70925</v>
      </c>
      <c r="AA22" s="463">
        <f>L22*$AC$5</f>
        <v>5413.8482999999997</v>
      </c>
      <c r="AB22" s="671">
        <f>M22*$AC$5</f>
        <v>7581.7552999999989</v>
      </c>
      <c r="AC22" s="466">
        <f>N22*$AC$5</f>
        <v>10879.595299999999</v>
      </c>
      <c r="AD22" s="292"/>
      <c r="AE22" s="292"/>
      <c r="AF22" s="292"/>
      <c r="AG22" s="292"/>
    </row>
    <row r="23" spans="2:35" ht="18" customHeight="1">
      <c r="B23" s="1259"/>
      <c r="C23" s="334" t="s">
        <v>1647</v>
      </c>
      <c r="D23" s="109">
        <v>1.51</v>
      </c>
      <c r="E23" s="1607"/>
      <c r="F23" s="1227"/>
      <c r="G23" s="1225"/>
      <c r="H23" s="1227"/>
      <c r="I23" s="1227"/>
      <c r="J23" s="1227"/>
      <c r="K23" s="1606"/>
      <c r="L23" s="186">
        <f t="shared" ref="L23:AC23" si="28">L22/$E22</f>
        <v>7.7340689999999999</v>
      </c>
      <c r="M23" s="189">
        <f t="shared" si="28"/>
        <v>10.831078999999999</v>
      </c>
      <c r="N23" s="188">
        <f t="shared" si="28"/>
        <v>15.542279000000001</v>
      </c>
      <c r="O23" s="186">
        <f t="shared" si="28"/>
        <v>7.1926841699999997</v>
      </c>
      <c r="P23" s="189">
        <f t="shared" si="28"/>
        <v>10.072903470000002</v>
      </c>
      <c r="Q23" s="188">
        <f t="shared" si="28"/>
        <v>14.45431947</v>
      </c>
      <c r="R23" s="186">
        <f t="shared" si="28"/>
        <v>6.6512993399999996</v>
      </c>
      <c r="S23" s="189">
        <f t="shared" si="28"/>
        <v>9.3147279399999992</v>
      </c>
      <c r="T23" s="188">
        <f t="shared" si="28"/>
        <v>13.366359940000001</v>
      </c>
      <c r="U23" s="186">
        <f t="shared" si="28"/>
        <v>6.4192772699999994</v>
      </c>
      <c r="V23" s="189">
        <f t="shared" si="28"/>
        <v>8.9897955700000001</v>
      </c>
      <c r="W23" s="188">
        <f t="shared" si="28"/>
        <v>12.900091570000001</v>
      </c>
      <c r="X23" s="186">
        <f t="shared" si="28"/>
        <v>5.8005517499999995</v>
      </c>
      <c r="Y23" s="189">
        <f t="shared" si="28"/>
        <v>8.1233092500000001</v>
      </c>
      <c r="Z23" s="188">
        <f t="shared" si="28"/>
        <v>11.65670925</v>
      </c>
      <c r="AA23" s="186">
        <f t="shared" si="28"/>
        <v>5.4138482999999997</v>
      </c>
      <c r="AB23" s="189">
        <f t="shared" si="28"/>
        <v>7.5817552999999993</v>
      </c>
      <c r="AC23" s="188">
        <f t="shared" si="28"/>
        <v>10.879595299999998</v>
      </c>
      <c r="AD23" s="292"/>
      <c r="AE23" s="292"/>
      <c r="AF23" s="292"/>
      <c r="AG23" s="292"/>
    </row>
    <row r="24" spans="2:35" ht="18" customHeight="1">
      <c r="B24" s="1259"/>
      <c r="C24" s="1625" t="s">
        <v>1648</v>
      </c>
      <c r="D24" s="1387"/>
      <c r="E24" s="1390">
        <v>1000</v>
      </c>
      <c r="F24" s="1268">
        <f>E24*D25</f>
        <v>1510</v>
      </c>
      <c r="G24" s="1268">
        <f t="shared" ref="G24" si="29">F24*$G$7</f>
        <v>5521.9189999999999</v>
      </c>
      <c r="H24" s="1268">
        <f>F24*$H$7*5</f>
        <v>2212.1499999999996</v>
      </c>
      <c r="I24" s="1268">
        <f>F24*$I$7*7</f>
        <v>3097.0099999999998</v>
      </c>
      <c r="J24" s="1268">
        <f t="shared" ref="J24" si="30">F24*$J$7*12</f>
        <v>2591.16</v>
      </c>
      <c r="K24" s="1492">
        <f t="shared" ref="K24" si="31">F24*$K$7*12</f>
        <v>2120.04</v>
      </c>
      <c r="L24" s="469">
        <f>H24+G24</f>
        <v>7734.0689999999995</v>
      </c>
      <c r="M24" s="1095">
        <f>G24+H24+I24</f>
        <v>10831.079</v>
      </c>
      <c r="N24" s="1096">
        <f>H24+I24+J24+K24+G24</f>
        <v>15542.279</v>
      </c>
      <c r="O24" s="469">
        <f>L24*$Q$5</f>
        <v>7192.6841699999995</v>
      </c>
      <c r="P24" s="1095">
        <f>M24*$Q$5</f>
        <v>10072.903470000001</v>
      </c>
      <c r="Q24" s="1096">
        <f>N24*$Q$5</f>
        <v>14454.31947</v>
      </c>
      <c r="R24" s="469">
        <f>L24*$T$5</f>
        <v>6651.2993399999996</v>
      </c>
      <c r="S24" s="1095">
        <f>M24*$T$5</f>
        <v>9314.7279399999989</v>
      </c>
      <c r="T24" s="1096">
        <f>N24*$T$5</f>
        <v>13366.35994</v>
      </c>
      <c r="U24" s="469">
        <f>L24*$W$5</f>
        <v>6419.2772699999996</v>
      </c>
      <c r="V24" s="1095">
        <f>M24*$W$5</f>
        <v>8989.7955700000002</v>
      </c>
      <c r="W24" s="1096">
        <f>N24*$W$5</f>
        <v>12900.091570000001</v>
      </c>
      <c r="X24" s="469">
        <f>L24*$Z$5</f>
        <v>5800.5517499999996</v>
      </c>
      <c r="Y24" s="1095">
        <f>M24*$Z$5</f>
        <v>8123.3092500000002</v>
      </c>
      <c r="Z24" s="1096">
        <f>N24*$Z$5</f>
        <v>11656.70925</v>
      </c>
      <c r="AA24" s="469">
        <f>L24*$AC$5</f>
        <v>5413.8482999999997</v>
      </c>
      <c r="AB24" s="1095">
        <f>M24*$AC$5</f>
        <v>7581.7552999999989</v>
      </c>
      <c r="AC24" s="1096">
        <f>N24*$AC$5</f>
        <v>10879.595299999999</v>
      </c>
      <c r="AD24" s="292"/>
      <c r="AE24" s="292"/>
      <c r="AF24" s="292"/>
      <c r="AG24" s="292"/>
    </row>
    <row r="25" spans="2:35" ht="18" customHeight="1" thickBot="1">
      <c r="B25" s="1260"/>
      <c r="C25" s="335" t="s">
        <v>1649</v>
      </c>
      <c r="D25" s="202">
        <v>1.51</v>
      </c>
      <c r="E25" s="1255"/>
      <c r="F25" s="1235"/>
      <c r="G25" s="1235"/>
      <c r="H25" s="1235"/>
      <c r="I25" s="1235"/>
      <c r="J25" s="1235"/>
      <c r="K25" s="1257"/>
      <c r="L25" s="174">
        <f>L24/$E24</f>
        <v>7.7340689999999999</v>
      </c>
      <c r="M25" s="175">
        <f>M24/$E24</f>
        <v>10.831078999999999</v>
      </c>
      <c r="N25" s="176">
        <f>N24/$E24</f>
        <v>15.542279000000001</v>
      </c>
      <c r="O25" s="174">
        <f t="shared" ref="O25:AC25" si="32">O24/$E24</f>
        <v>7.1926841699999997</v>
      </c>
      <c r="P25" s="175">
        <f t="shared" si="32"/>
        <v>10.072903470000002</v>
      </c>
      <c r="Q25" s="176">
        <f t="shared" si="32"/>
        <v>14.45431947</v>
      </c>
      <c r="R25" s="174">
        <f t="shared" si="32"/>
        <v>6.6512993399999996</v>
      </c>
      <c r="S25" s="175">
        <f t="shared" si="32"/>
        <v>9.3147279399999992</v>
      </c>
      <c r="T25" s="176">
        <f t="shared" si="32"/>
        <v>13.366359940000001</v>
      </c>
      <c r="U25" s="174">
        <f t="shared" si="32"/>
        <v>6.4192772699999994</v>
      </c>
      <c r="V25" s="175">
        <f t="shared" si="32"/>
        <v>8.9897955700000001</v>
      </c>
      <c r="W25" s="176">
        <f t="shared" si="32"/>
        <v>12.900091570000001</v>
      </c>
      <c r="X25" s="174">
        <f t="shared" si="32"/>
        <v>5.8005517499999995</v>
      </c>
      <c r="Y25" s="175">
        <f t="shared" si="32"/>
        <v>8.1233092500000001</v>
      </c>
      <c r="Z25" s="176">
        <f t="shared" si="32"/>
        <v>11.65670925</v>
      </c>
      <c r="AA25" s="174">
        <f t="shared" si="32"/>
        <v>5.4138482999999997</v>
      </c>
      <c r="AB25" s="175">
        <f t="shared" si="32"/>
        <v>7.5817552999999993</v>
      </c>
      <c r="AC25" s="176">
        <f t="shared" si="32"/>
        <v>10.879595299999998</v>
      </c>
      <c r="AD25" s="292"/>
      <c r="AE25" s="292"/>
      <c r="AF25" s="292"/>
      <c r="AG25" s="292"/>
    </row>
    <row r="26" spans="2:35" ht="18" customHeight="1">
      <c r="B26" s="1259" t="s">
        <v>1650</v>
      </c>
      <c r="C26" s="1734" t="s">
        <v>1651</v>
      </c>
      <c r="D26" s="1735"/>
      <c r="E26" s="1622">
        <v>1000</v>
      </c>
      <c r="F26" s="1232">
        <f>E26*D27</f>
        <v>490</v>
      </c>
      <c r="G26" s="1236">
        <f t="shared" ref="G26" si="33">F26*$G$7</f>
        <v>1791.8809999999999</v>
      </c>
      <c r="H26" s="1232">
        <f>F26*$H$7*5</f>
        <v>717.84999999999991</v>
      </c>
      <c r="I26" s="1232">
        <f>F26*$I$7*7</f>
        <v>1004.99</v>
      </c>
      <c r="J26" s="1232">
        <f t="shared" ref="J26" si="34">F26*$J$7*12</f>
        <v>840.83999999999992</v>
      </c>
      <c r="K26" s="1232">
        <f t="shared" ref="K26" si="35">F26*$K$7*12</f>
        <v>687.96</v>
      </c>
      <c r="L26" s="469">
        <f>H26+G26</f>
        <v>2509.7309999999998</v>
      </c>
      <c r="M26" s="1095">
        <f>G26+H26+I26</f>
        <v>3514.7209999999995</v>
      </c>
      <c r="N26" s="1096">
        <f>H26+I26+J26+K26+G26</f>
        <v>5043.5209999999997</v>
      </c>
      <c r="O26" s="469">
        <f>L26*$Q$5</f>
        <v>2334.0498299999999</v>
      </c>
      <c r="P26" s="1095">
        <f>M26*$Q$5</f>
        <v>3268.6905299999999</v>
      </c>
      <c r="Q26" s="1096">
        <f>N26*$Q$5</f>
        <v>4690.4745300000004</v>
      </c>
      <c r="R26" s="469">
        <f>L26*$T$5</f>
        <v>2158.3686599999996</v>
      </c>
      <c r="S26" s="1095">
        <f>M26*$T$5</f>
        <v>3022.6600599999997</v>
      </c>
      <c r="T26" s="1096">
        <f>N26*$T$5</f>
        <v>4337.4280599999993</v>
      </c>
      <c r="U26" s="469">
        <f>L26*$W$5</f>
        <v>2083.0767299999998</v>
      </c>
      <c r="V26" s="1095">
        <f>M26*$W$5</f>
        <v>2917.2184299999994</v>
      </c>
      <c r="W26" s="1096">
        <f>N26*$W$5</f>
        <v>4186.1224299999994</v>
      </c>
      <c r="X26" s="469">
        <f>L26*$Z$5</f>
        <v>1882.2982499999998</v>
      </c>
      <c r="Y26" s="1095">
        <f>M26*$Z$5</f>
        <v>2636.0407499999997</v>
      </c>
      <c r="Z26" s="1096">
        <f>N26*$Z$5</f>
        <v>3782.6407499999996</v>
      </c>
      <c r="AA26" s="469">
        <f>L26*$AC$5</f>
        <v>1756.8116999999997</v>
      </c>
      <c r="AB26" s="1095">
        <f>M26*$AC$5</f>
        <v>2460.3046999999997</v>
      </c>
      <c r="AC26" s="1096">
        <f>N26*$AC$5</f>
        <v>3530.4646999999995</v>
      </c>
      <c r="AD26" s="292"/>
      <c r="AE26" s="292"/>
      <c r="AF26" s="292"/>
      <c r="AG26" s="292"/>
    </row>
    <row r="27" spans="2:35" ht="18" customHeight="1" thickBot="1">
      <c r="B27" s="1260"/>
      <c r="C27" s="281" t="s">
        <v>1652</v>
      </c>
      <c r="D27" s="444">
        <v>0.49</v>
      </c>
      <c r="E27" s="1736"/>
      <c r="F27" s="1233"/>
      <c r="G27" s="1237"/>
      <c r="H27" s="1233"/>
      <c r="I27" s="1233"/>
      <c r="J27" s="1233"/>
      <c r="K27" s="1233"/>
      <c r="L27" s="174">
        <f t="shared" ref="L27:AC27" si="36">L26/$E26</f>
        <v>2.5097309999999999</v>
      </c>
      <c r="M27" s="175">
        <f t="shared" si="36"/>
        <v>3.5147209999999998</v>
      </c>
      <c r="N27" s="176">
        <f t="shared" si="36"/>
        <v>5.0435210000000001</v>
      </c>
      <c r="O27" s="174">
        <f t="shared" si="36"/>
        <v>2.3340498300000001</v>
      </c>
      <c r="P27" s="175">
        <f t="shared" si="36"/>
        <v>3.2686905299999998</v>
      </c>
      <c r="Q27" s="176">
        <f t="shared" si="36"/>
        <v>4.6904745300000004</v>
      </c>
      <c r="R27" s="174">
        <f t="shared" si="36"/>
        <v>2.1583686599999998</v>
      </c>
      <c r="S27" s="175">
        <f t="shared" si="36"/>
        <v>3.0226600599999998</v>
      </c>
      <c r="T27" s="176">
        <f t="shared" si="36"/>
        <v>4.3374280599999997</v>
      </c>
      <c r="U27" s="174">
        <f t="shared" si="36"/>
        <v>2.0830767299999997</v>
      </c>
      <c r="V27" s="175">
        <f t="shared" si="36"/>
        <v>2.9172184299999993</v>
      </c>
      <c r="W27" s="176">
        <f t="shared" si="36"/>
        <v>4.1861224299999993</v>
      </c>
      <c r="X27" s="174">
        <f t="shared" si="36"/>
        <v>1.8822982499999998</v>
      </c>
      <c r="Y27" s="175">
        <f t="shared" si="36"/>
        <v>2.6360407499999998</v>
      </c>
      <c r="Z27" s="176">
        <f t="shared" si="36"/>
        <v>3.7826407499999997</v>
      </c>
      <c r="AA27" s="174">
        <f t="shared" si="36"/>
        <v>1.7568116999999996</v>
      </c>
      <c r="AB27" s="175">
        <f t="shared" si="36"/>
        <v>2.4603046999999996</v>
      </c>
      <c r="AC27" s="176">
        <f t="shared" si="36"/>
        <v>3.5304646999999996</v>
      </c>
      <c r="AD27" s="292"/>
      <c r="AE27" s="292"/>
      <c r="AF27" s="292"/>
      <c r="AG27" s="292"/>
    </row>
    <row r="28" spans="2:35" ht="18" customHeight="1">
      <c r="B28" s="1238" t="s">
        <v>1653</v>
      </c>
      <c r="C28" s="1241" t="s">
        <v>1654</v>
      </c>
      <c r="D28" s="1242"/>
      <c r="E28" s="1731">
        <v>100000</v>
      </c>
      <c r="F28" s="1226">
        <f>E28*D29</f>
        <v>350</v>
      </c>
      <c r="G28" s="1224">
        <f t="shared" ref="G28" si="37">F28*$G$7</f>
        <v>1279.915</v>
      </c>
      <c r="H28" s="1226">
        <f>F28*415%</f>
        <v>1452.5000000000002</v>
      </c>
      <c r="I28" s="1226" t="s">
        <v>1655</v>
      </c>
      <c r="J28" s="1226" t="s">
        <v>1655</v>
      </c>
      <c r="K28" s="1226" t="s">
        <v>1655</v>
      </c>
      <c r="L28" s="499">
        <f>H28+G28</f>
        <v>2732.415</v>
      </c>
      <c r="M28" s="500">
        <f>G28+H28</f>
        <v>2732.415</v>
      </c>
      <c r="N28" s="464">
        <f>H28+G28</f>
        <v>2732.415</v>
      </c>
      <c r="O28" s="499">
        <f>L28*$Q$5</f>
        <v>2541.1459500000001</v>
      </c>
      <c r="P28" s="500">
        <f>M28*$Q$5</f>
        <v>2541.1459500000001</v>
      </c>
      <c r="Q28" s="464">
        <f>N28*$Q$5</f>
        <v>2541.1459500000001</v>
      </c>
      <c r="R28" s="499">
        <f>L28*$T$5</f>
        <v>2349.8768999999998</v>
      </c>
      <c r="S28" s="500">
        <f>M28*$T$5</f>
        <v>2349.8768999999998</v>
      </c>
      <c r="T28" s="464">
        <f>N28*$T$5</f>
        <v>2349.8768999999998</v>
      </c>
      <c r="U28" s="499">
        <f>L28*$W$5</f>
        <v>2267.90445</v>
      </c>
      <c r="V28" s="500">
        <f>M28*$W$5</f>
        <v>2267.90445</v>
      </c>
      <c r="W28" s="464">
        <f>N28*$W$5</f>
        <v>2267.90445</v>
      </c>
      <c r="X28" s="499">
        <f>L28*$Z$5</f>
        <v>2049.3112499999997</v>
      </c>
      <c r="Y28" s="500">
        <f>M28*$Z$5</f>
        <v>2049.3112499999997</v>
      </c>
      <c r="Z28" s="464">
        <f>N28*$Z$5</f>
        <v>2049.3112499999997</v>
      </c>
      <c r="AA28" s="499">
        <f>L28*$AC$5</f>
        <v>1912.6904999999999</v>
      </c>
      <c r="AB28" s="500">
        <f>M28*$AC$5</f>
        <v>1912.6904999999999</v>
      </c>
      <c r="AC28" s="464">
        <f>N28*$AC$5</f>
        <v>1912.6904999999999</v>
      </c>
      <c r="AD28" s="292"/>
      <c r="AE28" s="292"/>
      <c r="AF28" s="292"/>
      <c r="AG28" s="292"/>
    </row>
    <row r="29" spans="2:35" ht="18" customHeight="1">
      <c r="B29" s="1239"/>
      <c r="C29" s="673" t="s">
        <v>1656</v>
      </c>
      <c r="D29" s="700">
        <v>3.5000000000000001E-3</v>
      </c>
      <c r="E29" s="1607"/>
      <c r="F29" s="1227"/>
      <c r="G29" s="1225"/>
      <c r="H29" s="1227"/>
      <c r="I29" s="1227"/>
      <c r="J29" s="1227"/>
      <c r="K29" s="1227"/>
      <c r="L29" s="186">
        <f>L28/$E28</f>
        <v>2.7324149999999998E-2</v>
      </c>
      <c r="M29" s="189">
        <f>M28/E28</f>
        <v>2.7324149999999998E-2</v>
      </c>
      <c r="N29" s="188">
        <f>N28/$E28</f>
        <v>2.7324149999999998E-2</v>
      </c>
      <c r="O29" s="186">
        <f t="shared" ref="O29:AC29" si="38">O28/$E28</f>
        <v>2.5411459500000001E-2</v>
      </c>
      <c r="P29" s="189">
        <f t="shared" si="38"/>
        <v>2.5411459500000001E-2</v>
      </c>
      <c r="Q29" s="188">
        <f t="shared" si="38"/>
        <v>2.5411459500000001E-2</v>
      </c>
      <c r="R29" s="186">
        <f t="shared" si="38"/>
        <v>2.3498768999999999E-2</v>
      </c>
      <c r="S29" s="189">
        <f t="shared" si="38"/>
        <v>2.3498768999999999E-2</v>
      </c>
      <c r="T29" s="188">
        <f t="shared" si="38"/>
        <v>2.3498768999999999E-2</v>
      </c>
      <c r="U29" s="186">
        <f t="shared" si="38"/>
        <v>2.2679044499999999E-2</v>
      </c>
      <c r="V29" s="189">
        <f t="shared" si="38"/>
        <v>2.2679044499999999E-2</v>
      </c>
      <c r="W29" s="188">
        <f t="shared" si="38"/>
        <v>2.2679044499999999E-2</v>
      </c>
      <c r="X29" s="186">
        <f t="shared" si="38"/>
        <v>2.0493112499999997E-2</v>
      </c>
      <c r="Y29" s="189">
        <f t="shared" si="38"/>
        <v>2.0493112499999997E-2</v>
      </c>
      <c r="Z29" s="188">
        <f t="shared" si="38"/>
        <v>2.0493112499999997E-2</v>
      </c>
      <c r="AA29" s="186">
        <f t="shared" si="38"/>
        <v>1.9126905E-2</v>
      </c>
      <c r="AB29" s="189">
        <f t="shared" si="38"/>
        <v>1.9126905E-2</v>
      </c>
      <c r="AC29" s="188">
        <f t="shared" si="38"/>
        <v>1.9126905E-2</v>
      </c>
      <c r="AD29" s="292"/>
      <c r="AE29" s="292"/>
      <c r="AF29" s="292"/>
      <c r="AG29" s="292"/>
    </row>
    <row r="30" spans="2:35" ht="26.25" customHeight="1">
      <c r="B30" s="1239"/>
      <c r="C30" s="1737" t="s">
        <v>1657</v>
      </c>
      <c r="D30" s="1229"/>
      <c r="E30" s="1622">
        <v>100000</v>
      </c>
      <c r="F30" s="1232">
        <f>E30*D31</f>
        <v>540</v>
      </c>
      <c r="G30" s="1236">
        <f t="shared" ref="G30" si="39">F30*$G$7</f>
        <v>1974.7259999999999</v>
      </c>
      <c r="H30" s="1232">
        <f>F30*415%</f>
        <v>2241</v>
      </c>
      <c r="I30" s="1232" t="s">
        <v>1655</v>
      </c>
      <c r="J30" s="1232" t="s">
        <v>1655</v>
      </c>
      <c r="K30" s="1232" t="s">
        <v>1655</v>
      </c>
      <c r="L30" s="469">
        <f>H30+G30</f>
        <v>4215.7259999999997</v>
      </c>
      <c r="M30" s="1095">
        <f>G30+H30</f>
        <v>4215.7259999999997</v>
      </c>
      <c r="N30" s="1096">
        <f>H30+G30</f>
        <v>4215.7259999999997</v>
      </c>
      <c r="O30" s="469">
        <f>L30*$Q$5</f>
        <v>3920.62518</v>
      </c>
      <c r="P30" s="1095">
        <f>M30*$Q$5</f>
        <v>3920.62518</v>
      </c>
      <c r="Q30" s="1096">
        <f>N30*$Q$5</f>
        <v>3920.62518</v>
      </c>
      <c r="R30" s="469">
        <f>L30*$T$5</f>
        <v>3625.5243599999994</v>
      </c>
      <c r="S30" s="1095">
        <f>M30*$T$5</f>
        <v>3625.5243599999994</v>
      </c>
      <c r="T30" s="1096">
        <f>N30*$T$5</f>
        <v>3625.5243599999994</v>
      </c>
      <c r="U30" s="469">
        <f>L30*$W$5</f>
        <v>3499.0525799999996</v>
      </c>
      <c r="V30" s="1095">
        <f>M30*$W$5</f>
        <v>3499.0525799999996</v>
      </c>
      <c r="W30" s="1096">
        <f>N30*$W$5</f>
        <v>3499.0525799999996</v>
      </c>
      <c r="X30" s="469">
        <f>L30*$Z$5</f>
        <v>3161.7945</v>
      </c>
      <c r="Y30" s="1095">
        <f>M30*$Z$5</f>
        <v>3161.7945</v>
      </c>
      <c r="Z30" s="1096">
        <f>N30*$Z$5</f>
        <v>3161.7945</v>
      </c>
      <c r="AA30" s="469">
        <f>L30*$AC$5</f>
        <v>2951.0081999999998</v>
      </c>
      <c r="AB30" s="1095">
        <f>M30*$AC$5</f>
        <v>2951.0081999999998</v>
      </c>
      <c r="AC30" s="1096">
        <f>N30*$AC$5</f>
        <v>2951.0081999999998</v>
      </c>
      <c r="AD30" s="292"/>
      <c r="AE30" s="292"/>
      <c r="AF30" s="292"/>
      <c r="AG30" s="292"/>
    </row>
    <row r="31" spans="2:35" ht="18" customHeight="1" thickBot="1">
      <c r="B31" s="1240"/>
      <c r="C31" s="280" t="s">
        <v>1656</v>
      </c>
      <c r="D31" s="278">
        <v>5.4000000000000003E-3</v>
      </c>
      <c r="E31" s="1736"/>
      <c r="F31" s="1233"/>
      <c r="G31" s="1237"/>
      <c r="H31" s="1233"/>
      <c r="I31" s="1233"/>
      <c r="J31" s="1233"/>
      <c r="K31" s="1233"/>
      <c r="L31" s="174">
        <f>L30/$E30</f>
        <v>4.2157259999999995E-2</v>
      </c>
      <c r="M31" s="175">
        <f>M30/E30</f>
        <v>4.2157259999999995E-2</v>
      </c>
      <c r="N31" s="176">
        <f>N30/$E30</f>
        <v>4.2157259999999995E-2</v>
      </c>
      <c r="O31" s="174">
        <f t="shared" ref="O31:AC31" si="40">O30/$E30</f>
        <v>3.9206251800000001E-2</v>
      </c>
      <c r="P31" s="175">
        <f t="shared" si="40"/>
        <v>3.9206251800000001E-2</v>
      </c>
      <c r="Q31" s="176">
        <f t="shared" si="40"/>
        <v>3.9206251800000001E-2</v>
      </c>
      <c r="R31" s="174">
        <f t="shared" si="40"/>
        <v>3.6255243599999994E-2</v>
      </c>
      <c r="S31" s="175">
        <f t="shared" si="40"/>
        <v>3.6255243599999994E-2</v>
      </c>
      <c r="T31" s="176">
        <f t="shared" si="40"/>
        <v>3.6255243599999994E-2</v>
      </c>
      <c r="U31" s="174">
        <f t="shared" si="40"/>
        <v>3.4990525799999998E-2</v>
      </c>
      <c r="V31" s="175">
        <f t="shared" si="40"/>
        <v>3.4990525799999998E-2</v>
      </c>
      <c r="W31" s="176">
        <f t="shared" si="40"/>
        <v>3.4990525799999998E-2</v>
      </c>
      <c r="X31" s="174">
        <f t="shared" si="40"/>
        <v>3.1617945000000001E-2</v>
      </c>
      <c r="Y31" s="175">
        <f t="shared" si="40"/>
        <v>3.1617945000000001E-2</v>
      </c>
      <c r="Z31" s="176">
        <f t="shared" si="40"/>
        <v>3.1617945000000001E-2</v>
      </c>
      <c r="AA31" s="174">
        <f t="shared" si="40"/>
        <v>2.9510081999999997E-2</v>
      </c>
      <c r="AB31" s="175">
        <f t="shared" si="40"/>
        <v>2.9510081999999997E-2</v>
      </c>
      <c r="AC31" s="176">
        <f t="shared" si="40"/>
        <v>2.9510081999999997E-2</v>
      </c>
      <c r="AD31" s="292"/>
      <c r="AE31" s="292"/>
      <c r="AF31" s="292"/>
      <c r="AG31" s="292"/>
    </row>
    <row r="32" spans="2:35" ht="18" customHeight="1">
      <c r="C32" s="336"/>
      <c r="D32" s="62"/>
      <c r="E32" s="62"/>
      <c r="F32" s="62"/>
      <c r="G32" s="30"/>
      <c r="H32" s="30"/>
      <c r="I32" s="30"/>
      <c r="J32" s="63"/>
      <c r="K32" s="63"/>
      <c r="L32" s="282"/>
      <c r="M32" s="282"/>
      <c r="N32" s="282"/>
      <c r="O32" s="282"/>
      <c r="P32" s="282"/>
      <c r="Q32" s="282"/>
      <c r="R32" s="282"/>
      <c r="S32" s="282"/>
      <c r="T32" s="282"/>
      <c r="U32" s="282"/>
      <c r="V32" s="282"/>
      <c r="W32" s="282"/>
      <c r="X32" s="282"/>
      <c r="Y32" s="282"/>
      <c r="Z32" s="282"/>
      <c r="AA32" s="292"/>
      <c r="AB32" s="292"/>
      <c r="AC32" s="292"/>
      <c r="AD32" s="292"/>
    </row>
    <row r="33" spans="2:25" ht="18" customHeight="1">
      <c r="B33" s="52" t="s">
        <v>1587</v>
      </c>
      <c r="C33" s="48"/>
      <c r="D33" s="48"/>
      <c r="E33" s="48"/>
      <c r="F33" s="50"/>
      <c r="G33" s="48"/>
      <c r="H33" s="48"/>
      <c r="I33" s="48"/>
      <c r="J33" s="48"/>
      <c r="K33" s="50"/>
      <c r="L33" s="50"/>
      <c r="M33" s="50"/>
      <c r="N33" s="50"/>
      <c r="O33" s="50"/>
      <c r="P33" s="50"/>
      <c r="Q33" s="50"/>
      <c r="R33" s="50"/>
      <c r="S33" s="50"/>
      <c r="T33" s="50"/>
      <c r="U33" s="50"/>
      <c r="V33" s="50"/>
      <c r="W33" s="50"/>
      <c r="X33" s="50"/>
      <c r="Y33" s="50"/>
    </row>
    <row r="34" spans="2:25" ht="18" customHeight="1">
      <c r="B34" s="50" t="s">
        <v>1588</v>
      </c>
      <c r="C34" s="52"/>
      <c r="D34" s="48"/>
      <c r="E34" s="48"/>
      <c r="F34" s="50"/>
      <c r="G34" s="48"/>
      <c r="H34" s="48"/>
      <c r="I34" s="48"/>
      <c r="J34" s="48"/>
      <c r="K34" s="50"/>
      <c r="L34" s="50"/>
      <c r="M34" s="50"/>
      <c r="N34" s="50"/>
      <c r="O34" s="50"/>
      <c r="P34" s="50"/>
      <c r="Q34" s="50"/>
      <c r="R34" s="50"/>
      <c r="S34" s="50"/>
      <c r="T34" s="50"/>
      <c r="U34" s="50"/>
      <c r="V34" s="50"/>
      <c r="W34" s="50"/>
      <c r="X34" s="50"/>
      <c r="Y34" s="50"/>
    </row>
    <row r="35" spans="2:25" ht="18" customHeight="1">
      <c r="B35" s="64" t="s">
        <v>1658</v>
      </c>
      <c r="C35" s="64"/>
      <c r="D35" s="65"/>
      <c r="E35" s="65"/>
      <c r="F35" s="64"/>
      <c r="G35" s="65"/>
      <c r="H35" s="65"/>
      <c r="I35" s="65"/>
      <c r="J35" s="65"/>
      <c r="K35" s="64"/>
      <c r="L35" s="64"/>
      <c r="M35" s="64"/>
      <c r="N35" s="64"/>
      <c r="O35" s="64"/>
      <c r="P35" s="64"/>
      <c r="Q35" s="64"/>
      <c r="R35" s="64"/>
      <c r="S35" s="64"/>
      <c r="T35" s="64"/>
      <c r="U35" s="64"/>
      <c r="V35" s="64"/>
      <c r="W35" s="64"/>
      <c r="X35" s="64"/>
      <c r="Y35" s="64"/>
    </row>
    <row r="36" spans="2:25" ht="18" customHeight="1">
      <c r="B36" s="50" t="s">
        <v>1659</v>
      </c>
      <c r="C36" s="48"/>
      <c r="D36" s="48"/>
      <c r="E36" s="48"/>
      <c r="F36" s="50"/>
      <c r="G36" s="50"/>
      <c r="H36" s="50"/>
      <c r="I36" s="48"/>
      <c r="J36" s="48"/>
      <c r="K36" s="50"/>
      <c r="L36" s="50"/>
      <c r="M36" s="50"/>
      <c r="N36" s="50"/>
      <c r="O36" s="50"/>
      <c r="P36" s="972"/>
      <c r="Q36" s="50"/>
      <c r="R36" s="50"/>
      <c r="S36" s="50"/>
      <c r="T36" s="50"/>
      <c r="U36" s="50"/>
      <c r="V36" s="50"/>
      <c r="W36" s="50"/>
      <c r="X36" s="50"/>
      <c r="Y36" s="50"/>
    </row>
    <row r="37" spans="2:25" ht="18" customHeight="1">
      <c r="B37" s="50" t="s">
        <v>1720</v>
      </c>
      <c r="C37" s="48"/>
      <c r="D37" s="48"/>
      <c r="E37" s="48"/>
      <c r="F37" s="50"/>
      <c r="G37" s="50"/>
      <c r="H37" s="50"/>
      <c r="I37" s="48"/>
      <c r="J37" s="48"/>
      <c r="K37" s="50"/>
      <c r="L37" s="50"/>
      <c r="M37" s="50"/>
      <c r="N37" s="50"/>
      <c r="O37" s="50"/>
      <c r="P37" s="50"/>
      <c r="Q37" s="50"/>
      <c r="R37" s="50"/>
      <c r="S37" s="50"/>
      <c r="T37" s="50"/>
      <c r="U37" s="50"/>
      <c r="V37" s="50"/>
      <c r="W37" s="50"/>
      <c r="X37" s="50"/>
      <c r="Y37" s="50"/>
    </row>
    <row r="38" spans="2:25" ht="18" customHeight="1">
      <c r="B38" s="64" t="s">
        <v>1591</v>
      </c>
      <c r="C38" s="48"/>
      <c r="D38" s="48"/>
      <c r="E38" s="48"/>
      <c r="F38" s="50"/>
      <c r="G38" s="48"/>
      <c r="H38" s="48"/>
      <c r="I38" s="48"/>
      <c r="J38" s="48"/>
      <c r="K38" s="50"/>
      <c r="L38" s="50"/>
      <c r="M38" s="50"/>
      <c r="N38" s="50"/>
      <c r="O38" s="50"/>
      <c r="P38" s="50"/>
      <c r="Q38" s="50"/>
      <c r="R38" s="50"/>
      <c r="S38" s="50"/>
      <c r="T38" s="50"/>
      <c r="U38" s="50"/>
      <c r="V38" s="50"/>
      <c r="W38" s="50"/>
      <c r="X38" s="50"/>
      <c r="Y38" s="50"/>
    </row>
  </sheetData>
  <mergeCells count="134">
    <mergeCell ref="B28:B31"/>
    <mergeCell ref="C28:D28"/>
    <mergeCell ref="E28:E29"/>
    <mergeCell ref="F28:F29"/>
    <mergeCell ref="G28:G29"/>
    <mergeCell ref="H28:H29"/>
    <mergeCell ref="I28:I29"/>
    <mergeCell ref="J28:J29"/>
    <mergeCell ref="K28:K29"/>
    <mergeCell ref="J30:J31"/>
    <mergeCell ref="K30:K31"/>
    <mergeCell ref="C30:D30"/>
    <mergeCell ref="E30:E31"/>
    <mergeCell ref="F30:F31"/>
    <mergeCell ref="G30:G31"/>
    <mergeCell ref="H30:H31"/>
    <mergeCell ref="I30:I31"/>
    <mergeCell ref="J24:J25"/>
    <mergeCell ref="K24:K25"/>
    <mergeCell ref="B26:B27"/>
    <mergeCell ref="C26:D26"/>
    <mergeCell ref="E26:E27"/>
    <mergeCell ref="F26:F27"/>
    <mergeCell ref="G26:G27"/>
    <mergeCell ref="H26:H27"/>
    <mergeCell ref="I26:I27"/>
    <mergeCell ref="J26:J27"/>
    <mergeCell ref="B16:B25"/>
    <mergeCell ref="K26:K27"/>
    <mergeCell ref="C24:D24"/>
    <mergeCell ref="E24:E25"/>
    <mergeCell ref="F24:F25"/>
    <mergeCell ref="G24:G25"/>
    <mergeCell ref="H24:H25"/>
    <mergeCell ref="I24:I25"/>
    <mergeCell ref="C22:D22"/>
    <mergeCell ref="E22:E23"/>
    <mergeCell ref="F22:F23"/>
    <mergeCell ref="G22:G23"/>
    <mergeCell ref="C20:D20"/>
    <mergeCell ref="E20:E21"/>
    <mergeCell ref="F20:F21"/>
    <mergeCell ref="G20:G21"/>
    <mergeCell ref="H20:H21"/>
    <mergeCell ref="I20:I21"/>
    <mergeCell ref="J20:J21"/>
    <mergeCell ref="K20:K21"/>
    <mergeCell ref="H22:H23"/>
    <mergeCell ref="I22:I23"/>
    <mergeCell ref="J22:J23"/>
    <mergeCell ref="K22:K23"/>
    <mergeCell ref="I16:I17"/>
    <mergeCell ref="J16:J17"/>
    <mergeCell ref="K16:K17"/>
    <mergeCell ref="C18:D18"/>
    <mergeCell ref="E18:E19"/>
    <mergeCell ref="F18:F19"/>
    <mergeCell ref="G18:G19"/>
    <mergeCell ref="H18:H19"/>
    <mergeCell ref="I18:I19"/>
    <mergeCell ref="J18:J19"/>
    <mergeCell ref="C16:D16"/>
    <mergeCell ref="E16:E17"/>
    <mergeCell ref="F16:F17"/>
    <mergeCell ref="G16:G17"/>
    <mergeCell ref="H16:H17"/>
    <mergeCell ref="K18:K19"/>
    <mergeCell ref="H14:H15"/>
    <mergeCell ref="I14:I15"/>
    <mergeCell ref="J14:J15"/>
    <mergeCell ref="K14:K15"/>
    <mergeCell ref="C12:D12"/>
    <mergeCell ref="E12:E13"/>
    <mergeCell ref="F12:F13"/>
    <mergeCell ref="G12:G13"/>
    <mergeCell ref="H12:H13"/>
    <mergeCell ref="I12:I13"/>
    <mergeCell ref="Y6:Y7"/>
    <mergeCell ref="Z6:Z7"/>
    <mergeCell ref="AA6:AA7"/>
    <mergeCell ref="P6:P7"/>
    <mergeCell ref="Q6:Q7"/>
    <mergeCell ref="R6:R7"/>
    <mergeCell ref="S6:S7"/>
    <mergeCell ref="T6:T7"/>
    <mergeCell ref="U6:U7"/>
    <mergeCell ref="B8:B15"/>
    <mergeCell ref="C8:D8"/>
    <mergeCell ref="E8:E9"/>
    <mergeCell ref="F8:F9"/>
    <mergeCell ref="G8:G9"/>
    <mergeCell ref="H8:H9"/>
    <mergeCell ref="I8:I9"/>
    <mergeCell ref="J8:J9"/>
    <mergeCell ref="V6:V7"/>
    <mergeCell ref="K8:K9"/>
    <mergeCell ref="C10:D10"/>
    <mergeCell ref="E10:E11"/>
    <mergeCell ref="F10:F11"/>
    <mergeCell ref="G10:G11"/>
    <mergeCell ref="H10:H11"/>
    <mergeCell ref="I10:I11"/>
    <mergeCell ref="J10:J11"/>
    <mergeCell ref="K10:K11"/>
    <mergeCell ref="J12:J13"/>
    <mergeCell ref="K12:K13"/>
    <mergeCell ref="C14:D14"/>
    <mergeCell ref="E14:E15"/>
    <mergeCell ref="F14:F15"/>
    <mergeCell ref="G14:G15"/>
    <mergeCell ref="B1:AC1"/>
    <mergeCell ref="B5:D5"/>
    <mergeCell ref="E5:E7"/>
    <mergeCell ref="F5:F7"/>
    <mergeCell ref="G5:G6"/>
    <mergeCell ref="H5:I5"/>
    <mergeCell ref="J5:K5"/>
    <mergeCell ref="L5:N5"/>
    <mergeCell ref="O5:P5"/>
    <mergeCell ref="R5:S5"/>
    <mergeCell ref="U5:V5"/>
    <mergeCell ref="X5:Y5"/>
    <mergeCell ref="AA5:AB5"/>
    <mergeCell ref="B6:B7"/>
    <mergeCell ref="C6:C7"/>
    <mergeCell ref="D6:D7"/>
    <mergeCell ref="L6:L7"/>
    <mergeCell ref="M6:M7"/>
    <mergeCell ref="N6:N7"/>
    <mergeCell ref="O6:O7"/>
    <mergeCell ref="AB6:AB7"/>
    <mergeCell ref="AC6:AC7"/>
    <mergeCell ref="W6:W7"/>
    <mergeCell ref="X6:X7"/>
  </mergeCells>
  <phoneticPr fontId="99" type="noConversion"/>
  <printOptions horizontalCentered="1"/>
  <pageMargins left="0.31496062992125984" right="0.31496062992125984" top="0.31496062992125984" bottom="0.31496062992125984" header="0" footer="0"/>
  <pageSetup paperSize="9" scale="58"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O42"/>
  <sheetViews>
    <sheetView zoomScaleNormal="100" workbookViewId="0">
      <pane ySplit="1" topLeftCell="A2" activePane="bottomLeft" state="frozen"/>
      <selection pane="bottomLeft"/>
    </sheetView>
  </sheetViews>
  <sheetFormatPr defaultRowHeight="20.100000000000001" customHeight="1"/>
  <cols>
    <col min="1" max="1" width="1" style="702" customWidth="1"/>
    <col min="2" max="2" width="11" style="702" customWidth="1"/>
    <col min="3" max="3" width="12.125" style="246" customWidth="1"/>
    <col min="4" max="5" width="9.125" style="246" customWidth="1"/>
    <col min="6" max="6" width="10.875" style="246" customWidth="1"/>
    <col min="7" max="15" width="10.875" style="702" customWidth="1"/>
    <col min="16" max="16384" width="9" style="702"/>
  </cols>
  <sheetData>
    <row r="1" spans="1:15" ht="30" customHeight="1" thickBot="1">
      <c r="A1" s="325"/>
      <c r="B1" s="1140" t="s">
        <v>1728</v>
      </c>
      <c r="C1" s="1140"/>
      <c r="D1" s="1140"/>
      <c r="E1" s="1140"/>
      <c r="F1" s="1140"/>
      <c r="G1" s="1140"/>
      <c r="H1" s="1140"/>
      <c r="I1" s="1140"/>
      <c r="J1" s="1140"/>
      <c r="K1" s="1140"/>
      <c r="L1" s="1140"/>
      <c r="M1" s="1140"/>
      <c r="N1" s="1140"/>
      <c r="O1" s="1140"/>
    </row>
    <row r="2" spans="1:15" s="246" customFormat="1" ht="18" customHeight="1" thickTop="1">
      <c r="A2" s="68"/>
      <c r="B2" s="67"/>
      <c r="C2" s="67"/>
      <c r="D2" s="68"/>
      <c r="E2" s="68"/>
      <c r="F2" s="69"/>
      <c r="G2" s="69"/>
      <c r="H2" s="69"/>
      <c r="I2" s="69"/>
      <c r="J2" s="69"/>
      <c r="K2" s="68"/>
      <c r="L2" s="68"/>
      <c r="M2" s="68"/>
      <c r="N2" s="68"/>
      <c r="O2" s="68"/>
    </row>
    <row r="3" spans="1:15" ht="18" customHeight="1" thickBot="1">
      <c r="A3" s="69"/>
      <c r="B3" s="703" t="s">
        <v>431</v>
      </c>
      <c r="C3" s="68"/>
      <c r="D3" s="68"/>
      <c r="E3" s="68"/>
      <c r="F3" s="69"/>
      <c r="G3" s="69"/>
      <c r="H3" s="69"/>
      <c r="I3" s="69"/>
      <c r="J3" s="69"/>
      <c r="K3" s="69"/>
      <c r="L3" s="69"/>
      <c r="M3" s="69"/>
      <c r="N3" s="69"/>
      <c r="O3" s="69"/>
    </row>
    <row r="4" spans="1:15" s="705" customFormat="1" ht="18" customHeight="1">
      <c r="A4" s="704"/>
      <c r="B4" s="1165" t="s">
        <v>432</v>
      </c>
      <c r="C4" s="1166"/>
      <c r="D4" s="1174" t="s">
        <v>433</v>
      </c>
      <c r="E4" s="1175"/>
      <c r="F4" s="1175"/>
      <c r="G4" s="1175"/>
      <c r="H4" s="1175"/>
      <c r="I4" s="1175"/>
      <c r="J4" s="1306"/>
      <c r="K4" s="1166" t="s">
        <v>434</v>
      </c>
      <c r="L4" s="1166"/>
      <c r="M4" s="1166"/>
      <c r="N4" s="1166"/>
      <c r="O4" s="1167"/>
    </row>
    <row r="5" spans="1:15" s="705" customFormat="1" ht="18" customHeight="1">
      <c r="A5" s="704"/>
      <c r="B5" s="1168" t="s">
        <v>441</v>
      </c>
      <c r="C5" s="1169"/>
      <c r="D5" s="706"/>
      <c r="E5" s="707"/>
      <c r="F5" s="707"/>
      <c r="G5" s="708" t="s">
        <v>442</v>
      </c>
      <c r="H5" s="707"/>
      <c r="I5" s="707"/>
      <c r="J5" s="709"/>
      <c r="K5" s="1810"/>
      <c r="L5" s="1810"/>
      <c r="M5" s="1810"/>
      <c r="N5" s="1810"/>
      <c r="O5" s="1811"/>
    </row>
    <row r="6" spans="1:15" s="705" customFormat="1" ht="18" customHeight="1">
      <c r="A6" s="704"/>
      <c r="B6" s="1168" t="s">
        <v>443</v>
      </c>
      <c r="C6" s="1169"/>
      <c r="D6" s="1786" t="s">
        <v>444</v>
      </c>
      <c r="E6" s="1787"/>
      <c r="F6" s="1787"/>
      <c r="G6" s="1787" t="s">
        <v>445</v>
      </c>
      <c r="H6" s="1787"/>
      <c r="I6" s="1787"/>
      <c r="J6" s="1809"/>
      <c r="K6" s="1810"/>
      <c r="L6" s="1810"/>
      <c r="M6" s="1810"/>
      <c r="N6" s="1810"/>
      <c r="O6" s="1811"/>
    </row>
    <row r="7" spans="1:15" s="705" customFormat="1" ht="18" customHeight="1">
      <c r="A7" s="704"/>
      <c r="B7" s="1168" t="s">
        <v>446</v>
      </c>
      <c r="C7" s="1169"/>
      <c r="D7" s="1786" t="s">
        <v>447</v>
      </c>
      <c r="E7" s="1787"/>
      <c r="F7" s="1787"/>
      <c r="G7" s="1787" t="s">
        <v>447</v>
      </c>
      <c r="H7" s="1787"/>
      <c r="I7" s="1787"/>
      <c r="J7" s="1809"/>
      <c r="K7" s="1810"/>
      <c r="L7" s="1810"/>
      <c r="M7" s="1810"/>
      <c r="N7" s="1810"/>
      <c r="O7" s="1811"/>
    </row>
    <row r="8" spans="1:15" s="705" customFormat="1" ht="18" customHeight="1">
      <c r="A8" s="704"/>
      <c r="B8" s="1801" t="s">
        <v>448</v>
      </c>
      <c r="C8" s="1802"/>
      <c r="D8" s="1565" t="s">
        <v>449</v>
      </c>
      <c r="E8" s="1566"/>
      <c r="F8" s="1566"/>
      <c r="G8" s="1566"/>
      <c r="H8" s="1566"/>
      <c r="I8" s="1566"/>
      <c r="J8" s="1746"/>
      <c r="K8" s="1565" t="s">
        <v>450</v>
      </c>
      <c r="L8" s="1566"/>
      <c r="M8" s="1566"/>
      <c r="N8" s="1566"/>
      <c r="O8" s="1740"/>
    </row>
    <row r="9" spans="1:15" s="705" customFormat="1" ht="18" customHeight="1" thickBot="1">
      <c r="A9" s="704"/>
      <c r="B9" s="1803"/>
      <c r="C9" s="1804"/>
      <c r="D9" s="1741" t="s">
        <v>451</v>
      </c>
      <c r="E9" s="1742"/>
      <c r="F9" s="1742"/>
      <c r="G9" s="1742"/>
      <c r="H9" s="1742"/>
      <c r="I9" s="1742"/>
      <c r="J9" s="1795"/>
      <c r="K9" s="1741"/>
      <c r="L9" s="1742"/>
      <c r="M9" s="1742"/>
      <c r="N9" s="1742"/>
      <c r="O9" s="1794"/>
    </row>
    <row r="10" spans="1:15" ht="18" customHeight="1">
      <c r="A10" s="69"/>
      <c r="B10" s="69"/>
      <c r="C10" s="68"/>
      <c r="D10" s="68"/>
      <c r="E10" s="68"/>
      <c r="F10" s="69"/>
      <c r="G10" s="69"/>
      <c r="H10" s="69"/>
      <c r="I10" s="69"/>
      <c r="J10" s="69"/>
      <c r="K10" s="69"/>
      <c r="L10" s="69"/>
      <c r="M10" s="69"/>
      <c r="N10" s="69"/>
      <c r="O10" s="69"/>
    </row>
    <row r="11" spans="1:15" ht="18" customHeight="1" thickBot="1">
      <c r="A11" s="69"/>
      <c r="B11" s="703" t="s">
        <v>452</v>
      </c>
      <c r="C11" s="68"/>
      <c r="D11" s="68"/>
      <c r="E11" s="68"/>
      <c r="F11" s="69"/>
      <c r="G11" s="69"/>
      <c r="H11" s="69"/>
      <c r="I11" s="69"/>
      <c r="J11" s="69"/>
      <c r="K11" s="69"/>
      <c r="L11" s="69"/>
      <c r="M11" s="69"/>
      <c r="N11" s="69"/>
      <c r="O11" s="69"/>
    </row>
    <row r="12" spans="1:15" s="705" customFormat="1" ht="18" customHeight="1">
      <c r="A12" s="704"/>
      <c r="B12" s="1165" t="s">
        <v>432</v>
      </c>
      <c r="C12" s="1166"/>
      <c r="D12" s="1174" t="s">
        <v>433</v>
      </c>
      <c r="E12" s="1175"/>
      <c r="F12" s="1175"/>
      <c r="G12" s="1175"/>
      <c r="H12" s="1175"/>
      <c r="I12" s="1175"/>
      <c r="J12" s="1306"/>
      <c r="K12" s="1166" t="s">
        <v>453</v>
      </c>
      <c r="L12" s="1166"/>
      <c r="M12" s="1166"/>
      <c r="N12" s="1166"/>
      <c r="O12" s="1167"/>
    </row>
    <row r="13" spans="1:15" s="705" customFormat="1" ht="18" customHeight="1">
      <c r="A13" s="704"/>
      <c r="B13" s="1168" t="s">
        <v>454</v>
      </c>
      <c r="C13" s="1169"/>
      <c r="D13" s="1565" t="s">
        <v>455</v>
      </c>
      <c r="E13" s="1566"/>
      <c r="F13" s="1566"/>
      <c r="G13" s="1566"/>
      <c r="H13" s="1566"/>
      <c r="I13" s="1566"/>
      <c r="J13" s="1746"/>
      <c r="K13" s="1565" t="s">
        <v>456</v>
      </c>
      <c r="L13" s="1566"/>
      <c r="M13" s="1566"/>
      <c r="N13" s="1566"/>
      <c r="O13" s="1740"/>
    </row>
    <row r="14" spans="1:15" s="705" customFormat="1" ht="18" customHeight="1">
      <c r="A14" s="704"/>
      <c r="B14" s="1168"/>
      <c r="C14" s="1169"/>
      <c r="D14" s="1791" t="s">
        <v>457</v>
      </c>
      <c r="E14" s="1792"/>
      <c r="F14" s="1792"/>
      <c r="G14" s="1792"/>
      <c r="H14" s="1792"/>
      <c r="I14" s="1792"/>
      <c r="J14" s="1805"/>
      <c r="K14" s="1806" t="s">
        <v>458</v>
      </c>
      <c r="L14" s="1807"/>
      <c r="M14" s="1807"/>
      <c r="N14" s="1807"/>
      <c r="O14" s="1808"/>
    </row>
    <row r="15" spans="1:15" s="705" customFormat="1" ht="18" customHeight="1">
      <c r="A15" s="704"/>
      <c r="B15" s="1796" t="s">
        <v>459</v>
      </c>
      <c r="C15" s="1797"/>
      <c r="D15" s="1565" t="s">
        <v>460</v>
      </c>
      <c r="E15" s="1566"/>
      <c r="F15" s="1566"/>
      <c r="G15" s="1566"/>
      <c r="H15" s="1566"/>
      <c r="I15" s="1566"/>
      <c r="J15" s="1746"/>
      <c r="K15" s="1775" t="s">
        <v>461</v>
      </c>
      <c r="L15" s="1776"/>
      <c r="M15" s="1776"/>
      <c r="N15" s="1776"/>
      <c r="O15" s="1777"/>
    </row>
    <row r="16" spans="1:15" s="705" customFormat="1" ht="18" customHeight="1">
      <c r="A16" s="704"/>
      <c r="B16" s="1796"/>
      <c r="C16" s="1797"/>
      <c r="D16" s="1747"/>
      <c r="E16" s="1748"/>
      <c r="F16" s="1748"/>
      <c r="G16" s="1748"/>
      <c r="H16" s="1748"/>
      <c r="I16" s="1748"/>
      <c r="J16" s="1749"/>
      <c r="K16" s="1798" t="s">
        <v>462</v>
      </c>
      <c r="L16" s="1799"/>
      <c r="M16" s="1799"/>
      <c r="N16" s="1799"/>
      <c r="O16" s="1800"/>
    </row>
    <row r="17" spans="1:15" s="705" customFormat="1" ht="18" customHeight="1">
      <c r="A17" s="704"/>
      <c r="B17" s="1738" t="s">
        <v>463</v>
      </c>
      <c r="C17" s="1169"/>
      <c r="D17" s="1565" t="s">
        <v>464</v>
      </c>
      <c r="E17" s="1566"/>
      <c r="F17" s="1566"/>
      <c r="G17" s="1566"/>
      <c r="H17" s="1566"/>
      <c r="I17" s="1566"/>
      <c r="J17" s="1746"/>
      <c r="K17" s="1565"/>
      <c r="L17" s="1566"/>
      <c r="M17" s="1566"/>
      <c r="N17" s="1566"/>
      <c r="O17" s="1740"/>
    </row>
    <row r="18" spans="1:15" s="705" customFormat="1" ht="18" customHeight="1">
      <c r="A18" s="704"/>
      <c r="B18" s="1168"/>
      <c r="C18" s="1169"/>
      <c r="D18" s="1747" t="s">
        <v>465</v>
      </c>
      <c r="E18" s="1748"/>
      <c r="F18" s="1748"/>
      <c r="G18" s="1748"/>
      <c r="H18" s="1748"/>
      <c r="I18" s="1748"/>
      <c r="J18" s="1749"/>
      <c r="K18" s="1747"/>
      <c r="L18" s="1748"/>
      <c r="M18" s="1748"/>
      <c r="N18" s="1748"/>
      <c r="O18" s="1751"/>
    </row>
    <row r="19" spans="1:15" s="705" customFormat="1" ht="18" customHeight="1">
      <c r="A19" s="704"/>
      <c r="B19" s="1168" t="s">
        <v>466</v>
      </c>
      <c r="C19" s="1169"/>
      <c r="D19" s="1565" t="s">
        <v>24</v>
      </c>
      <c r="E19" s="1566"/>
      <c r="F19" s="1566"/>
      <c r="G19" s="1566" t="s">
        <v>467</v>
      </c>
      <c r="H19" s="1566"/>
      <c r="I19" s="1566"/>
      <c r="J19" s="1746"/>
      <c r="K19" s="1565"/>
      <c r="L19" s="1566"/>
      <c r="M19" s="1566"/>
      <c r="N19" s="1566"/>
      <c r="O19" s="1740"/>
    </row>
    <row r="20" spans="1:15" s="705" customFormat="1" ht="18" customHeight="1" thickBot="1">
      <c r="A20" s="704"/>
      <c r="B20" s="1160"/>
      <c r="C20" s="1161"/>
      <c r="D20" s="1741" t="s">
        <v>468</v>
      </c>
      <c r="E20" s="1742"/>
      <c r="F20" s="1742"/>
      <c r="G20" s="1742"/>
      <c r="H20" s="1742"/>
      <c r="I20" s="1742"/>
      <c r="J20" s="1795"/>
      <c r="K20" s="1741"/>
      <c r="L20" s="1742"/>
      <c r="M20" s="1742"/>
      <c r="N20" s="1742"/>
      <c r="O20" s="1794"/>
    </row>
    <row r="21" spans="1:15" ht="18" customHeight="1">
      <c r="A21" s="69"/>
      <c r="B21" s="529"/>
      <c r="C21" s="689"/>
      <c r="D21" s="689"/>
      <c r="E21" s="68"/>
      <c r="F21" s="69"/>
      <c r="G21" s="69"/>
      <c r="H21" s="69"/>
      <c r="I21" s="69"/>
      <c r="J21" s="69"/>
      <c r="K21" s="69"/>
      <c r="L21" s="69"/>
      <c r="M21" s="69"/>
      <c r="N21" s="69"/>
      <c r="O21" s="69"/>
    </row>
    <row r="22" spans="1:15" ht="18" customHeight="1" thickBot="1">
      <c r="A22" s="69"/>
      <c r="B22" s="703" t="s">
        <v>469</v>
      </c>
      <c r="C22" s="68"/>
      <c r="D22" s="68"/>
      <c r="E22" s="68"/>
      <c r="F22" s="69"/>
      <c r="G22" s="69"/>
      <c r="H22" s="69"/>
      <c r="I22" s="69"/>
      <c r="J22" s="69"/>
      <c r="K22" s="69"/>
      <c r="L22" s="69"/>
      <c r="M22" s="69"/>
      <c r="N22" s="69"/>
      <c r="O22" s="69"/>
    </row>
    <row r="23" spans="1:15" s="705" customFormat="1" ht="18" customHeight="1">
      <c r="A23" s="704"/>
      <c r="B23" s="1295" t="s">
        <v>432</v>
      </c>
      <c r="C23" s="1306"/>
      <c r="D23" s="1174" t="s">
        <v>433</v>
      </c>
      <c r="E23" s="1175"/>
      <c r="F23" s="1175"/>
      <c r="G23" s="1175"/>
      <c r="H23" s="1175"/>
      <c r="I23" s="1175"/>
      <c r="J23" s="1306"/>
      <c r="K23" s="1174" t="s">
        <v>470</v>
      </c>
      <c r="L23" s="1175"/>
      <c r="M23" s="1175"/>
      <c r="N23" s="1175"/>
      <c r="O23" s="1176"/>
    </row>
    <row r="24" spans="1:15" s="705" customFormat="1" ht="18" customHeight="1">
      <c r="A24" s="704"/>
      <c r="B24" s="1290" t="s">
        <v>435</v>
      </c>
      <c r="C24" s="1774"/>
      <c r="D24" s="706"/>
      <c r="E24" s="710"/>
      <c r="F24" s="710"/>
      <c r="G24" s="711" t="s">
        <v>471</v>
      </c>
      <c r="H24" s="710"/>
      <c r="I24" s="710"/>
      <c r="J24" s="710"/>
      <c r="K24" s="1786" t="s">
        <v>472</v>
      </c>
      <c r="L24" s="1787"/>
      <c r="M24" s="1787"/>
      <c r="N24" s="1787"/>
      <c r="O24" s="1788"/>
    </row>
    <row r="25" spans="1:15" s="705" customFormat="1" ht="18" customHeight="1">
      <c r="A25" s="704"/>
      <c r="B25" s="1789" t="s">
        <v>436</v>
      </c>
      <c r="C25" s="1790"/>
      <c r="D25" s="1565" t="s">
        <v>473</v>
      </c>
      <c r="E25" s="1566"/>
      <c r="F25" s="1566"/>
      <c r="G25" s="1566"/>
      <c r="H25" s="1566"/>
      <c r="I25" s="1566"/>
      <c r="J25" s="1746"/>
      <c r="K25" s="1775" t="s">
        <v>461</v>
      </c>
      <c r="L25" s="1776"/>
      <c r="M25" s="1776"/>
      <c r="N25" s="1776"/>
      <c r="O25" s="1777"/>
    </row>
    <row r="26" spans="1:15" s="705" customFormat="1" ht="18" customHeight="1">
      <c r="A26" s="704"/>
      <c r="B26" s="1789"/>
      <c r="C26" s="1790"/>
      <c r="D26" s="712"/>
      <c r="E26" s="713"/>
      <c r="F26" s="713"/>
      <c r="G26" s="683" t="s">
        <v>474</v>
      </c>
      <c r="H26" s="713"/>
      <c r="I26" s="713"/>
      <c r="J26" s="714"/>
      <c r="K26" s="1791" t="s">
        <v>475</v>
      </c>
      <c r="L26" s="1792"/>
      <c r="M26" s="1792"/>
      <c r="N26" s="1792"/>
      <c r="O26" s="1793"/>
    </row>
    <row r="27" spans="1:15" s="705" customFormat="1" ht="18" customHeight="1">
      <c r="A27" s="704"/>
      <c r="B27" s="1789"/>
      <c r="C27" s="1790"/>
      <c r="D27" s="715"/>
      <c r="E27" s="716"/>
      <c r="F27" s="716"/>
      <c r="G27" s="684" t="s">
        <v>476</v>
      </c>
      <c r="H27" s="716"/>
      <c r="I27" s="716"/>
      <c r="J27" s="716"/>
      <c r="K27" s="1747" t="s">
        <v>477</v>
      </c>
      <c r="L27" s="1748"/>
      <c r="M27" s="1748"/>
      <c r="N27" s="1748"/>
      <c r="O27" s="1751"/>
    </row>
    <row r="28" spans="1:15" s="705" customFormat="1" ht="18" customHeight="1">
      <c r="A28" s="704"/>
      <c r="B28" s="1290" t="s">
        <v>478</v>
      </c>
      <c r="C28" s="1774"/>
      <c r="D28" s="1565" t="s">
        <v>479</v>
      </c>
      <c r="E28" s="1566"/>
      <c r="F28" s="1566"/>
      <c r="G28" s="1566"/>
      <c r="H28" s="1566"/>
      <c r="I28" s="1566"/>
      <c r="J28" s="1746"/>
      <c r="K28" s="1775" t="s">
        <v>480</v>
      </c>
      <c r="L28" s="1776"/>
      <c r="M28" s="1776"/>
      <c r="N28" s="1776"/>
      <c r="O28" s="1777"/>
    </row>
    <row r="29" spans="1:15" s="705" customFormat="1" ht="18" customHeight="1">
      <c r="A29" s="704"/>
      <c r="B29" s="1290"/>
      <c r="C29" s="1774"/>
      <c r="D29" s="1335" t="s">
        <v>481</v>
      </c>
      <c r="E29" s="1336"/>
      <c r="F29" s="1336"/>
      <c r="G29" s="1336"/>
      <c r="H29" s="1336"/>
      <c r="I29" s="1336"/>
      <c r="J29" s="1749"/>
      <c r="K29" s="1778"/>
      <c r="L29" s="1779"/>
      <c r="M29" s="1779"/>
      <c r="N29" s="1779"/>
      <c r="O29" s="1780"/>
    </row>
    <row r="30" spans="1:15" s="705" customFormat="1" ht="18" customHeight="1" thickBot="1">
      <c r="A30" s="704"/>
      <c r="B30" s="1781" t="s">
        <v>482</v>
      </c>
      <c r="C30" s="1782"/>
      <c r="D30" s="1783" t="s">
        <v>612</v>
      </c>
      <c r="E30" s="1784"/>
      <c r="F30" s="1784"/>
      <c r="G30" s="1784"/>
      <c r="H30" s="1784"/>
      <c r="I30" s="1784"/>
      <c r="J30" s="1784"/>
      <c r="K30" s="1784"/>
      <c r="L30" s="1784"/>
      <c r="M30" s="1784"/>
      <c r="N30" s="1784"/>
      <c r="O30" s="1785"/>
    </row>
    <row r="31" spans="1:15" s="705" customFormat="1" ht="18" customHeight="1">
      <c r="A31" s="704"/>
      <c r="B31" s="704"/>
      <c r="C31" s="529"/>
      <c r="D31" s="689"/>
      <c r="E31" s="689"/>
      <c r="F31" s="689"/>
      <c r="G31" s="689"/>
      <c r="H31" s="689"/>
      <c r="I31" s="689"/>
      <c r="J31" s="689"/>
      <c r="K31" s="717"/>
      <c r="L31" s="717"/>
      <c r="M31" s="717"/>
      <c r="N31" s="717"/>
      <c r="O31" s="717"/>
    </row>
    <row r="32" spans="1:15" s="246" customFormat="1" ht="18" customHeight="1" thickBot="1">
      <c r="A32" s="68"/>
      <c r="B32" s="703" t="s">
        <v>483</v>
      </c>
      <c r="C32" s="68"/>
      <c r="D32" s="68"/>
      <c r="E32" s="694"/>
      <c r="F32" s="69"/>
      <c r="G32" s="69"/>
      <c r="H32" s="69"/>
      <c r="I32" s="69"/>
      <c r="J32" s="69"/>
      <c r="K32" s="68"/>
      <c r="L32" s="68"/>
      <c r="M32" s="68"/>
      <c r="N32" s="68"/>
      <c r="O32" s="68"/>
    </row>
    <row r="33" spans="1:15" s="705" customFormat="1" ht="18" customHeight="1">
      <c r="A33" s="704"/>
      <c r="B33" s="1165" t="s">
        <v>432</v>
      </c>
      <c r="C33" s="1166"/>
      <c r="D33" s="1166" t="s">
        <v>484</v>
      </c>
      <c r="E33" s="1166"/>
      <c r="F33" s="1166"/>
      <c r="G33" s="1166"/>
      <c r="H33" s="1166"/>
      <c r="I33" s="1166"/>
      <c r="J33" s="1166"/>
      <c r="K33" s="1166" t="s">
        <v>485</v>
      </c>
      <c r="L33" s="1166"/>
      <c r="M33" s="1166"/>
      <c r="N33" s="1166"/>
      <c r="O33" s="1167"/>
    </row>
    <row r="34" spans="1:15" s="705" customFormat="1" ht="18" customHeight="1">
      <c r="A34" s="704"/>
      <c r="B34" s="1337" t="s">
        <v>486</v>
      </c>
      <c r="C34" s="1338"/>
      <c r="D34" s="1761" t="s">
        <v>46</v>
      </c>
      <c r="E34" s="1762"/>
      <c r="F34" s="1762"/>
      <c r="G34" s="1762"/>
      <c r="H34" s="1762"/>
      <c r="I34" s="1762"/>
      <c r="J34" s="1763"/>
      <c r="K34" s="1754" t="s">
        <v>47</v>
      </c>
      <c r="L34" s="1754"/>
      <c r="M34" s="1754"/>
      <c r="N34" s="1754"/>
      <c r="O34" s="1764"/>
    </row>
    <row r="35" spans="1:15" s="705" customFormat="1" ht="24.95" customHeight="1">
      <c r="A35" s="704"/>
      <c r="B35" s="1312"/>
      <c r="C35" s="1313"/>
      <c r="D35" s="1760" t="s">
        <v>487</v>
      </c>
      <c r="E35" s="1334"/>
      <c r="F35" s="1334"/>
      <c r="G35" s="1334"/>
      <c r="H35" s="1334"/>
      <c r="I35" s="1334"/>
      <c r="J35" s="1568"/>
      <c r="K35" s="1765" t="s">
        <v>488</v>
      </c>
      <c r="L35" s="1766"/>
      <c r="M35" s="1766"/>
      <c r="N35" s="1766"/>
      <c r="O35" s="1767"/>
    </row>
    <row r="36" spans="1:15" s="705" customFormat="1" ht="18" customHeight="1">
      <c r="A36" s="704"/>
      <c r="B36" s="1312"/>
      <c r="C36" s="1313"/>
      <c r="D36" s="1768" t="s">
        <v>489</v>
      </c>
      <c r="E36" s="1769"/>
      <c r="F36" s="1769"/>
      <c r="G36" s="1769"/>
      <c r="H36" s="1769"/>
      <c r="I36" s="1769"/>
      <c r="J36" s="1770"/>
      <c r="K36" s="1771" t="s">
        <v>490</v>
      </c>
      <c r="L36" s="1772"/>
      <c r="M36" s="1772"/>
      <c r="N36" s="1772"/>
      <c r="O36" s="1773"/>
    </row>
    <row r="37" spans="1:15" s="705" customFormat="1" ht="18" customHeight="1">
      <c r="A37" s="704"/>
      <c r="B37" s="1337" t="s">
        <v>491</v>
      </c>
      <c r="C37" s="1338"/>
      <c r="D37" s="1744" t="s">
        <v>48</v>
      </c>
      <c r="E37" s="1745"/>
      <c r="F37" s="1745"/>
      <c r="G37" s="1745"/>
      <c r="H37" s="1745"/>
      <c r="I37" s="1745"/>
      <c r="J37" s="1746"/>
      <c r="K37" s="1744" t="s">
        <v>492</v>
      </c>
      <c r="L37" s="1745"/>
      <c r="M37" s="1745"/>
      <c r="N37" s="1745"/>
      <c r="O37" s="1750"/>
    </row>
    <row r="38" spans="1:15" s="705" customFormat="1" ht="18" customHeight="1">
      <c r="A38" s="704"/>
      <c r="B38" s="1533"/>
      <c r="C38" s="1534"/>
      <c r="D38" s="1747"/>
      <c r="E38" s="1748"/>
      <c r="F38" s="1748"/>
      <c r="G38" s="1748"/>
      <c r="H38" s="1748"/>
      <c r="I38" s="1748"/>
      <c r="J38" s="1749"/>
      <c r="K38" s="1747"/>
      <c r="L38" s="1748"/>
      <c r="M38" s="1748"/>
      <c r="N38" s="1748"/>
      <c r="O38" s="1751"/>
    </row>
    <row r="39" spans="1:15" ht="18" customHeight="1">
      <c r="A39" s="704"/>
      <c r="B39" s="1168" t="s">
        <v>493</v>
      </c>
      <c r="C39" s="1169"/>
      <c r="D39" s="1754" t="s">
        <v>494</v>
      </c>
      <c r="E39" s="1754"/>
      <c r="F39" s="1754"/>
      <c r="G39" s="1754"/>
      <c r="H39" s="1754"/>
      <c r="I39" s="1754"/>
      <c r="J39" s="1754"/>
      <c r="K39" s="1755" t="s">
        <v>49</v>
      </c>
      <c r="L39" s="1756"/>
      <c r="M39" s="1756"/>
      <c r="N39" s="1756"/>
      <c r="O39" s="1757"/>
    </row>
    <row r="40" spans="1:15" ht="18" customHeight="1">
      <c r="A40" s="704"/>
      <c r="B40" s="1752"/>
      <c r="C40" s="1753"/>
      <c r="D40" s="1760" t="s">
        <v>50</v>
      </c>
      <c r="E40" s="1760"/>
      <c r="F40" s="1760"/>
      <c r="G40" s="1760"/>
      <c r="H40" s="1760"/>
      <c r="I40" s="1760"/>
      <c r="J40" s="1760"/>
      <c r="K40" s="1758"/>
      <c r="L40" s="1758"/>
      <c r="M40" s="1758"/>
      <c r="N40" s="1758"/>
      <c r="O40" s="1759"/>
    </row>
    <row r="41" spans="1:15" ht="18" customHeight="1">
      <c r="A41" s="704"/>
      <c r="B41" s="1738" t="s">
        <v>495</v>
      </c>
      <c r="C41" s="1169"/>
      <c r="D41" s="1739" t="s">
        <v>496</v>
      </c>
      <c r="E41" s="1566"/>
      <c r="F41" s="1566"/>
      <c r="G41" s="1566"/>
      <c r="H41" s="1566"/>
      <c r="I41" s="1566"/>
      <c r="J41" s="1566"/>
      <c r="K41" s="1566"/>
      <c r="L41" s="1566"/>
      <c r="M41" s="1566"/>
      <c r="N41" s="1566"/>
      <c r="O41" s="1740"/>
    </row>
    <row r="42" spans="1:15" ht="24.95" customHeight="1" thickBot="1">
      <c r="A42" s="704"/>
      <c r="B42" s="1160"/>
      <c r="C42" s="1161"/>
      <c r="D42" s="1741"/>
      <c r="E42" s="1742"/>
      <c r="F42" s="1742"/>
      <c r="G42" s="1742"/>
      <c r="H42" s="1742"/>
      <c r="I42" s="1742"/>
      <c r="J42" s="1742"/>
      <c r="K42" s="1742"/>
      <c r="L42" s="1742"/>
      <c r="M42" s="1742"/>
      <c r="N42" s="1742"/>
      <c r="O42" s="1743"/>
    </row>
  </sheetData>
  <mergeCells count="71">
    <mergeCell ref="B1:O1"/>
    <mergeCell ref="B4:C4"/>
    <mergeCell ref="D4:J4"/>
    <mergeCell ref="K4:O4"/>
    <mergeCell ref="B5:C5"/>
    <mergeCell ref="K5:O5"/>
    <mergeCell ref="B6:C6"/>
    <mergeCell ref="D6:J6"/>
    <mergeCell ref="K6:O6"/>
    <mergeCell ref="B7:C7"/>
    <mergeCell ref="D7:J7"/>
    <mergeCell ref="K7:O7"/>
    <mergeCell ref="B15:C16"/>
    <mergeCell ref="D15:J16"/>
    <mergeCell ref="K15:O15"/>
    <mergeCell ref="K16:O16"/>
    <mergeCell ref="B8:C9"/>
    <mergeCell ref="D8:J8"/>
    <mergeCell ref="K8:O9"/>
    <mergeCell ref="D9:J9"/>
    <mergeCell ref="B12:C12"/>
    <mergeCell ref="D12:J12"/>
    <mergeCell ref="K12:O12"/>
    <mergeCell ref="B13:C14"/>
    <mergeCell ref="D13:J13"/>
    <mergeCell ref="K13:O13"/>
    <mergeCell ref="D14:J14"/>
    <mergeCell ref="K14:O14"/>
    <mergeCell ref="B17:C18"/>
    <mergeCell ref="D17:J17"/>
    <mergeCell ref="K17:O18"/>
    <mergeCell ref="D18:J18"/>
    <mergeCell ref="B19:C20"/>
    <mergeCell ref="D19:J19"/>
    <mergeCell ref="K19:O20"/>
    <mergeCell ref="D20:J20"/>
    <mergeCell ref="B25:C27"/>
    <mergeCell ref="D25:J25"/>
    <mergeCell ref="K25:O25"/>
    <mergeCell ref="K26:O26"/>
    <mergeCell ref="K27:O27"/>
    <mergeCell ref="B23:C23"/>
    <mergeCell ref="D23:J23"/>
    <mergeCell ref="K23:O23"/>
    <mergeCell ref="B24:C24"/>
    <mergeCell ref="K24:O24"/>
    <mergeCell ref="B28:C29"/>
    <mergeCell ref="D28:J28"/>
    <mergeCell ref="K28:O29"/>
    <mergeCell ref="D29:J29"/>
    <mergeCell ref="B30:C30"/>
    <mergeCell ref="D30:O30"/>
    <mergeCell ref="B33:C33"/>
    <mergeCell ref="D33:J33"/>
    <mergeCell ref="K33:O33"/>
    <mergeCell ref="B34:C36"/>
    <mergeCell ref="D34:J34"/>
    <mergeCell ref="K34:O34"/>
    <mergeCell ref="D35:J35"/>
    <mergeCell ref="K35:O35"/>
    <mergeCell ref="D36:J36"/>
    <mergeCell ref="K36:O36"/>
    <mergeCell ref="B41:C42"/>
    <mergeCell ref="D41:O42"/>
    <mergeCell ref="B37:C38"/>
    <mergeCell ref="D37:J38"/>
    <mergeCell ref="K37:O38"/>
    <mergeCell ref="B39:C40"/>
    <mergeCell ref="D39:J39"/>
    <mergeCell ref="K39:O40"/>
    <mergeCell ref="D40:J40"/>
  </mergeCells>
  <phoneticPr fontId="99" type="noConversion"/>
  <printOptions horizontalCentered="1"/>
  <pageMargins left="0.31496062992125984" right="0.31496062992125984" top="0.31496062992125984" bottom="0.31496062992125984" header="0" footer="0"/>
  <pageSetup paperSize="9" scale="6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0"/>
  <sheetViews>
    <sheetView zoomScaleNormal="100" workbookViewId="0"/>
  </sheetViews>
  <sheetFormatPr defaultRowHeight="18" customHeight="1"/>
  <cols>
    <col min="1" max="1" width="1.125" style="702" customWidth="1"/>
    <col min="2" max="3" width="8.375" style="702" customWidth="1"/>
    <col min="4" max="5" width="8.375" style="246" customWidth="1"/>
    <col min="6" max="7" width="5.5" style="246" customWidth="1"/>
    <col min="8" max="8" width="8.875" style="246" bestFit="1" customWidth="1"/>
    <col min="9" max="9" width="7.375" style="246" customWidth="1"/>
    <col min="10" max="10" width="8.875" style="246" bestFit="1" customWidth="1"/>
    <col min="11" max="11" width="9.125" style="702" customWidth="1"/>
    <col min="12" max="14" width="5.5" style="702" customWidth="1"/>
    <col min="15" max="18" width="5" style="702" customWidth="1"/>
    <col min="19" max="33" width="7.875" style="702" customWidth="1"/>
    <col min="34" max="16384" width="9" style="702"/>
  </cols>
  <sheetData>
    <row r="1" spans="1:36" ht="30" customHeight="1" thickBot="1">
      <c r="A1" s="140"/>
      <c r="B1" s="1140" t="s">
        <v>1729</v>
      </c>
      <c r="C1" s="1140"/>
      <c r="D1" s="1140"/>
      <c r="E1" s="1140"/>
      <c r="F1" s="1140"/>
      <c r="G1" s="1140"/>
      <c r="H1" s="1140"/>
      <c r="I1" s="1140"/>
      <c r="J1" s="1140"/>
      <c r="K1" s="1140"/>
      <c r="L1" s="1140"/>
      <c r="M1" s="1140"/>
      <c r="N1" s="1140"/>
      <c r="O1" s="1140"/>
      <c r="P1" s="1140"/>
      <c r="Q1" s="1140"/>
      <c r="R1" s="1140"/>
      <c r="S1" s="1140"/>
      <c r="T1" s="1140"/>
      <c r="U1" s="1140"/>
      <c r="V1" s="1140"/>
      <c r="W1" s="1140"/>
      <c r="X1" s="1140"/>
      <c r="Y1" s="1140"/>
      <c r="Z1" s="1140"/>
      <c r="AA1" s="1140"/>
      <c r="AB1" s="1140"/>
      <c r="AC1" s="1140"/>
      <c r="AD1" s="1140"/>
      <c r="AE1" s="1140"/>
      <c r="AF1" s="1140"/>
      <c r="AG1" s="1140"/>
      <c r="AH1" s="1140"/>
      <c r="AI1" s="1140"/>
      <c r="AJ1" s="1140"/>
    </row>
    <row r="2" spans="1:36" s="246" customFormat="1" ht="6" customHeight="1" thickTop="1">
      <c r="A2" s="68"/>
      <c r="B2" s="67"/>
      <c r="C2" s="67"/>
      <c r="D2" s="67"/>
      <c r="E2" s="67"/>
      <c r="F2" s="67"/>
      <c r="G2" s="67"/>
      <c r="H2" s="68"/>
      <c r="I2" s="68"/>
      <c r="J2" s="69"/>
      <c r="K2" s="69"/>
      <c r="L2" s="68"/>
      <c r="M2" s="68"/>
      <c r="N2" s="68"/>
      <c r="O2" s="68"/>
      <c r="P2" s="68"/>
      <c r="Q2" s="68"/>
      <c r="R2" s="68"/>
      <c r="S2" s="68"/>
      <c r="T2" s="68"/>
      <c r="U2" s="68"/>
      <c r="V2" s="68"/>
      <c r="W2" s="68"/>
      <c r="X2" s="68"/>
      <c r="Y2" s="68"/>
      <c r="Z2" s="68"/>
      <c r="AA2" s="68"/>
      <c r="AB2" s="68"/>
      <c r="AC2" s="68"/>
      <c r="AD2" s="68"/>
      <c r="AE2" s="68"/>
      <c r="AF2" s="68"/>
      <c r="AG2" s="68"/>
    </row>
    <row r="3" spans="1:36" s="274" customFormat="1" ht="18" customHeight="1">
      <c r="B3" s="364" t="s">
        <v>1746</v>
      </c>
      <c r="C3" s="273"/>
      <c r="D3" s="273"/>
      <c r="E3" s="273"/>
      <c r="F3" s="273"/>
      <c r="G3" s="273"/>
      <c r="M3" s="275"/>
      <c r="N3" s="275"/>
      <c r="O3" s="275"/>
    </row>
    <row r="4" spans="1:36" s="246" customFormat="1" ht="6" customHeight="1" thickBot="1">
      <c r="A4" s="68"/>
      <c r="B4" s="67"/>
      <c r="C4" s="67"/>
      <c r="D4" s="67"/>
      <c r="E4" s="67"/>
      <c r="F4" s="67"/>
      <c r="G4" s="67"/>
      <c r="H4" s="68"/>
      <c r="I4" s="68"/>
      <c r="J4" s="69"/>
      <c r="K4" s="69"/>
      <c r="L4" s="68"/>
      <c r="M4" s="68"/>
      <c r="N4" s="68"/>
      <c r="O4" s="68"/>
      <c r="P4" s="68"/>
      <c r="Q4" s="68"/>
      <c r="R4" s="68"/>
      <c r="S4" s="68"/>
      <c r="T4" s="68"/>
      <c r="U4" s="68"/>
      <c r="V4" s="68"/>
      <c r="W4" s="68"/>
      <c r="X4" s="68"/>
      <c r="Y4" s="68"/>
      <c r="Z4" s="68"/>
      <c r="AA4" s="68"/>
      <c r="AB4" s="68"/>
      <c r="AC4" s="68"/>
      <c r="AD4" s="68"/>
      <c r="AE4" s="68"/>
      <c r="AF4" s="68"/>
      <c r="AG4" s="68"/>
    </row>
    <row r="5" spans="1:36" s="69" customFormat="1" ht="18" customHeight="1">
      <c r="A5" s="337"/>
      <c r="B5" s="1854" t="s">
        <v>851</v>
      </c>
      <c r="C5" s="1855"/>
      <c r="D5" s="1855"/>
      <c r="E5" s="1856"/>
      <c r="F5" s="1857" t="s">
        <v>852</v>
      </c>
      <c r="G5" s="1858"/>
      <c r="H5" s="1859" t="s">
        <v>853</v>
      </c>
      <c r="I5" s="1860"/>
      <c r="J5" s="1860"/>
      <c r="K5" s="718" t="s">
        <v>854</v>
      </c>
      <c r="L5" s="1860" t="s">
        <v>855</v>
      </c>
      <c r="M5" s="1860"/>
      <c r="N5" s="1860"/>
      <c r="O5" s="1861" t="s">
        <v>856</v>
      </c>
      <c r="P5" s="1857"/>
      <c r="Q5" s="1857"/>
      <c r="R5" s="1858"/>
      <c r="S5" s="1848" t="s">
        <v>857</v>
      </c>
      <c r="T5" s="1862"/>
      <c r="U5" s="1862"/>
      <c r="V5" s="1846" t="s">
        <v>858</v>
      </c>
      <c r="W5" s="1847"/>
      <c r="X5" s="719">
        <v>0.93</v>
      </c>
      <c r="Y5" s="1846" t="s">
        <v>859</v>
      </c>
      <c r="Z5" s="1847"/>
      <c r="AA5" s="719">
        <v>0.86</v>
      </c>
      <c r="AB5" s="1863" t="s">
        <v>860</v>
      </c>
      <c r="AC5" s="1847"/>
      <c r="AD5" s="720">
        <v>0.83</v>
      </c>
      <c r="AE5" s="1846" t="s">
        <v>861</v>
      </c>
      <c r="AF5" s="1847"/>
      <c r="AG5" s="719">
        <v>0.75</v>
      </c>
      <c r="AH5" s="1848" t="s">
        <v>862</v>
      </c>
      <c r="AI5" s="1849"/>
      <c r="AJ5" s="719">
        <v>0.7</v>
      </c>
    </row>
    <row r="6" spans="1:36" s="69" customFormat="1" ht="24.95" customHeight="1" thickBot="1">
      <c r="A6" s="337"/>
      <c r="B6" s="960" t="s">
        <v>863</v>
      </c>
      <c r="C6" s="961" t="s">
        <v>864</v>
      </c>
      <c r="D6" s="961" t="s">
        <v>865</v>
      </c>
      <c r="E6" s="721" t="s">
        <v>866</v>
      </c>
      <c r="F6" s="722" t="s">
        <v>867</v>
      </c>
      <c r="G6" s="721" t="s">
        <v>866</v>
      </c>
      <c r="H6" s="723" t="s">
        <v>868</v>
      </c>
      <c r="I6" s="724" t="s">
        <v>869</v>
      </c>
      <c r="J6" s="724" t="s">
        <v>870</v>
      </c>
      <c r="K6" s="455">
        <v>4.5</v>
      </c>
      <c r="L6" s="725" t="s">
        <v>871</v>
      </c>
      <c r="M6" s="726" t="s">
        <v>872</v>
      </c>
      <c r="N6" s="727" t="s">
        <v>873</v>
      </c>
      <c r="O6" s="725" t="s">
        <v>874</v>
      </c>
      <c r="P6" s="726" t="s">
        <v>875</v>
      </c>
      <c r="Q6" s="726" t="s">
        <v>873</v>
      </c>
      <c r="R6" s="727" t="s">
        <v>876</v>
      </c>
      <c r="S6" s="966" t="s">
        <v>874</v>
      </c>
      <c r="T6" s="967" t="s">
        <v>877</v>
      </c>
      <c r="U6" s="968" t="s">
        <v>878</v>
      </c>
      <c r="V6" s="966" t="s">
        <v>874</v>
      </c>
      <c r="W6" s="967" t="s">
        <v>877</v>
      </c>
      <c r="X6" s="968" t="s">
        <v>878</v>
      </c>
      <c r="Y6" s="966" t="s">
        <v>874</v>
      </c>
      <c r="Z6" s="967" t="s">
        <v>877</v>
      </c>
      <c r="AA6" s="968" t="s">
        <v>878</v>
      </c>
      <c r="AB6" s="966" t="s">
        <v>874</v>
      </c>
      <c r="AC6" s="967" t="s">
        <v>877</v>
      </c>
      <c r="AD6" s="968" t="s">
        <v>878</v>
      </c>
      <c r="AE6" s="966" t="s">
        <v>874</v>
      </c>
      <c r="AF6" s="967" t="s">
        <v>877</v>
      </c>
      <c r="AG6" s="968" t="s">
        <v>878</v>
      </c>
      <c r="AH6" s="966" t="s">
        <v>874</v>
      </c>
      <c r="AI6" s="967" t="s">
        <v>877</v>
      </c>
      <c r="AJ6" s="968" t="s">
        <v>878</v>
      </c>
    </row>
    <row r="7" spans="1:36" s="69" customFormat="1" ht="18" customHeight="1">
      <c r="A7" s="337"/>
      <c r="B7" s="1850" t="s">
        <v>879</v>
      </c>
      <c r="C7" s="1851"/>
      <c r="D7" s="1851"/>
      <c r="E7" s="1852"/>
      <c r="F7" s="1843">
        <v>12</v>
      </c>
      <c r="G7" s="1840">
        <v>36</v>
      </c>
      <c r="H7" s="1815">
        <v>1000</v>
      </c>
      <c r="I7" s="1834">
        <f>H7*C8</f>
        <v>700</v>
      </c>
      <c r="J7" s="1834">
        <f>H7*D8</f>
        <v>560</v>
      </c>
      <c r="K7" s="1853">
        <f>I7*K6</f>
        <v>3150</v>
      </c>
      <c r="L7" s="1845">
        <f>J7*21%</f>
        <v>117.6</v>
      </c>
      <c r="M7" s="1841">
        <f>L7*12</f>
        <v>1411.1999999999998</v>
      </c>
      <c r="N7" s="1842">
        <f>(F7-12)*L7</f>
        <v>0</v>
      </c>
      <c r="O7" s="1843">
        <f>H7*E8</f>
        <v>32</v>
      </c>
      <c r="P7" s="1844">
        <f>O7*7</f>
        <v>224</v>
      </c>
      <c r="Q7" s="1813">
        <f>O7*17</f>
        <v>544</v>
      </c>
      <c r="R7" s="1843">
        <f>O7*12</f>
        <v>384</v>
      </c>
      <c r="S7" s="728">
        <f>K7+L7</f>
        <v>3267.6</v>
      </c>
      <c r="T7" s="729">
        <f>K7+M7+P7</f>
        <v>4785.2</v>
      </c>
      <c r="U7" s="730">
        <f>K7+M7+N7+P7+Q7+R7</f>
        <v>5713.2</v>
      </c>
      <c r="V7" s="728">
        <f>S7*$X$5</f>
        <v>3038.8679999999999</v>
      </c>
      <c r="W7" s="729">
        <f>T7*$X$5</f>
        <v>4450.2359999999999</v>
      </c>
      <c r="X7" s="731">
        <f>U7*$X$5</f>
        <v>5313.2759999999998</v>
      </c>
      <c r="Y7" s="732">
        <f>S7*$AA$5</f>
        <v>2810.136</v>
      </c>
      <c r="Z7" s="733">
        <f>T7*$AA$5</f>
        <v>4115.2719999999999</v>
      </c>
      <c r="AA7" s="734">
        <f>U7*$AA$5</f>
        <v>4913.3519999999999</v>
      </c>
      <c r="AB7" s="735">
        <f>S7*$AD$5</f>
        <v>2712.1079999999997</v>
      </c>
      <c r="AC7" s="729">
        <f>T7*$AD$5</f>
        <v>3971.7159999999994</v>
      </c>
      <c r="AD7" s="730">
        <f>U7*$AD$5</f>
        <v>4741.9559999999992</v>
      </c>
      <c r="AE7" s="728">
        <f>S7*$AG$5</f>
        <v>2450.6999999999998</v>
      </c>
      <c r="AF7" s="729">
        <f>T7*$AG$5</f>
        <v>3588.8999999999996</v>
      </c>
      <c r="AG7" s="731">
        <f>U7*$AG$5</f>
        <v>4284.8999999999996</v>
      </c>
      <c r="AH7" s="728">
        <f>S7*$AJ$5</f>
        <v>2287.3199999999997</v>
      </c>
      <c r="AI7" s="730">
        <f>T7*$AJ$5</f>
        <v>3349.64</v>
      </c>
      <c r="AJ7" s="731">
        <f>U7*$AJ$5</f>
        <v>3999.24</v>
      </c>
    </row>
    <row r="8" spans="1:36" s="69" customFormat="1" ht="18" customHeight="1">
      <c r="A8" s="337"/>
      <c r="B8" s="736" t="s">
        <v>880</v>
      </c>
      <c r="C8" s="737">
        <v>0.7</v>
      </c>
      <c r="D8" s="737">
        <v>0.56000000000000005</v>
      </c>
      <c r="E8" s="361">
        <v>3.2000000000000001E-2</v>
      </c>
      <c r="F8" s="1816"/>
      <c r="G8" s="1826"/>
      <c r="H8" s="1842"/>
      <c r="I8" s="1828"/>
      <c r="J8" s="1828"/>
      <c r="K8" s="1834"/>
      <c r="L8" s="1845"/>
      <c r="M8" s="1841"/>
      <c r="N8" s="1842"/>
      <c r="O8" s="1816"/>
      <c r="P8" s="1844"/>
      <c r="Q8" s="1819"/>
      <c r="R8" s="1816"/>
      <c r="S8" s="301">
        <f>S7/H7</f>
        <v>3.2675999999999998</v>
      </c>
      <c r="T8" s="302">
        <f>T7/H7</f>
        <v>4.7851999999999997</v>
      </c>
      <c r="U8" s="303">
        <f>U7/H7</f>
        <v>5.7131999999999996</v>
      </c>
      <c r="V8" s="738">
        <f>V7/H7</f>
        <v>3.0388679999999999</v>
      </c>
      <c r="W8" s="739">
        <f>W7/H7</f>
        <v>4.4502360000000003</v>
      </c>
      <c r="X8" s="740">
        <f>X7/H7</f>
        <v>5.3132760000000001</v>
      </c>
      <c r="Y8" s="738">
        <f>Y7/H7</f>
        <v>2.810136</v>
      </c>
      <c r="Z8" s="739">
        <f>Z7/H7</f>
        <v>4.115272</v>
      </c>
      <c r="AA8" s="740">
        <f>AA7/H7</f>
        <v>4.9133519999999997</v>
      </c>
      <c r="AB8" s="741">
        <f>AB7/H7</f>
        <v>2.7121079999999997</v>
      </c>
      <c r="AC8" s="739">
        <f>AC7/H7</f>
        <v>3.9717159999999994</v>
      </c>
      <c r="AD8" s="742">
        <f>AD7/H7</f>
        <v>4.7419559999999992</v>
      </c>
      <c r="AE8" s="738">
        <f>AE7/H7</f>
        <v>2.4506999999999999</v>
      </c>
      <c r="AF8" s="739">
        <f>AF7/H7</f>
        <v>3.5888999999999998</v>
      </c>
      <c r="AG8" s="740">
        <f>AG7/H7</f>
        <v>4.2848999999999995</v>
      </c>
      <c r="AH8" s="738">
        <f>AH7/H7</f>
        <v>2.2873199999999998</v>
      </c>
      <c r="AI8" s="742">
        <f>AI7/H7</f>
        <v>3.34964</v>
      </c>
      <c r="AJ8" s="740">
        <f>AJ7/H7</f>
        <v>3.9992399999999999</v>
      </c>
    </row>
    <row r="9" spans="1:36" s="69" customFormat="1" ht="18" customHeight="1">
      <c r="A9" s="337"/>
      <c r="B9" s="1823" t="s">
        <v>881</v>
      </c>
      <c r="C9" s="1824"/>
      <c r="D9" s="1824"/>
      <c r="E9" s="1825"/>
      <c r="F9" s="1816">
        <v>12</v>
      </c>
      <c r="G9" s="1826">
        <v>36</v>
      </c>
      <c r="H9" s="1842">
        <v>1000</v>
      </c>
      <c r="I9" s="1828">
        <f>H9*C10</f>
        <v>700</v>
      </c>
      <c r="J9" s="1828">
        <f>H9*D10</f>
        <v>630</v>
      </c>
      <c r="K9" s="1833">
        <f>I9*K6</f>
        <v>3150</v>
      </c>
      <c r="L9" s="1831">
        <f>J9*21%</f>
        <v>132.29999999999998</v>
      </c>
      <c r="M9" s="1812">
        <f>L9*12</f>
        <v>1587.6</v>
      </c>
      <c r="N9" s="1842">
        <f>(F9-12)*L9</f>
        <v>0</v>
      </c>
      <c r="O9" s="1843">
        <f>H9*E10</f>
        <v>32</v>
      </c>
      <c r="P9" s="1817">
        <f>O9*7</f>
        <v>224</v>
      </c>
      <c r="Q9" s="1813">
        <f>O9*17</f>
        <v>544</v>
      </c>
      <c r="R9" s="1816">
        <f>O9*12</f>
        <v>384</v>
      </c>
      <c r="S9" s="728">
        <f>K9+L9</f>
        <v>3282.3</v>
      </c>
      <c r="T9" s="729">
        <f>K9+M9+P9</f>
        <v>4961.6000000000004</v>
      </c>
      <c r="U9" s="730">
        <f>K9+M9+N9+P9+Q9+R9</f>
        <v>5889.6</v>
      </c>
      <c r="V9" s="743">
        <f>S9*$X$5</f>
        <v>3052.5390000000002</v>
      </c>
      <c r="W9" s="744">
        <f>T9*$X$5</f>
        <v>4614.2880000000005</v>
      </c>
      <c r="X9" s="745">
        <f>U9*$X$5</f>
        <v>5477.3280000000004</v>
      </c>
      <c r="Y9" s="728">
        <f t="shared" ref="Y9:AA9" si="0">S9*$AA$5</f>
        <v>2822.7780000000002</v>
      </c>
      <c r="Z9" s="729">
        <f t="shared" si="0"/>
        <v>4266.9760000000006</v>
      </c>
      <c r="AA9" s="731">
        <f t="shared" si="0"/>
        <v>5065.0560000000005</v>
      </c>
      <c r="AB9" s="746">
        <f>S9*$AD$5</f>
        <v>2724.3090000000002</v>
      </c>
      <c r="AC9" s="729">
        <f>T9*$AD$5</f>
        <v>4118.1279999999997</v>
      </c>
      <c r="AD9" s="747">
        <f>U9*$AD$5</f>
        <v>4888.3680000000004</v>
      </c>
      <c r="AE9" s="743">
        <f>S9*$AG$5</f>
        <v>2461.7250000000004</v>
      </c>
      <c r="AF9" s="729">
        <f>T9*$AG$5</f>
        <v>3721.2000000000003</v>
      </c>
      <c r="AG9" s="745">
        <f>U9*$AG$5</f>
        <v>4417.2000000000007</v>
      </c>
      <c r="AH9" s="743">
        <f>S9*$AJ$5</f>
        <v>2297.61</v>
      </c>
      <c r="AI9" s="730">
        <f>T9*$AJ$5</f>
        <v>3473.12</v>
      </c>
      <c r="AJ9" s="745">
        <f>U9*$AJ$5</f>
        <v>4122.72</v>
      </c>
    </row>
    <row r="10" spans="1:36" s="69" customFormat="1" ht="18" customHeight="1">
      <c r="A10" s="337"/>
      <c r="B10" s="736" t="s">
        <v>880</v>
      </c>
      <c r="C10" s="737">
        <v>0.7</v>
      </c>
      <c r="D10" s="737">
        <v>0.63</v>
      </c>
      <c r="E10" s="361">
        <v>3.2000000000000001E-2</v>
      </c>
      <c r="F10" s="1816"/>
      <c r="G10" s="1826"/>
      <c r="H10" s="1842"/>
      <c r="I10" s="1828"/>
      <c r="J10" s="1828"/>
      <c r="K10" s="1834"/>
      <c r="L10" s="1845"/>
      <c r="M10" s="1841"/>
      <c r="N10" s="1842"/>
      <c r="O10" s="1816"/>
      <c r="P10" s="1818"/>
      <c r="Q10" s="1819"/>
      <c r="R10" s="1816"/>
      <c r="S10" s="301">
        <f>S9/H9</f>
        <v>3.2823000000000002</v>
      </c>
      <c r="T10" s="302">
        <f>T9/H9</f>
        <v>4.9616000000000007</v>
      </c>
      <c r="U10" s="303">
        <f>U9/H9</f>
        <v>5.8896000000000006</v>
      </c>
      <c r="V10" s="738">
        <f>V9/H9</f>
        <v>3.0525390000000003</v>
      </c>
      <c r="W10" s="739">
        <f>W9/H9</f>
        <v>4.6142880000000002</v>
      </c>
      <c r="X10" s="740">
        <f>X9/H9</f>
        <v>5.4773280000000009</v>
      </c>
      <c r="Y10" s="738">
        <f t="shared" ref="Y10" si="1">Y9/H9</f>
        <v>2.8227780000000005</v>
      </c>
      <c r="Z10" s="739">
        <f t="shared" ref="Z10" si="2">Z9/H9</f>
        <v>4.2669760000000005</v>
      </c>
      <c r="AA10" s="740">
        <f t="shared" ref="AA10" si="3">AA9/H9</f>
        <v>5.0650560000000002</v>
      </c>
      <c r="AB10" s="741">
        <f>AB9/H9</f>
        <v>2.7243090000000003</v>
      </c>
      <c r="AC10" s="739">
        <f>AC9/H9</f>
        <v>4.1181279999999996</v>
      </c>
      <c r="AD10" s="742">
        <f>AD9/H9</f>
        <v>4.8883680000000007</v>
      </c>
      <c r="AE10" s="738">
        <f>AE9/H9</f>
        <v>2.4617250000000004</v>
      </c>
      <c r="AF10" s="739">
        <f>AF9/H9</f>
        <v>3.7212000000000001</v>
      </c>
      <c r="AG10" s="740">
        <f>AG9/H9</f>
        <v>4.4172000000000011</v>
      </c>
      <c r="AH10" s="738">
        <f>AH9/H9</f>
        <v>2.2976100000000002</v>
      </c>
      <c r="AI10" s="742">
        <f>AI9/H9</f>
        <v>3.4731199999999998</v>
      </c>
      <c r="AJ10" s="740">
        <f>AJ9/H9</f>
        <v>4.1227200000000002</v>
      </c>
    </row>
    <row r="11" spans="1:36" s="69" customFormat="1" ht="18" customHeight="1">
      <c r="A11" s="337"/>
      <c r="B11" s="1823" t="s">
        <v>882</v>
      </c>
      <c r="C11" s="1824"/>
      <c r="D11" s="1824"/>
      <c r="E11" s="1825"/>
      <c r="F11" s="1816">
        <v>18</v>
      </c>
      <c r="G11" s="1826" t="s">
        <v>883</v>
      </c>
      <c r="H11" s="1842">
        <v>1000</v>
      </c>
      <c r="I11" s="1828">
        <f>H11*C12</f>
        <v>1600</v>
      </c>
      <c r="J11" s="1828">
        <f>H11*D12</f>
        <v>1500</v>
      </c>
      <c r="K11" s="1833">
        <f>I11*K6</f>
        <v>7200</v>
      </c>
      <c r="L11" s="1831">
        <f>J11*23%</f>
        <v>345</v>
      </c>
      <c r="M11" s="1812">
        <f>L11*12</f>
        <v>4140</v>
      </c>
      <c r="N11" s="1842">
        <f>(F11-12)*L11</f>
        <v>2070</v>
      </c>
      <c r="O11" s="1843"/>
      <c r="P11" s="1817"/>
      <c r="Q11" s="1819"/>
      <c r="R11" s="1816"/>
      <c r="S11" s="728">
        <f>K11+L11</f>
        <v>7545</v>
      </c>
      <c r="T11" s="729">
        <f>K11+M11+P11</f>
        <v>11340</v>
      </c>
      <c r="U11" s="730">
        <f>K11+M11+N11+P11+Q11+R11</f>
        <v>13410</v>
      </c>
      <c r="V11" s="743">
        <f>S11*$X$5</f>
        <v>7016.85</v>
      </c>
      <c r="W11" s="744">
        <f>T11*$X$5</f>
        <v>10546.2</v>
      </c>
      <c r="X11" s="745">
        <f>U11*$X$5</f>
        <v>12471.300000000001</v>
      </c>
      <c r="Y11" s="728">
        <f t="shared" ref="Y11:AA11" si="4">S11*$AA$5</f>
        <v>6488.7</v>
      </c>
      <c r="Z11" s="729">
        <f t="shared" si="4"/>
        <v>9752.4</v>
      </c>
      <c r="AA11" s="731">
        <f t="shared" si="4"/>
        <v>11532.6</v>
      </c>
      <c r="AB11" s="746">
        <f>S11*$AD$5</f>
        <v>6262.3499999999995</v>
      </c>
      <c r="AC11" s="729">
        <f>T11*$AD$5</f>
        <v>9412.1999999999989</v>
      </c>
      <c r="AD11" s="747">
        <f>U11*$AD$5</f>
        <v>11130.3</v>
      </c>
      <c r="AE11" s="743">
        <f>S11*$AG$5</f>
        <v>5658.75</v>
      </c>
      <c r="AF11" s="729">
        <f>T11*$AG$5</f>
        <v>8505</v>
      </c>
      <c r="AG11" s="745">
        <f>U11*$AG$5</f>
        <v>10057.5</v>
      </c>
      <c r="AH11" s="743">
        <f>S11*$AJ$5</f>
        <v>5281.5</v>
      </c>
      <c r="AI11" s="730">
        <f>T11*$AJ$5</f>
        <v>7937.9999999999991</v>
      </c>
      <c r="AJ11" s="745">
        <f>U11*$AJ$5</f>
        <v>9387</v>
      </c>
    </row>
    <row r="12" spans="1:36" s="69" customFormat="1" ht="18" customHeight="1">
      <c r="A12" s="337"/>
      <c r="B12" s="736" t="s">
        <v>884</v>
      </c>
      <c r="C12" s="737">
        <v>1.6</v>
      </c>
      <c r="D12" s="737">
        <v>1.5</v>
      </c>
      <c r="E12" s="361" t="s">
        <v>847</v>
      </c>
      <c r="F12" s="1816"/>
      <c r="G12" s="1826"/>
      <c r="H12" s="1842"/>
      <c r="I12" s="1828"/>
      <c r="J12" s="1828"/>
      <c r="K12" s="1834"/>
      <c r="L12" s="1845"/>
      <c r="M12" s="1841"/>
      <c r="N12" s="1842"/>
      <c r="O12" s="1816"/>
      <c r="P12" s="1818"/>
      <c r="Q12" s="1819"/>
      <c r="R12" s="1816"/>
      <c r="S12" s="301">
        <f>S11/H11</f>
        <v>7.5449999999999999</v>
      </c>
      <c r="T12" s="302">
        <f>T11/H11</f>
        <v>11.34</v>
      </c>
      <c r="U12" s="303">
        <f>U11/H11</f>
        <v>13.41</v>
      </c>
      <c r="V12" s="738">
        <f>V11/H11</f>
        <v>7.0168500000000007</v>
      </c>
      <c r="W12" s="739">
        <f>W11/H11</f>
        <v>10.546200000000001</v>
      </c>
      <c r="X12" s="740">
        <f>X11/H11</f>
        <v>12.471300000000001</v>
      </c>
      <c r="Y12" s="738">
        <f t="shared" ref="Y12" si="5">Y11/H11</f>
        <v>6.4886999999999997</v>
      </c>
      <c r="Z12" s="739">
        <f t="shared" ref="Z12" si="6">Z11/H11</f>
        <v>9.7523999999999997</v>
      </c>
      <c r="AA12" s="740">
        <f t="shared" ref="AA12" si="7">AA11/H11</f>
        <v>11.5326</v>
      </c>
      <c r="AB12" s="741">
        <f>AB11/H11</f>
        <v>6.2623499999999996</v>
      </c>
      <c r="AC12" s="739">
        <f>AC11/H11</f>
        <v>9.4121999999999986</v>
      </c>
      <c r="AD12" s="742">
        <f>AD11/H11</f>
        <v>11.1303</v>
      </c>
      <c r="AE12" s="738">
        <f>AE11/H11</f>
        <v>5.6587500000000004</v>
      </c>
      <c r="AF12" s="739">
        <f>AF11/H11</f>
        <v>8.5050000000000008</v>
      </c>
      <c r="AG12" s="740">
        <f>AG11/H11</f>
        <v>10.057499999999999</v>
      </c>
      <c r="AH12" s="738">
        <f>AH11/H11</f>
        <v>5.2815000000000003</v>
      </c>
      <c r="AI12" s="742">
        <f>AI11/H11</f>
        <v>7.9379999999999988</v>
      </c>
      <c r="AJ12" s="740">
        <f>AJ11/H11</f>
        <v>9.3870000000000005</v>
      </c>
    </row>
    <row r="13" spans="1:36" s="69" customFormat="1" ht="18" customHeight="1">
      <c r="A13" s="337"/>
      <c r="B13" s="1823" t="s">
        <v>885</v>
      </c>
      <c r="C13" s="1824"/>
      <c r="D13" s="1824"/>
      <c r="E13" s="1825"/>
      <c r="F13" s="1816">
        <v>12</v>
      </c>
      <c r="G13" s="1826">
        <v>36</v>
      </c>
      <c r="H13" s="1842">
        <v>1000</v>
      </c>
      <c r="I13" s="1828">
        <f>H13*C14</f>
        <v>650</v>
      </c>
      <c r="J13" s="1828">
        <f>H13*D14</f>
        <v>550</v>
      </c>
      <c r="K13" s="1833">
        <f>I13*K6</f>
        <v>2925</v>
      </c>
      <c r="L13" s="1831">
        <f>J13*19%</f>
        <v>104.5</v>
      </c>
      <c r="M13" s="1812">
        <f>L13*12</f>
        <v>1254</v>
      </c>
      <c r="N13" s="1842">
        <f>(F13-12)*L13</f>
        <v>0</v>
      </c>
      <c r="O13" s="1843">
        <f>H13*E14</f>
        <v>35</v>
      </c>
      <c r="P13" s="1817">
        <f>O13*7</f>
        <v>245</v>
      </c>
      <c r="Q13" s="1813">
        <f>O13*17</f>
        <v>595</v>
      </c>
      <c r="R13" s="1816">
        <f>O13*12</f>
        <v>420</v>
      </c>
      <c r="S13" s="728">
        <f>K13+L13</f>
        <v>3029.5</v>
      </c>
      <c r="T13" s="729">
        <f>K13+M13+P13</f>
        <v>4424</v>
      </c>
      <c r="U13" s="730">
        <f>K13+M13+N13+P13+Q13+R13</f>
        <v>5439</v>
      </c>
      <c r="V13" s="743">
        <f>S13*$X$5</f>
        <v>2817.4349999999999</v>
      </c>
      <c r="W13" s="744">
        <f>T13*$X$5</f>
        <v>4114.3200000000006</v>
      </c>
      <c r="X13" s="745">
        <f>U13*$X$5</f>
        <v>5058.2700000000004</v>
      </c>
      <c r="Y13" s="728">
        <f>S13*$AA$5</f>
        <v>2605.37</v>
      </c>
      <c r="Z13" s="729">
        <f t="shared" ref="Z13:AA13" si="8">T13*$AA$5</f>
        <v>3804.64</v>
      </c>
      <c r="AA13" s="731">
        <f t="shared" si="8"/>
        <v>4677.54</v>
      </c>
      <c r="AB13" s="746">
        <f>S13*$AD$5</f>
        <v>2514.4849999999997</v>
      </c>
      <c r="AC13" s="729">
        <f>T13*$AD$5</f>
        <v>3671.9199999999996</v>
      </c>
      <c r="AD13" s="747">
        <f>U13*$AD$5</f>
        <v>4514.37</v>
      </c>
      <c r="AE13" s="743">
        <f>S13*$AG$5</f>
        <v>2272.125</v>
      </c>
      <c r="AF13" s="729">
        <f>T13*$AG$5</f>
        <v>3318</v>
      </c>
      <c r="AG13" s="745">
        <f>U13*$AG$5</f>
        <v>4079.25</v>
      </c>
      <c r="AH13" s="743">
        <f>S13*$AJ$5</f>
        <v>2120.65</v>
      </c>
      <c r="AI13" s="730">
        <f>T13*$AJ$5</f>
        <v>3096.7999999999997</v>
      </c>
      <c r="AJ13" s="745">
        <f>U13*$AJ$5</f>
        <v>3807.2999999999997</v>
      </c>
    </row>
    <row r="14" spans="1:36" s="69" customFormat="1" ht="18" customHeight="1">
      <c r="A14" s="337"/>
      <c r="B14" s="736" t="s">
        <v>886</v>
      </c>
      <c r="C14" s="737">
        <v>0.65</v>
      </c>
      <c r="D14" s="737">
        <v>0.55000000000000004</v>
      </c>
      <c r="E14" s="361">
        <v>3.5000000000000003E-2</v>
      </c>
      <c r="F14" s="1816"/>
      <c r="G14" s="1826"/>
      <c r="H14" s="1842"/>
      <c r="I14" s="1828"/>
      <c r="J14" s="1828"/>
      <c r="K14" s="1834"/>
      <c r="L14" s="1832"/>
      <c r="M14" s="1841"/>
      <c r="N14" s="1842"/>
      <c r="O14" s="1816"/>
      <c r="P14" s="1818"/>
      <c r="Q14" s="1819"/>
      <c r="R14" s="1816"/>
      <c r="S14" s="301">
        <f>S13/H13</f>
        <v>3.0295000000000001</v>
      </c>
      <c r="T14" s="302">
        <f>T13/H13</f>
        <v>4.4240000000000004</v>
      </c>
      <c r="U14" s="303">
        <f>U13/H13</f>
        <v>5.4390000000000001</v>
      </c>
      <c r="V14" s="738">
        <f>V13/H13</f>
        <v>2.8174350000000001</v>
      </c>
      <c r="W14" s="739">
        <f>W13/H13</f>
        <v>4.1143200000000002</v>
      </c>
      <c r="X14" s="740">
        <f>X13/H13</f>
        <v>5.0582700000000003</v>
      </c>
      <c r="Y14" s="738">
        <f t="shared" ref="Y14" si="9">Y13/H13</f>
        <v>2.6053699999999997</v>
      </c>
      <c r="Z14" s="739">
        <f t="shared" ref="Z14" si="10">Z13/H13</f>
        <v>3.80464</v>
      </c>
      <c r="AA14" s="740">
        <f t="shared" ref="AA14" si="11">AA13/H13</f>
        <v>4.6775399999999996</v>
      </c>
      <c r="AB14" s="741">
        <f>AB13/H13</f>
        <v>2.5144849999999996</v>
      </c>
      <c r="AC14" s="739">
        <f>AC13/H13</f>
        <v>3.6719199999999996</v>
      </c>
      <c r="AD14" s="742">
        <f>AD13/H13</f>
        <v>4.5143699999999995</v>
      </c>
      <c r="AE14" s="738">
        <f>AE13/H13</f>
        <v>2.272125</v>
      </c>
      <c r="AF14" s="739">
        <f>AF13/H13</f>
        <v>3.3180000000000001</v>
      </c>
      <c r="AG14" s="740">
        <f>AG13/H13</f>
        <v>4.07925</v>
      </c>
      <c r="AH14" s="738">
        <f>AH13/H13</f>
        <v>2.1206499999999999</v>
      </c>
      <c r="AI14" s="742">
        <f>AI13/H13</f>
        <v>3.0967999999999996</v>
      </c>
      <c r="AJ14" s="740">
        <f>AJ13/H13</f>
        <v>3.8072999999999997</v>
      </c>
    </row>
    <row r="15" spans="1:36" s="69" customFormat="1" ht="18" customHeight="1">
      <c r="A15" s="337"/>
      <c r="B15" s="1823" t="s">
        <v>887</v>
      </c>
      <c r="C15" s="1824"/>
      <c r="D15" s="1824"/>
      <c r="E15" s="1825"/>
      <c r="F15" s="1816">
        <v>12</v>
      </c>
      <c r="G15" s="1826" t="s">
        <v>888</v>
      </c>
      <c r="H15" s="1842">
        <v>1000</v>
      </c>
      <c r="I15" s="1828">
        <f>H15*C16</f>
        <v>1400</v>
      </c>
      <c r="J15" s="1828">
        <f>H15*D16</f>
        <v>1300</v>
      </c>
      <c r="K15" s="1833">
        <f>I15*K6</f>
        <v>6300</v>
      </c>
      <c r="L15" s="1831">
        <f>J15*21%</f>
        <v>273</v>
      </c>
      <c r="M15" s="1812">
        <f>L15*12</f>
        <v>3276</v>
      </c>
      <c r="N15" s="1842">
        <f>(F15-12)*L15</f>
        <v>0</v>
      </c>
      <c r="O15" s="1843"/>
      <c r="P15" s="1844"/>
      <c r="Q15" s="1813"/>
      <c r="R15" s="1816"/>
      <c r="S15" s="728">
        <f>K15+L15</f>
        <v>6573</v>
      </c>
      <c r="T15" s="729">
        <f>K15+M15+P15</f>
        <v>9576</v>
      </c>
      <c r="U15" s="730">
        <f>K15+M15+N15+P15+Q15+R15</f>
        <v>9576</v>
      </c>
      <c r="V15" s="743">
        <f>S15*$X$5</f>
        <v>6112.89</v>
      </c>
      <c r="W15" s="744">
        <f>T15*$X$5</f>
        <v>8905.68</v>
      </c>
      <c r="X15" s="745">
        <f>U15*$X$5</f>
        <v>8905.68</v>
      </c>
      <c r="Y15" s="728">
        <f t="shared" ref="Y15:AA15" si="12">S15*$AA$5</f>
        <v>5652.78</v>
      </c>
      <c r="Z15" s="729">
        <f t="shared" si="12"/>
        <v>8235.36</v>
      </c>
      <c r="AA15" s="731">
        <f t="shared" si="12"/>
        <v>8235.36</v>
      </c>
      <c r="AB15" s="746">
        <f>S15*$AD$5</f>
        <v>5455.59</v>
      </c>
      <c r="AC15" s="729">
        <f>T15*$AD$5</f>
        <v>7948.08</v>
      </c>
      <c r="AD15" s="747">
        <f>U15*$AD$5</f>
        <v>7948.08</v>
      </c>
      <c r="AE15" s="743">
        <f>S15*$AG$5</f>
        <v>4929.75</v>
      </c>
      <c r="AF15" s="729">
        <f>T15*$AG$5</f>
        <v>7182</v>
      </c>
      <c r="AG15" s="745">
        <f>U15*$AG$5</f>
        <v>7182</v>
      </c>
      <c r="AH15" s="743">
        <f>S15*$AJ$5</f>
        <v>4601.0999999999995</v>
      </c>
      <c r="AI15" s="730">
        <f>T15*$AJ$5</f>
        <v>6703.2</v>
      </c>
      <c r="AJ15" s="745">
        <f>U15*$AJ$5</f>
        <v>6703.2</v>
      </c>
    </row>
    <row r="16" spans="1:36" s="69" customFormat="1" ht="18" customHeight="1">
      <c r="A16" s="337"/>
      <c r="B16" s="736" t="s">
        <v>884</v>
      </c>
      <c r="C16" s="737">
        <v>1.4</v>
      </c>
      <c r="D16" s="737">
        <v>1.3</v>
      </c>
      <c r="E16" s="361" t="s">
        <v>888</v>
      </c>
      <c r="F16" s="1816"/>
      <c r="G16" s="1826"/>
      <c r="H16" s="1842"/>
      <c r="I16" s="1828"/>
      <c r="J16" s="1828"/>
      <c r="K16" s="1834"/>
      <c r="L16" s="1832"/>
      <c r="M16" s="1841"/>
      <c r="N16" s="1842"/>
      <c r="O16" s="1816"/>
      <c r="P16" s="1844"/>
      <c r="Q16" s="1819"/>
      <c r="R16" s="1816"/>
      <c r="S16" s="301">
        <f>S15/H15</f>
        <v>6.5730000000000004</v>
      </c>
      <c r="T16" s="302">
        <f>T15/H15</f>
        <v>9.5760000000000005</v>
      </c>
      <c r="U16" s="303">
        <f>U15/H15</f>
        <v>9.5760000000000005</v>
      </c>
      <c r="V16" s="738">
        <f>V15/H15</f>
        <v>6.1128900000000002</v>
      </c>
      <c r="W16" s="739">
        <f>W15/H15</f>
        <v>8.9056800000000003</v>
      </c>
      <c r="X16" s="740">
        <f>X15/H15</f>
        <v>8.9056800000000003</v>
      </c>
      <c r="Y16" s="738">
        <f t="shared" ref="Y16" si="13">Y15/H15</f>
        <v>5.6527799999999999</v>
      </c>
      <c r="Z16" s="739">
        <f t="shared" ref="Z16" si="14">Z15/H15</f>
        <v>8.23536</v>
      </c>
      <c r="AA16" s="740">
        <f t="shared" ref="AA16" si="15">AA15/H15</f>
        <v>8.23536</v>
      </c>
      <c r="AB16" s="741">
        <f>AB15/H15</f>
        <v>5.4555899999999999</v>
      </c>
      <c r="AC16" s="739">
        <f>AC15/H15</f>
        <v>7.94808</v>
      </c>
      <c r="AD16" s="742">
        <f>AD15/H15</f>
        <v>7.94808</v>
      </c>
      <c r="AE16" s="738">
        <f>AE15/H15</f>
        <v>4.9297500000000003</v>
      </c>
      <c r="AF16" s="739">
        <f>AF15/H15</f>
        <v>7.1820000000000004</v>
      </c>
      <c r="AG16" s="740">
        <f>AG15/H15</f>
        <v>7.1820000000000004</v>
      </c>
      <c r="AH16" s="738">
        <f>AH15/H15</f>
        <v>4.6010999999999997</v>
      </c>
      <c r="AI16" s="742">
        <f>AI15/H15</f>
        <v>6.7031999999999998</v>
      </c>
      <c r="AJ16" s="740">
        <f>AJ15/H15</f>
        <v>6.7031999999999998</v>
      </c>
    </row>
    <row r="17" spans="1:36" s="69" customFormat="1" ht="18" customHeight="1">
      <c r="A17" s="337"/>
      <c r="B17" s="1823" t="s">
        <v>889</v>
      </c>
      <c r="C17" s="1824"/>
      <c r="D17" s="1824"/>
      <c r="E17" s="1825"/>
      <c r="F17" s="1837" t="s">
        <v>888</v>
      </c>
      <c r="G17" s="1839">
        <v>36</v>
      </c>
      <c r="H17" s="1837">
        <v>1000</v>
      </c>
      <c r="I17" s="1833">
        <v>0</v>
      </c>
      <c r="J17" s="1833">
        <v>0</v>
      </c>
      <c r="K17" s="1833">
        <v>0</v>
      </c>
      <c r="L17" s="1831">
        <v>0</v>
      </c>
      <c r="M17" s="1817">
        <v>0</v>
      </c>
      <c r="N17" s="1835">
        <v>0</v>
      </c>
      <c r="O17" s="1831">
        <f>H17*E18*130%</f>
        <v>26</v>
      </c>
      <c r="P17" s="1817">
        <f>O17*12</f>
        <v>312</v>
      </c>
      <c r="Q17" s="1817">
        <f>O17*12</f>
        <v>312</v>
      </c>
      <c r="R17" s="1821">
        <f>O17*12</f>
        <v>312</v>
      </c>
      <c r="S17" s="743">
        <f>O17</f>
        <v>26</v>
      </c>
      <c r="T17" s="744">
        <f>P17</f>
        <v>312</v>
      </c>
      <c r="U17" s="747">
        <f>P17+Q17+R17</f>
        <v>936</v>
      </c>
      <c r="V17" s="743">
        <f>S17*$X$5</f>
        <v>24.18</v>
      </c>
      <c r="W17" s="744">
        <f>T17*$X$5</f>
        <v>290.16000000000003</v>
      </c>
      <c r="X17" s="745">
        <f>U17*$X$5</f>
        <v>870.48</v>
      </c>
      <c r="Y17" s="728">
        <f t="shared" ref="Y17:AA17" si="16">S17*$AA$5</f>
        <v>22.36</v>
      </c>
      <c r="Z17" s="729">
        <f t="shared" si="16"/>
        <v>268.32</v>
      </c>
      <c r="AA17" s="731">
        <f t="shared" si="16"/>
        <v>804.96</v>
      </c>
      <c r="AB17" s="746">
        <f>S17*$AD$5</f>
        <v>21.58</v>
      </c>
      <c r="AC17" s="744">
        <f>T17*$AD$5</f>
        <v>258.95999999999998</v>
      </c>
      <c r="AD17" s="747">
        <f>U17*$AD$5</f>
        <v>776.88</v>
      </c>
      <c r="AE17" s="743">
        <f>S17*$AG$5</f>
        <v>19.5</v>
      </c>
      <c r="AF17" s="744">
        <f>T17*$AG$5</f>
        <v>234</v>
      </c>
      <c r="AG17" s="745">
        <f>U17*$AG$5</f>
        <v>702</v>
      </c>
      <c r="AH17" s="743">
        <f>S17*$AJ$5</f>
        <v>18.2</v>
      </c>
      <c r="AI17" s="747">
        <f>T17*$AJ$5</f>
        <v>218.39999999999998</v>
      </c>
      <c r="AJ17" s="745">
        <f>U17*$AJ$5</f>
        <v>655.19999999999993</v>
      </c>
    </row>
    <row r="18" spans="1:36" s="69" customFormat="1" ht="18" customHeight="1">
      <c r="A18" s="337"/>
      <c r="B18" s="736" t="s">
        <v>890</v>
      </c>
      <c r="C18" s="737">
        <v>0</v>
      </c>
      <c r="D18" s="737">
        <v>0</v>
      </c>
      <c r="E18" s="361">
        <v>0.02</v>
      </c>
      <c r="F18" s="1838"/>
      <c r="G18" s="1840"/>
      <c r="H18" s="1838"/>
      <c r="I18" s="1834"/>
      <c r="J18" s="1834"/>
      <c r="K18" s="1834"/>
      <c r="L18" s="1832"/>
      <c r="M18" s="1818"/>
      <c r="N18" s="1836"/>
      <c r="O18" s="1832"/>
      <c r="P18" s="1818"/>
      <c r="Q18" s="1818"/>
      <c r="R18" s="1822"/>
      <c r="S18" s="301">
        <f>S17/H17</f>
        <v>2.5999999999999999E-2</v>
      </c>
      <c r="T18" s="302">
        <f>T17/H17</f>
        <v>0.312</v>
      </c>
      <c r="U18" s="303">
        <f>U17/H17</f>
        <v>0.93600000000000005</v>
      </c>
      <c r="V18" s="738">
        <f>V17/H17</f>
        <v>2.418E-2</v>
      </c>
      <c r="W18" s="739">
        <f>W17/H17</f>
        <v>0.29016000000000003</v>
      </c>
      <c r="X18" s="740">
        <f>X17/H17</f>
        <v>0.87048000000000003</v>
      </c>
      <c r="Y18" s="738">
        <f t="shared" ref="Y18" si="17">Y17/H17</f>
        <v>2.2359999999999998E-2</v>
      </c>
      <c r="Z18" s="739">
        <f t="shared" ref="Z18" si="18">Z17/H17</f>
        <v>0.26832</v>
      </c>
      <c r="AA18" s="740">
        <f t="shared" ref="AA18" si="19">AA17/H17</f>
        <v>0.80496000000000001</v>
      </c>
      <c r="AB18" s="741">
        <f>AB17/H17</f>
        <v>2.1579999999999998E-2</v>
      </c>
      <c r="AC18" s="739">
        <f>AC17/H17</f>
        <v>0.25895999999999997</v>
      </c>
      <c r="AD18" s="742">
        <f>AD17/H17</f>
        <v>0.77688000000000001</v>
      </c>
      <c r="AE18" s="738">
        <f>AE17/H17</f>
        <v>1.95E-2</v>
      </c>
      <c r="AF18" s="739">
        <f>AF17/H17</f>
        <v>0.23400000000000001</v>
      </c>
      <c r="AG18" s="740">
        <f>AG17/H17</f>
        <v>0.70199999999999996</v>
      </c>
      <c r="AH18" s="738">
        <f>AH17/H17</f>
        <v>1.8200000000000001E-2</v>
      </c>
      <c r="AI18" s="742">
        <f>AI17/H17</f>
        <v>0.21839999999999998</v>
      </c>
      <c r="AJ18" s="740">
        <f>AJ17/H17</f>
        <v>0.65519999999999989</v>
      </c>
    </row>
    <row r="19" spans="1:36" s="69" customFormat="1" ht="18" customHeight="1">
      <c r="A19" s="337"/>
      <c r="B19" s="1823" t="s">
        <v>891</v>
      </c>
      <c r="C19" s="1824"/>
      <c r="D19" s="1824"/>
      <c r="E19" s="1825"/>
      <c r="F19" s="1816">
        <v>1</v>
      </c>
      <c r="G19" s="1826" t="s">
        <v>847</v>
      </c>
      <c r="H19" s="1827">
        <v>100000</v>
      </c>
      <c r="I19" s="1828">
        <f>H19*2%*C20</f>
        <v>1000</v>
      </c>
      <c r="J19" s="1828">
        <f>H19*2%*D20*12</f>
        <v>12000</v>
      </c>
      <c r="K19" s="1829">
        <f>I19*K6</f>
        <v>4500</v>
      </c>
      <c r="L19" s="1831">
        <f>J19*23%</f>
        <v>2760</v>
      </c>
      <c r="M19" s="1812">
        <v>0</v>
      </c>
      <c r="N19" s="1814">
        <v>0</v>
      </c>
      <c r="O19" s="1816"/>
      <c r="P19" s="1817"/>
      <c r="Q19" s="1819"/>
      <c r="R19" s="1820"/>
      <c r="S19" s="743">
        <f>K19+L19</f>
        <v>7260</v>
      </c>
      <c r="T19" s="744">
        <f>K19+L19+P19</f>
        <v>7260</v>
      </c>
      <c r="U19" s="747">
        <f>K19+L19+N19+P19+Q19+R19</f>
        <v>7260</v>
      </c>
      <c r="V19" s="743">
        <f>S19*$X$5</f>
        <v>6751.8</v>
      </c>
      <c r="W19" s="744">
        <f>T19*$X$5</f>
        <v>6751.8</v>
      </c>
      <c r="X19" s="745">
        <f>U19*$X$5</f>
        <v>6751.8</v>
      </c>
      <c r="Y19" s="743">
        <f t="shared" ref="Y19:AA19" si="20">S19*$AA$5</f>
        <v>6243.5999999999995</v>
      </c>
      <c r="Z19" s="744">
        <f t="shared" si="20"/>
        <v>6243.5999999999995</v>
      </c>
      <c r="AA19" s="745">
        <f t="shared" si="20"/>
        <v>6243.5999999999995</v>
      </c>
      <c r="AB19" s="743">
        <f>S19*$AD$5</f>
        <v>6025.7999999999993</v>
      </c>
      <c r="AC19" s="744">
        <f>T19*$AD$5</f>
        <v>6025.7999999999993</v>
      </c>
      <c r="AD19" s="745">
        <f>U19*$AD$5</f>
        <v>6025.7999999999993</v>
      </c>
      <c r="AE19" s="743">
        <f>S19*$AG$5</f>
        <v>5445</v>
      </c>
      <c r="AF19" s="744">
        <f>T19*$AG$5</f>
        <v>5445</v>
      </c>
      <c r="AG19" s="745">
        <f>U19*$AG$5</f>
        <v>5445</v>
      </c>
      <c r="AH19" s="743">
        <f>S19*$AJ$5</f>
        <v>5082</v>
      </c>
      <c r="AI19" s="747">
        <f>T19*$AJ$5</f>
        <v>5082</v>
      </c>
      <c r="AJ19" s="745">
        <f>U19*$AJ$5</f>
        <v>5082</v>
      </c>
    </row>
    <row r="20" spans="1:36" s="69" customFormat="1" ht="18" customHeight="1">
      <c r="A20" s="337"/>
      <c r="B20" s="984" t="s">
        <v>850</v>
      </c>
      <c r="C20" s="737">
        <v>0.5</v>
      </c>
      <c r="D20" s="737">
        <v>0.5</v>
      </c>
      <c r="E20" s="361" t="s">
        <v>847</v>
      </c>
      <c r="F20" s="1816"/>
      <c r="G20" s="1826"/>
      <c r="H20" s="1827"/>
      <c r="I20" s="1828"/>
      <c r="J20" s="1828"/>
      <c r="K20" s="1830"/>
      <c r="L20" s="1832"/>
      <c r="M20" s="1813"/>
      <c r="N20" s="1815"/>
      <c r="O20" s="1816"/>
      <c r="P20" s="1818"/>
      <c r="Q20" s="1819"/>
      <c r="R20" s="1820"/>
      <c r="S20" s="301">
        <f>S19/H19</f>
        <v>7.2599999999999998E-2</v>
      </c>
      <c r="T20" s="302">
        <f>T19/H19</f>
        <v>7.2599999999999998E-2</v>
      </c>
      <c r="U20" s="574">
        <f>U19/H19</f>
        <v>7.2599999999999998E-2</v>
      </c>
      <c r="V20" s="738">
        <f>V19/H19</f>
        <v>6.7518000000000009E-2</v>
      </c>
      <c r="W20" s="739">
        <f>W19/H19</f>
        <v>6.7518000000000009E-2</v>
      </c>
      <c r="X20" s="740">
        <f>X19/H19</f>
        <v>6.7518000000000009E-2</v>
      </c>
      <c r="Y20" s="738">
        <f t="shared" ref="Y20" si="21">Y19/H19</f>
        <v>6.2435999999999992E-2</v>
      </c>
      <c r="Z20" s="739">
        <f t="shared" ref="Z20" si="22">Z19/H19</f>
        <v>6.2435999999999992E-2</v>
      </c>
      <c r="AA20" s="740">
        <f t="shared" ref="AA20" si="23">AA19/H19</f>
        <v>6.2435999999999992E-2</v>
      </c>
      <c r="AB20" s="738">
        <f>AB19/H19</f>
        <v>6.0257999999999992E-2</v>
      </c>
      <c r="AC20" s="739">
        <f>AC19/H19</f>
        <v>6.0257999999999992E-2</v>
      </c>
      <c r="AD20" s="740">
        <f>AD19/H19</f>
        <v>6.0257999999999992E-2</v>
      </c>
      <c r="AE20" s="738">
        <f>AE19/H19</f>
        <v>5.4449999999999998E-2</v>
      </c>
      <c r="AF20" s="739">
        <f>AF19/H19</f>
        <v>5.4449999999999998E-2</v>
      </c>
      <c r="AG20" s="740">
        <f>AG19/H19</f>
        <v>5.4449999999999998E-2</v>
      </c>
      <c r="AH20" s="738">
        <f>AH19/H19</f>
        <v>5.0819999999999997E-2</v>
      </c>
      <c r="AI20" s="742">
        <f>AI19/H19</f>
        <v>5.0819999999999997E-2</v>
      </c>
      <c r="AJ20" s="740">
        <f>AJ19/H19</f>
        <v>5.0819999999999997E-2</v>
      </c>
    </row>
    <row r="21" spans="1:36" s="69" customFormat="1" ht="18" customHeight="1">
      <c r="A21" s="337"/>
      <c r="B21" s="1850" t="s">
        <v>892</v>
      </c>
      <c r="C21" s="1851"/>
      <c r="D21" s="1851"/>
      <c r="E21" s="1852"/>
      <c r="F21" s="1843">
        <v>1</v>
      </c>
      <c r="G21" s="1840" t="s">
        <v>847</v>
      </c>
      <c r="H21" s="1838">
        <v>100000</v>
      </c>
      <c r="I21" s="1834">
        <f>H21*2%*C22</f>
        <v>540</v>
      </c>
      <c r="J21" s="1834">
        <f>H21*2%*D22*12</f>
        <v>6480</v>
      </c>
      <c r="K21" s="1874">
        <f>I21*K6</f>
        <v>2430</v>
      </c>
      <c r="L21" s="1845">
        <f>J21*21%</f>
        <v>1360.8</v>
      </c>
      <c r="M21" s="1841">
        <v>0</v>
      </c>
      <c r="N21" s="1864">
        <v>0</v>
      </c>
      <c r="O21" s="1843"/>
      <c r="P21" s="1844"/>
      <c r="Q21" s="1813"/>
      <c r="R21" s="1869"/>
      <c r="S21" s="728">
        <f>K21+L21</f>
        <v>3790.8</v>
      </c>
      <c r="T21" s="729">
        <f>K21+L21+P21</f>
        <v>3790.8</v>
      </c>
      <c r="U21" s="730">
        <f>K21+L21+N21+P21+Q21+R21</f>
        <v>3790.8</v>
      </c>
      <c r="V21" s="728">
        <f>S21*$X$5</f>
        <v>3525.4440000000004</v>
      </c>
      <c r="W21" s="729">
        <f>T21*$X$5</f>
        <v>3525.4440000000004</v>
      </c>
      <c r="X21" s="731">
        <f>U21*$X$5</f>
        <v>3525.4440000000004</v>
      </c>
      <c r="Y21" s="728">
        <f t="shared" ref="Y21:AA21" si="24">S21*$AA$5</f>
        <v>3260.0880000000002</v>
      </c>
      <c r="Z21" s="729">
        <f t="shared" si="24"/>
        <v>3260.0880000000002</v>
      </c>
      <c r="AA21" s="731">
        <f t="shared" si="24"/>
        <v>3260.0880000000002</v>
      </c>
      <c r="AB21" s="728">
        <f>S21*$AD$5</f>
        <v>3146.364</v>
      </c>
      <c r="AC21" s="729">
        <f>T21*$AD$5</f>
        <v>3146.364</v>
      </c>
      <c r="AD21" s="731">
        <f>U21*$AD$5</f>
        <v>3146.364</v>
      </c>
      <c r="AE21" s="728">
        <f>S21*$AG$5</f>
        <v>2843.1000000000004</v>
      </c>
      <c r="AF21" s="729">
        <f>T21*$AG$5</f>
        <v>2843.1000000000004</v>
      </c>
      <c r="AG21" s="731">
        <f>U21*$AG$5</f>
        <v>2843.1000000000004</v>
      </c>
      <c r="AH21" s="728">
        <f>S21*$AJ$5</f>
        <v>2653.56</v>
      </c>
      <c r="AI21" s="730">
        <f>T21*$AJ$5</f>
        <v>2653.56</v>
      </c>
      <c r="AJ21" s="731">
        <f>U21*$AJ$5</f>
        <v>2653.56</v>
      </c>
    </row>
    <row r="22" spans="1:36" s="69" customFormat="1" ht="18" customHeight="1" thickBot="1">
      <c r="A22" s="337"/>
      <c r="B22" s="748" t="s">
        <v>850</v>
      </c>
      <c r="C22" s="749">
        <v>0.27</v>
      </c>
      <c r="D22" s="749">
        <v>0.27</v>
      </c>
      <c r="E22" s="362" t="s">
        <v>847</v>
      </c>
      <c r="F22" s="1866"/>
      <c r="G22" s="1871"/>
      <c r="H22" s="1872"/>
      <c r="I22" s="1873"/>
      <c r="J22" s="1873"/>
      <c r="K22" s="1875"/>
      <c r="L22" s="1876"/>
      <c r="M22" s="1877"/>
      <c r="N22" s="1865"/>
      <c r="O22" s="1866"/>
      <c r="P22" s="1867"/>
      <c r="Q22" s="1868"/>
      <c r="R22" s="1870"/>
      <c r="S22" s="304">
        <f>S21/H21</f>
        <v>3.7908000000000004E-2</v>
      </c>
      <c r="T22" s="305">
        <f>T21/H21</f>
        <v>3.7908000000000004E-2</v>
      </c>
      <c r="U22" s="306">
        <f>U21/H21</f>
        <v>3.7908000000000004E-2</v>
      </c>
      <c r="V22" s="750">
        <f>V21/H21</f>
        <v>3.5254440000000005E-2</v>
      </c>
      <c r="W22" s="751">
        <f>W21/H21</f>
        <v>3.5254440000000005E-2</v>
      </c>
      <c r="X22" s="752">
        <f>X21/H21</f>
        <v>3.5254440000000005E-2</v>
      </c>
      <c r="Y22" s="750">
        <f t="shared" ref="Y22" si="25">Y21/H21</f>
        <v>3.2600879999999999E-2</v>
      </c>
      <c r="Z22" s="751">
        <f t="shared" ref="Z22" si="26">Z21/H21</f>
        <v>3.2600879999999999E-2</v>
      </c>
      <c r="AA22" s="752">
        <f t="shared" ref="AA22" si="27">AA21/H21</f>
        <v>3.2600879999999999E-2</v>
      </c>
      <c r="AB22" s="750">
        <f>AB21/H21</f>
        <v>3.1463640000000001E-2</v>
      </c>
      <c r="AC22" s="751">
        <f>AC21/H21</f>
        <v>3.1463640000000001E-2</v>
      </c>
      <c r="AD22" s="752">
        <f>AD21/H21</f>
        <v>3.1463640000000001E-2</v>
      </c>
      <c r="AE22" s="750">
        <f>AE21/H21</f>
        <v>2.8431000000000005E-2</v>
      </c>
      <c r="AF22" s="751">
        <f>AF21/H21</f>
        <v>2.8431000000000005E-2</v>
      </c>
      <c r="AG22" s="752">
        <f>AG21/H21</f>
        <v>2.8431000000000005E-2</v>
      </c>
      <c r="AH22" s="750">
        <f>AH21/H21</f>
        <v>2.6535599999999999E-2</v>
      </c>
      <c r="AI22" s="753">
        <f>AI21/H21</f>
        <v>2.6535599999999999E-2</v>
      </c>
      <c r="AJ22" s="752">
        <f>AJ21/H21</f>
        <v>2.6535599999999999E-2</v>
      </c>
    </row>
    <row r="23" spans="1:36" s="69" customFormat="1" ht="18" customHeight="1">
      <c r="D23" s="68"/>
      <c r="E23" s="68"/>
      <c r="F23" s="68"/>
      <c r="G23" s="68"/>
      <c r="H23" s="68"/>
      <c r="I23" s="68"/>
      <c r="J23" s="68"/>
    </row>
    <row r="24" spans="1:36" s="69" customFormat="1" ht="18" customHeight="1">
      <c r="B24" s="70" t="s">
        <v>848</v>
      </c>
      <c r="C24" s="68"/>
      <c r="D24" s="68"/>
      <c r="E24" s="68"/>
      <c r="F24" s="68"/>
      <c r="G24" s="68"/>
      <c r="H24" s="68"/>
      <c r="I24" s="68"/>
    </row>
    <row r="25" spans="1:36" s="69" customFormat="1" ht="18" customHeight="1">
      <c r="B25" s="69" t="s">
        <v>849</v>
      </c>
      <c r="C25" s="68"/>
      <c r="D25" s="68"/>
      <c r="E25" s="68"/>
      <c r="F25" s="68"/>
      <c r="G25" s="68"/>
      <c r="H25" s="68"/>
      <c r="I25" s="68"/>
    </row>
    <row r="26" spans="1:36" s="69" customFormat="1" ht="18" customHeight="1">
      <c r="B26" s="754" t="s">
        <v>893</v>
      </c>
      <c r="C26" s="70"/>
      <c r="D26" s="70"/>
      <c r="E26" s="70"/>
      <c r="F26" s="70"/>
      <c r="G26" s="68"/>
      <c r="H26" s="68"/>
      <c r="I26" s="68"/>
    </row>
    <row r="27" spans="1:36" s="143" customFormat="1" ht="18" customHeight="1">
      <c r="B27" s="143" t="s">
        <v>1723</v>
      </c>
      <c r="C27" s="142"/>
      <c r="D27" s="142"/>
      <c r="E27" s="142"/>
      <c r="F27" s="142"/>
      <c r="G27" s="142"/>
      <c r="H27" s="142"/>
    </row>
    <row r="28" spans="1:36" s="69" customFormat="1" ht="18" customHeight="1">
      <c r="B28" s="69" t="s">
        <v>894</v>
      </c>
      <c r="C28" s="68"/>
      <c r="D28" s="68"/>
      <c r="E28" s="68"/>
      <c r="F28" s="68"/>
      <c r="G28" s="68"/>
      <c r="H28" s="68"/>
      <c r="I28" s="68"/>
    </row>
    <row r="29" spans="1:36" s="69" customFormat="1" ht="18" customHeight="1">
      <c r="B29" s="69" t="s">
        <v>895</v>
      </c>
      <c r="C29" s="68"/>
      <c r="D29" s="68"/>
      <c r="E29" s="68"/>
      <c r="F29" s="68"/>
      <c r="G29" s="68"/>
      <c r="H29" s="68"/>
      <c r="I29" s="68"/>
    </row>
    <row r="30" spans="1:36" s="69" customFormat="1" ht="18" customHeight="1">
      <c r="A30" s="143"/>
      <c r="B30" s="143" t="s">
        <v>896</v>
      </c>
      <c r="C30" s="142"/>
      <c r="D30" s="142"/>
      <c r="E30" s="142"/>
      <c r="F30" s="142"/>
      <c r="G30" s="142"/>
      <c r="H30" s="142"/>
      <c r="I30" s="142"/>
      <c r="J30" s="143"/>
      <c r="K30" s="143"/>
      <c r="L30" s="143"/>
      <c r="M30" s="143"/>
      <c r="N30" s="143"/>
      <c r="O30" s="143"/>
      <c r="P30" s="143"/>
      <c r="Q30" s="143"/>
      <c r="R30" s="143"/>
      <c r="S30" s="143"/>
      <c r="T30" s="143"/>
      <c r="U30" s="143"/>
      <c r="V30" s="143"/>
      <c r="W30" s="143"/>
      <c r="X30" s="142"/>
      <c r="Y30" s="142"/>
      <c r="Z30" s="142"/>
      <c r="AA30" s="142"/>
      <c r="AB30" s="142"/>
      <c r="AC30" s="143"/>
      <c r="AD30" s="143"/>
      <c r="AE30" s="143"/>
      <c r="AF30" s="143"/>
    </row>
    <row r="31" spans="1:36" s="69" customFormat="1" ht="18" customHeight="1">
      <c r="B31" s="69" t="s">
        <v>897</v>
      </c>
      <c r="C31" s="68"/>
      <c r="D31" s="68"/>
      <c r="E31" s="68"/>
      <c r="F31" s="68"/>
      <c r="G31" s="68"/>
      <c r="H31" s="68"/>
      <c r="I31" s="68"/>
    </row>
    <row r="32" spans="1:36" s="69" customFormat="1" ht="18" customHeight="1">
      <c r="B32" s="143" t="s">
        <v>898</v>
      </c>
      <c r="C32" s="68"/>
      <c r="D32" s="68"/>
      <c r="E32" s="68"/>
      <c r="F32" s="68"/>
      <c r="G32" s="68"/>
      <c r="H32" s="68"/>
      <c r="I32" s="68"/>
    </row>
    <row r="33" spans="1:33" s="69" customFormat="1" ht="18" customHeight="1">
      <c r="B33" s="143" t="s">
        <v>899</v>
      </c>
      <c r="C33" s="68"/>
      <c r="D33" s="68"/>
      <c r="E33" s="68"/>
      <c r="F33" s="68"/>
      <c r="G33" s="68"/>
      <c r="H33" s="68"/>
      <c r="I33" s="68"/>
    </row>
    <row r="34" spans="1:33" s="69" customFormat="1" ht="18" customHeight="1">
      <c r="B34" s="143" t="s">
        <v>900</v>
      </c>
      <c r="C34" s="68"/>
      <c r="D34" s="68"/>
      <c r="E34" s="68"/>
      <c r="F34" s="68"/>
      <c r="G34" s="68"/>
      <c r="H34" s="68"/>
      <c r="I34" s="68"/>
    </row>
    <row r="35" spans="1:33" s="69" customFormat="1" ht="18" customHeight="1">
      <c r="B35" s="69" t="s">
        <v>901</v>
      </c>
      <c r="C35" s="68"/>
      <c r="D35" s="68"/>
      <c r="E35" s="68"/>
      <c r="F35" s="68"/>
      <c r="G35" s="68"/>
      <c r="H35" s="68"/>
      <c r="I35" s="68"/>
    </row>
    <row r="36" spans="1:33" s="69" customFormat="1" ht="18" customHeight="1">
      <c r="B36" s="755" t="s">
        <v>902</v>
      </c>
      <c r="C36" s="68"/>
      <c r="D36" s="68"/>
      <c r="E36" s="68"/>
      <c r="F36" s="68"/>
      <c r="G36" s="68"/>
      <c r="H36" s="68"/>
      <c r="I36" s="68"/>
    </row>
    <row r="37" spans="1:33" ht="18" customHeight="1">
      <c r="A37" s="69"/>
      <c r="C37" s="69"/>
      <c r="D37" s="68"/>
      <c r="E37" s="68"/>
      <c r="F37" s="68"/>
      <c r="G37" s="68"/>
      <c r="H37" s="68"/>
      <c r="I37" s="68"/>
      <c r="J37" s="68"/>
      <c r="K37" s="69"/>
      <c r="L37" s="69"/>
      <c r="M37" s="69"/>
      <c r="N37" s="69"/>
      <c r="O37" s="69"/>
      <c r="P37" s="69"/>
      <c r="Q37" s="69"/>
      <c r="R37" s="69"/>
      <c r="S37" s="69"/>
      <c r="T37" s="69"/>
      <c r="U37" s="69"/>
      <c r="V37" s="69"/>
      <c r="W37" s="69"/>
      <c r="X37" s="69"/>
      <c r="Y37" s="69"/>
      <c r="Z37" s="69"/>
      <c r="AA37" s="69"/>
      <c r="AB37" s="69"/>
      <c r="AC37" s="69"/>
      <c r="AD37" s="69"/>
      <c r="AE37" s="69"/>
      <c r="AF37" s="69"/>
      <c r="AG37" s="69"/>
    </row>
    <row r="38" spans="1:33" ht="18" customHeight="1">
      <c r="A38" s="69"/>
      <c r="B38" s="69"/>
      <c r="C38" s="69"/>
      <c r="D38" s="68"/>
      <c r="E38" s="68"/>
      <c r="F38" s="68"/>
      <c r="G38" s="68"/>
      <c r="H38" s="68"/>
      <c r="I38" s="68"/>
      <c r="J38" s="68"/>
      <c r="K38" s="69"/>
      <c r="L38" s="69"/>
      <c r="M38" s="69"/>
      <c r="N38" s="69"/>
      <c r="O38" s="69"/>
      <c r="P38" s="69"/>
      <c r="Q38" s="69"/>
      <c r="R38" s="69"/>
      <c r="S38" s="69"/>
      <c r="T38" s="69"/>
      <c r="U38" s="69"/>
      <c r="V38" s="69"/>
      <c r="W38" s="69"/>
      <c r="X38" s="69"/>
      <c r="Y38" s="69"/>
      <c r="Z38" s="69"/>
      <c r="AA38" s="69"/>
      <c r="AB38" s="69"/>
      <c r="AC38" s="69"/>
      <c r="AD38" s="69"/>
      <c r="AE38" s="69"/>
      <c r="AF38" s="69"/>
      <c r="AG38" s="69"/>
    </row>
    <row r="39" spans="1:33" ht="18" customHeight="1">
      <c r="A39" s="69"/>
      <c r="B39" s="69"/>
      <c r="C39" s="69"/>
      <c r="D39" s="68"/>
      <c r="E39" s="68"/>
      <c r="F39" s="68"/>
      <c r="G39" s="68"/>
      <c r="H39" s="68"/>
      <c r="I39" s="68"/>
      <c r="J39" s="68"/>
      <c r="K39" s="69"/>
      <c r="L39" s="69"/>
      <c r="M39" s="69"/>
      <c r="N39" s="69"/>
      <c r="O39" s="69"/>
      <c r="P39" s="69"/>
      <c r="Q39" s="69"/>
      <c r="R39" s="69"/>
      <c r="S39" s="69"/>
      <c r="T39" s="69"/>
      <c r="U39" s="69"/>
      <c r="V39" s="69"/>
      <c r="W39" s="69"/>
      <c r="X39" s="69"/>
      <c r="Y39" s="69"/>
      <c r="Z39" s="69"/>
      <c r="AA39" s="69"/>
      <c r="AB39" s="69"/>
      <c r="AC39" s="69"/>
      <c r="AD39" s="69"/>
      <c r="AE39" s="69"/>
      <c r="AF39" s="69"/>
      <c r="AG39" s="69"/>
    </row>
    <row r="40" spans="1:33" ht="18" customHeight="1">
      <c r="A40" s="69"/>
      <c r="B40" s="69"/>
      <c r="C40" s="69"/>
      <c r="D40" s="68"/>
      <c r="E40" s="68"/>
      <c r="F40" s="68"/>
      <c r="G40" s="68"/>
      <c r="H40" s="68"/>
      <c r="I40" s="68"/>
      <c r="J40" s="68"/>
      <c r="K40" s="69"/>
      <c r="L40" s="69"/>
      <c r="M40" s="69"/>
      <c r="N40" s="69"/>
      <c r="O40" s="69"/>
      <c r="P40" s="69"/>
      <c r="Q40" s="69"/>
      <c r="R40" s="69"/>
      <c r="S40" s="69"/>
      <c r="T40" s="69"/>
      <c r="U40" s="69"/>
      <c r="V40" s="69"/>
      <c r="W40" s="69"/>
      <c r="X40" s="69"/>
      <c r="Y40" s="69"/>
      <c r="Z40" s="69"/>
      <c r="AA40" s="69"/>
      <c r="AB40" s="69"/>
      <c r="AC40" s="69"/>
      <c r="AD40" s="69"/>
      <c r="AE40" s="69"/>
      <c r="AF40" s="69"/>
      <c r="AG40" s="69"/>
    </row>
    <row r="41" spans="1:33" ht="18" customHeight="1">
      <c r="A41" s="69"/>
      <c r="B41" s="69"/>
      <c r="C41" s="69"/>
      <c r="D41" s="68"/>
      <c r="E41" s="68"/>
      <c r="F41" s="68"/>
      <c r="G41" s="68"/>
      <c r="H41" s="68"/>
      <c r="I41" s="68"/>
      <c r="J41" s="68"/>
      <c r="K41" s="69"/>
      <c r="L41" s="69"/>
      <c r="M41" s="69"/>
      <c r="N41" s="69"/>
      <c r="O41" s="69"/>
      <c r="P41" s="69"/>
      <c r="Q41" s="69"/>
      <c r="R41" s="69"/>
      <c r="S41" s="69"/>
      <c r="T41" s="69"/>
      <c r="U41" s="69"/>
      <c r="V41" s="69"/>
      <c r="W41" s="69"/>
      <c r="X41" s="69"/>
      <c r="Y41" s="69"/>
      <c r="Z41" s="69"/>
      <c r="AA41" s="69"/>
      <c r="AB41" s="69"/>
      <c r="AC41" s="69"/>
      <c r="AD41" s="69"/>
      <c r="AE41" s="69"/>
      <c r="AF41" s="69"/>
      <c r="AG41" s="69"/>
    </row>
    <row r="42" spans="1:33" ht="18" customHeight="1">
      <c r="A42" s="69"/>
      <c r="B42" s="69"/>
      <c r="C42" s="69"/>
      <c r="D42" s="68"/>
      <c r="E42" s="68"/>
      <c r="F42" s="68"/>
      <c r="G42" s="68"/>
      <c r="H42" s="68"/>
      <c r="I42" s="68"/>
      <c r="J42" s="68"/>
      <c r="K42" s="69"/>
      <c r="L42" s="69"/>
      <c r="M42" s="69"/>
      <c r="N42" s="69"/>
      <c r="O42" s="69"/>
      <c r="P42" s="69"/>
      <c r="Q42" s="69"/>
      <c r="R42" s="69"/>
      <c r="S42" s="69"/>
      <c r="T42" s="69"/>
      <c r="U42" s="69"/>
      <c r="V42" s="69"/>
      <c r="W42" s="69"/>
      <c r="X42" s="69"/>
      <c r="Y42" s="69"/>
      <c r="Z42" s="69"/>
      <c r="AA42" s="69"/>
      <c r="AB42" s="69"/>
      <c r="AC42" s="69"/>
      <c r="AD42" s="69"/>
      <c r="AE42" s="69"/>
      <c r="AF42" s="69"/>
      <c r="AG42" s="69"/>
    </row>
    <row r="43" spans="1:33" ht="18" customHeight="1">
      <c r="A43" s="69"/>
      <c r="B43" s="69"/>
      <c r="C43" s="69"/>
      <c r="D43" s="68"/>
      <c r="E43" s="68"/>
      <c r="F43" s="68"/>
      <c r="G43" s="68"/>
      <c r="H43" s="68"/>
      <c r="I43" s="68"/>
      <c r="J43" s="68"/>
      <c r="K43" s="69"/>
      <c r="L43" s="69"/>
      <c r="M43" s="69"/>
      <c r="N43" s="69"/>
      <c r="O43" s="69"/>
      <c r="P43" s="69"/>
      <c r="Q43" s="69"/>
      <c r="R43" s="69"/>
      <c r="S43" s="69"/>
      <c r="T43" s="69"/>
      <c r="U43" s="69"/>
      <c r="V43" s="69"/>
      <c r="W43" s="69"/>
      <c r="X43" s="69"/>
      <c r="Y43" s="69"/>
      <c r="Z43" s="69"/>
      <c r="AA43" s="69"/>
      <c r="AB43" s="69"/>
      <c r="AC43" s="69"/>
      <c r="AD43" s="69"/>
      <c r="AE43" s="69"/>
      <c r="AF43" s="69"/>
      <c r="AG43" s="69"/>
    </row>
    <row r="44" spans="1:33" ht="18" customHeight="1">
      <c r="A44" s="69"/>
      <c r="B44" s="69"/>
      <c r="C44" s="69"/>
      <c r="D44" s="68"/>
      <c r="E44" s="68"/>
      <c r="F44" s="68"/>
      <c r="G44" s="68"/>
      <c r="H44" s="68"/>
      <c r="I44" s="68"/>
      <c r="J44" s="68"/>
      <c r="K44" s="69"/>
      <c r="L44" s="69"/>
      <c r="M44" s="69"/>
      <c r="N44" s="69"/>
      <c r="O44" s="69"/>
      <c r="P44" s="69"/>
      <c r="Q44" s="69"/>
      <c r="R44" s="69"/>
      <c r="S44" s="69"/>
      <c r="T44" s="69"/>
      <c r="U44" s="69"/>
      <c r="V44" s="69"/>
      <c r="W44" s="69"/>
      <c r="X44" s="69"/>
      <c r="Y44" s="69"/>
      <c r="Z44" s="69"/>
      <c r="AA44" s="69"/>
      <c r="AB44" s="69"/>
      <c r="AC44" s="69"/>
      <c r="AD44" s="69"/>
      <c r="AE44" s="69"/>
      <c r="AF44" s="69"/>
      <c r="AG44" s="69"/>
    </row>
    <row r="45" spans="1:33" ht="18" customHeight="1">
      <c r="A45" s="69"/>
      <c r="B45" s="69"/>
      <c r="C45" s="69"/>
      <c r="D45" s="68"/>
      <c r="E45" s="68"/>
      <c r="F45" s="68"/>
      <c r="G45" s="68"/>
      <c r="H45" s="68"/>
      <c r="I45" s="68"/>
      <c r="J45" s="68"/>
      <c r="K45" s="69"/>
      <c r="L45" s="69"/>
      <c r="M45" s="69"/>
      <c r="N45" s="69"/>
      <c r="O45" s="69"/>
      <c r="P45" s="69"/>
      <c r="Q45" s="69"/>
      <c r="R45" s="69"/>
      <c r="S45" s="69"/>
      <c r="T45" s="69"/>
      <c r="U45" s="69"/>
      <c r="V45" s="69"/>
      <c r="W45" s="69"/>
      <c r="X45" s="69"/>
      <c r="Y45" s="69"/>
      <c r="Z45" s="69"/>
      <c r="AA45" s="69"/>
      <c r="AB45" s="69"/>
      <c r="AC45" s="69"/>
      <c r="AD45" s="69"/>
      <c r="AE45" s="69"/>
      <c r="AF45" s="69"/>
      <c r="AG45" s="69"/>
    </row>
    <row r="46" spans="1:33" ht="18" customHeight="1">
      <c r="A46" s="69"/>
      <c r="B46" s="69"/>
      <c r="C46" s="69"/>
      <c r="D46" s="68"/>
      <c r="E46" s="68"/>
      <c r="F46" s="68"/>
      <c r="G46" s="68"/>
      <c r="H46" s="68"/>
      <c r="I46" s="68"/>
      <c r="J46" s="68"/>
      <c r="K46" s="69"/>
      <c r="L46" s="69"/>
      <c r="M46" s="69"/>
      <c r="N46" s="69"/>
      <c r="O46" s="69"/>
      <c r="P46" s="69"/>
      <c r="Q46" s="69"/>
      <c r="R46" s="69"/>
      <c r="S46" s="69"/>
      <c r="T46" s="69"/>
      <c r="U46" s="69"/>
      <c r="V46" s="69"/>
      <c r="W46" s="69"/>
      <c r="X46" s="69"/>
      <c r="Y46" s="69"/>
      <c r="Z46" s="69"/>
      <c r="AA46" s="69"/>
      <c r="AB46" s="69"/>
      <c r="AC46" s="69"/>
      <c r="AD46" s="69"/>
      <c r="AE46" s="69"/>
      <c r="AF46" s="69"/>
      <c r="AG46" s="69"/>
    </row>
    <row r="47" spans="1:33" ht="18" customHeight="1">
      <c r="A47" s="69"/>
      <c r="B47" s="69"/>
      <c r="C47" s="69"/>
      <c r="D47" s="68"/>
      <c r="E47" s="68"/>
      <c r="F47" s="68"/>
      <c r="G47" s="68"/>
      <c r="H47" s="68"/>
      <c r="I47" s="68"/>
      <c r="J47" s="68"/>
      <c r="K47" s="69"/>
      <c r="L47" s="69"/>
      <c r="M47" s="69"/>
      <c r="N47" s="69"/>
      <c r="O47" s="69"/>
      <c r="P47" s="69"/>
      <c r="Q47" s="69"/>
      <c r="R47" s="69"/>
      <c r="S47" s="69"/>
      <c r="T47" s="69"/>
      <c r="U47" s="69"/>
      <c r="V47" s="69"/>
      <c r="W47" s="69"/>
      <c r="X47" s="69"/>
      <c r="Y47" s="69"/>
      <c r="Z47" s="69"/>
      <c r="AA47" s="69"/>
      <c r="AB47" s="69"/>
      <c r="AC47" s="69"/>
      <c r="AD47" s="69"/>
      <c r="AE47" s="69"/>
      <c r="AF47" s="69"/>
      <c r="AG47" s="69"/>
    </row>
    <row r="48" spans="1:33" ht="18" customHeight="1">
      <c r="A48" s="69"/>
      <c r="B48" s="69"/>
      <c r="C48" s="69"/>
      <c r="D48" s="68"/>
      <c r="E48" s="68"/>
      <c r="F48" s="68"/>
      <c r="G48" s="68"/>
      <c r="H48" s="68"/>
      <c r="I48" s="68"/>
      <c r="J48" s="68"/>
      <c r="K48" s="69"/>
      <c r="L48" s="69"/>
      <c r="M48" s="69"/>
      <c r="N48" s="69"/>
      <c r="O48" s="69"/>
      <c r="P48" s="69"/>
      <c r="Q48" s="69"/>
      <c r="R48" s="69"/>
      <c r="S48" s="69"/>
      <c r="T48" s="69"/>
      <c r="U48" s="69"/>
      <c r="V48" s="69"/>
      <c r="W48" s="69"/>
      <c r="X48" s="69"/>
      <c r="Y48" s="69"/>
      <c r="Z48" s="69"/>
      <c r="AA48" s="69"/>
      <c r="AB48" s="69"/>
      <c r="AC48" s="69"/>
      <c r="AD48" s="69"/>
      <c r="AE48" s="69"/>
      <c r="AF48" s="69"/>
      <c r="AG48" s="69"/>
    </row>
    <row r="49" spans="1:33" ht="18" customHeight="1">
      <c r="A49" s="69"/>
      <c r="B49" s="69"/>
      <c r="C49" s="69"/>
      <c r="D49" s="68"/>
      <c r="E49" s="68"/>
      <c r="F49" s="68"/>
      <c r="G49" s="68"/>
      <c r="H49" s="68"/>
      <c r="I49" s="68"/>
      <c r="J49" s="68"/>
      <c r="K49" s="69"/>
      <c r="L49" s="69"/>
      <c r="M49" s="69"/>
      <c r="N49" s="69"/>
      <c r="O49" s="69"/>
      <c r="P49" s="69"/>
      <c r="Q49" s="69"/>
      <c r="R49" s="69"/>
      <c r="S49" s="69"/>
      <c r="T49" s="69"/>
      <c r="U49" s="69"/>
      <c r="V49" s="69"/>
      <c r="W49" s="69"/>
      <c r="X49" s="69"/>
      <c r="Y49" s="69"/>
      <c r="Z49" s="69"/>
      <c r="AA49" s="69"/>
      <c r="AB49" s="69"/>
      <c r="AC49" s="69"/>
      <c r="AD49" s="69"/>
      <c r="AE49" s="69"/>
      <c r="AF49" s="69"/>
      <c r="AG49" s="69"/>
    </row>
    <row r="50" spans="1:33" ht="18" customHeight="1">
      <c r="A50" s="69"/>
      <c r="B50" s="69"/>
      <c r="C50" s="69"/>
      <c r="D50" s="68"/>
      <c r="E50" s="68"/>
      <c r="F50" s="68"/>
      <c r="G50" s="68"/>
      <c r="H50" s="68"/>
      <c r="I50" s="68"/>
      <c r="J50" s="68"/>
      <c r="K50" s="69"/>
      <c r="L50" s="69"/>
      <c r="M50" s="69"/>
      <c r="N50" s="69"/>
      <c r="O50" s="69"/>
      <c r="P50" s="69"/>
      <c r="Q50" s="69"/>
      <c r="R50" s="69"/>
      <c r="S50" s="69"/>
      <c r="T50" s="69"/>
      <c r="U50" s="69"/>
      <c r="V50" s="69"/>
      <c r="W50" s="69"/>
      <c r="X50" s="69"/>
      <c r="Y50" s="69"/>
      <c r="Z50" s="69"/>
      <c r="AA50" s="69"/>
      <c r="AB50" s="69"/>
      <c r="AC50" s="69"/>
      <c r="AD50" s="69"/>
      <c r="AE50" s="69"/>
      <c r="AF50" s="69"/>
      <c r="AG50" s="69"/>
    </row>
  </sheetData>
  <mergeCells count="124">
    <mergeCell ref="N21:N22"/>
    <mergeCell ref="O21:O22"/>
    <mergeCell ref="P21:P22"/>
    <mergeCell ref="Q21:Q22"/>
    <mergeCell ref="R21:R22"/>
    <mergeCell ref="B21:E21"/>
    <mergeCell ref="F21:F22"/>
    <mergeCell ref="G21:G22"/>
    <mergeCell ref="H21:H22"/>
    <mergeCell ref="I21:I22"/>
    <mergeCell ref="J21:J22"/>
    <mergeCell ref="K21:K22"/>
    <mergeCell ref="L21:L22"/>
    <mergeCell ref="M21:M22"/>
    <mergeCell ref="B1:AJ1"/>
    <mergeCell ref="B5:E5"/>
    <mergeCell ref="F5:G5"/>
    <mergeCell ref="H5:J5"/>
    <mergeCell ref="L5:N5"/>
    <mergeCell ref="O5:R5"/>
    <mergeCell ref="S5:U5"/>
    <mergeCell ref="V5:W5"/>
    <mergeCell ref="Y5:Z5"/>
    <mergeCell ref="AB5:AC5"/>
    <mergeCell ref="R7:R8"/>
    <mergeCell ref="AE5:AF5"/>
    <mergeCell ref="AH5:AI5"/>
    <mergeCell ref="B7:E7"/>
    <mergeCell ref="F7:F8"/>
    <mergeCell ref="G7:G8"/>
    <mergeCell ref="H7:H8"/>
    <mergeCell ref="I7:I8"/>
    <mergeCell ref="J7:J8"/>
    <mergeCell ref="K7:K8"/>
    <mergeCell ref="L7:L8"/>
    <mergeCell ref="G9:G10"/>
    <mergeCell ref="H9:H10"/>
    <mergeCell ref="I9:I10"/>
    <mergeCell ref="J9:J10"/>
    <mergeCell ref="M7:M8"/>
    <mergeCell ref="N7:N8"/>
    <mergeCell ref="O7:O8"/>
    <mergeCell ref="P7:P8"/>
    <mergeCell ref="Q7:Q8"/>
    <mergeCell ref="M11:M12"/>
    <mergeCell ref="N11:N12"/>
    <mergeCell ref="O11:O12"/>
    <mergeCell ref="P11:P12"/>
    <mergeCell ref="Q11:Q12"/>
    <mergeCell ref="R11:R12"/>
    <mergeCell ref="Q9:Q10"/>
    <mergeCell ref="R9:R10"/>
    <mergeCell ref="B11:E11"/>
    <mergeCell ref="F11:F12"/>
    <mergeCell ref="G11:G12"/>
    <mergeCell ref="H11:H12"/>
    <mergeCell ref="I11:I12"/>
    <mergeCell ref="J11:J12"/>
    <mergeCell ref="K11:K12"/>
    <mergeCell ref="L11:L12"/>
    <mergeCell ref="K9:K10"/>
    <mergeCell ref="L9:L10"/>
    <mergeCell ref="M9:M10"/>
    <mergeCell ref="N9:N10"/>
    <mergeCell ref="O9:O10"/>
    <mergeCell ref="P9:P10"/>
    <mergeCell ref="B9:E9"/>
    <mergeCell ref="F9:F10"/>
    <mergeCell ref="R15:R16"/>
    <mergeCell ref="Q13:Q14"/>
    <mergeCell ref="R13:R14"/>
    <mergeCell ref="B15:E15"/>
    <mergeCell ref="F15:F16"/>
    <mergeCell ref="G15:G16"/>
    <mergeCell ref="H15:H16"/>
    <mergeCell ref="I15:I16"/>
    <mergeCell ref="J15:J16"/>
    <mergeCell ref="K15:K16"/>
    <mergeCell ref="L15:L16"/>
    <mergeCell ref="K13:K14"/>
    <mergeCell ref="L13:L14"/>
    <mergeCell ref="M13:M14"/>
    <mergeCell ref="N13:N14"/>
    <mergeCell ref="O13:O14"/>
    <mergeCell ref="P13:P14"/>
    <mergeCell ref="B13:E13"/>
    <mergeCell ref="F13:F14"/>
    <mergeCell ref="G13:G14"/>
    <mergeCell ref="H13:H14"/>
    <mergeCell ref="I13:I14"/>
    <mergeCell ref="J13:J14"/>
    <mergeCell ref="G17:G18"/>
    <mergeCell ref="H17:H18"/>
    <mergeCell ref="I17:I18"/>
    <mergeCell ref="J17:J18"/>
    <mergeCell ref="M15:M16"/>
    <mergeCell ref="N15:N16"/>
    <mergeCell ref="O15:O16"/>
    <mergeCell ref="P15:P16"/>
    <mergeCell ref="Q15:Q16"/>
    <mergeCell ref="M19:M20"/>
    <mergeCell ref="N19:N20"/>
    <mergeCell ref="O19:O20"/>
    <mergeCell ref="P19:P20"/>
    <mergeCell ref="Q19:Q20"/>
    <mergeCell ref="R19:R20"/>
    <mergeCell ref="Q17:Q18"/>
    <mergeCell ref="R17:R18"/>
    <mergeCell ref="B19:E19"/>
    <mergeCell ref="F19:F20"/>
    <mergeCell ref="G19:G20"/>
    <mergeCell ref="H19:H20"/>
    <mergeCell ref="I19:I20"/>
    <mergeCell ref="J19:J20"/>
    <mergeCell ref="K19:K20"/>
    <mergeCell ref="L19:L20"/>
    <mergeCell ref="K17:K18"/>
    <mergeCell ref="L17:L18"/>
    <mergeCell ref="M17:M18"/>
    <mergeCell ref="N17:N18"/>
    <mergeCell ref="O17:O18"/>
    <mergeCell ref="P17:P18"/>
    <mergeCell ref="B17:E17"/>
    <mergeCell ref="F17:F18"/>
  </mergeCells>
  <phoneticPr fontId="99" type="noConversion"/>
  <pageMargins left="0.31496062992125984" right="0.31496062992125984" top="0.31496062992125984" bottom="0.31496062992125984" header="0" footer="0"/>
  <pageSetup paperSize="9" scale="5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Q29"/>
  <sheetViews>
    <sheetView zoomScaleNormal="100" workbookViewId="0"/>
  </sheetViews>
  <sheetFormatPr defaultColWidth="9.625" defaultRowHeight="16.5"/>
  <cols>
    <col min="1" max="1" width="1" customWidth="1"/>
    <col min="11" max="11" width="10.75" customWidth="1"/>
    <col min="12" max="12" width="6.125" customWidth="1"/>
    <col min="13" max="14" width="8.375" customWidth="1"/>
  </cols>
  <sheetData>
    <row r="1" spans="1:17" ht="30" customHeight="1" thickBot="1">
      <c r="A1" s="330"/>
      <c r="B1" s="1139" t="s">
        <v>1730</v>
      </c>
      <c r="C1" s="1139"/>
      <c r="D1" s="1139"/>
      <c r="E1" s="1139"/>
      <c r="F1" s="1139"/>
      <c r="G1" s="1139"/>
      <c r="H1" s="1139"/>
      <c r="I1" s="1139"/>
      <c r="J1" s="1139"/>
      <c r="K1" s="1139"/>
      <c r="L1" s="1139"/>
      <c r="M1" s="1139"/>
      <c r="N1" s="1139"/>
      <c r="O1" s="1139"/>
      <c r="P1" s="1139"/>
      <c r="Q1" s="1139"/>
    </row>
    <row r="2" spans="1:17" ht="18" customHeight="1" thickTop="1">
      <c r="B2" s="1"/>
      <c r="C2" s="1"/>
      <c r="D2" s="2"/>
      <c r="E2" s="2"/>
      <c r="F2" s="3"/>
      <c r="G2" s="3"/>
      <c r="H2" s="3"/>
      <c r="I2" s="3"/>
      <c r="J2" s="3"/>
      <c r="K2" s="2"/>
      <c r="L2" s="2"/>
      <c r="M2" s="2"/>
      <c r="N2" s="2"/>
      <c r="O2" s="2"/>
      <c r="P2" s="2"/>
      <c r="Q2" s="2"/>
    </row>
    <row r="3" spans="1:17" s="228" customFormat="1" ht="18" customHeight="1" thickBot="1">
      <c r="B3" s="4" t="s">
        <v>100</v>
      </c>
      <c r="C3" s="5"/>
      <c r="D3" s="5"/>
      <c r="E3" s="5"/>
      <c r="F3" s="6"/>
      <c r="G3" s="6"/>
      <c r="H3" s="6"/>
      <c r="I3" s="6"/>
      <c r="J3" s="6"/>
      <c r="K3" s="6"/>
      <c r="L3" s="6"/>
      <c r="M3" s="6"/>
      <c r="N3" s="6"/>
      <c r="O3" s="6"/>
      <c r="P3" s="6"/>
      <c r="Q3" s="6"/>
    </row>
    <row r="4" spans="1:17" s="228" customFormat="1" ht="18" customHeight="1">
      <c r="B4" s="1915" t="s">
        <v>101</v>
      </c>
      <c r="C4" s="1916"/>
      <c r="D4" s="1917" t="s">
        <v>102</v>
      </c>
      <c r="E4" s="1918"/>
      <c r="F4" s="1918"/>
      <c r="G4" s="1918"/>
      <c r="H4" s="1918"/>
      <c r="I4" s="1918"/>
      <c r="J4" s="1919"/>
      <c r="K4" s="1916" t="s">
        <v>103</v>
      </c>
      <c r="L4" s="1916"/>
      <c r="M4" s="1916"/>
      <c r="N4" s="1916"/>
      <c r="O4" s="1916"/>
      <c r="P4" s="1916"/>
      <c r="Q4" s="1946"/>
    </row>
    <row r="5" spans="1:17" s="228" customFormat="1" ht="18" customHeight="1">
      <c r="B5" s="1947" t="s">
        <v>104</v>
      </c>
      <c r="C5" s="1885"/>
      <c r="D5" s="1949" t="s">
        <v>105</v>
      </c>
      <c r="E5" s="1879"/>
      <c r="F5" s="1879"/>
      <c r="G5" s="1879"/>
      <c r="H5" s="1879"/>
      <c r="I5" s="1879"/>
      <c r="J5" s="1950"/>
      <c r="K5" s="1954" t="s">
        <v>106</v>
      </c>
      <c r="L5" s="1954"/>
      <c r="M5" s="1954"/>
      <c r="N5" s="1954"/>
      <c r="O5" s="1954"/>
      <c r="P5" s="1954"/>
      <c r="Q5" s="1955"/>
    </row>
    <row r="6" spans="1:17" s="228" customFormat="1" ht="18" customHeight="1">
      <c r="B6" s="1925"/>
      <c r="C6" s="1948"/>
      <c r="D6" s="1951"/>
      <c r="E6" s="1952"/>
      <c r="F6" s="1952"/>
      <c r="G6" s="1952"/>
      <c r="H6" s="1952"/>
      <c r="I6" s="1952"/>
      <c r="J6" s="1953"/>
      <c r="K6" s="1938" t="s">
        <v>107</v>
      </c>
      <c r="L6" s="1939"/>
      <c r="M6" s="1939"/>
      <c r="N6" s="1939"/>
      <c r="O6" s="1939"/>
      <c r="P6" s="1939"/>
      <c r="Q6" s="1956"/>
    </row>
    <row r="7" spans="1:17" s="228" customFormat="1" ht="27" customHeight="1">
      <c r="B7" s="1933" t="s">
        <v>108</v>
      </c>
      <c r="C7" s="1934"/>
      <c r="D7" s="1957" t="s">
        <v>109</v>
      </c>
      <c r="E7" s="1958"/>
      <c r="F7" s="1958"/>
      <c r="G7" s="1958" t="s">
        <v>110</v>
      </c>
      <c r="H7" s="1958"/>
      <c r="I7" s="1958"/>
      <c r="J7" s="1959"/>
      <c r="K7" s="1960" t="s">
        <v>111</v>
      </c>
      <c r="L7" s="1960"/>
      <c r="M7" s="1960"/>
      <c r="N7" s="1960"/>
      <c r="O7" s="1960"/>
      <c r="P7" s="1960"/>
      <c r="Q7" s="1961"/>
    </row>
    <row r="8" spans="1:17" s="228" customFormat="1" ht="27" customHeight="1" thickBot="1">
      <c r="B8" s="1962" t="s">
        <v>112</v>
      </c>
      <c r="C8" s="1963"/>
      <c r="D8" s="1964" t="s">
        <v>113</v>
      </c>
      <c r="E8" s="1965"/>
      <c r="F8" s="1965"/>
      <c r="G8" s="1965" t="s">
        <v>114</v>
      </c>
      <c r="H8" s="1965"/>
      <c r="I8" s="1965"/>
      <c r="J8" s="1966"/>
      <c r="K8" s="1967" t="s">
        <v>115</v>
      </c>
      <c r="L8" s="1967"/>
      <c r="M8" s="1967"/>
      <c r="N8" s="1967"/>
      <c r="O8" s="1967"/>
      <c r="P8" s="1967"/>
      <c r="Q8" s="1968"/>
    </row>
    <row r="9" spans="1:17" s="228" customFormat="1" ht="18" customHeight="1">
      <c r="B9" s="6"/>
      <c r="C9" s="5"/>
      <c r="D9" s="5"/>
      <c r="E9" s="5"/>
      <c r="F9" s="6"/>
      <c r="G9" s="6"/>
      <c r="H9" s="6"/>
      <c r="I9" s="6"/>
      <c r="J9" s="6"/>
      <c r="K9" s="6"/>
      <c r="L9" s="6"/>
      <c r="M9" s="6"/>
      <c r="N9" s="6"/>
      <c r="O9" s="6"/>
      <c r="P9" s="6"/>
      <c r="Q9" s="6"/>
    </row>
    <row r="10" spans="1:17" s="228" customFormat="1" ht="18" customHeight="1" thickBot="1">
      <c r="B10" s="4" t="s">
        <v>116</v>
      </c>
      <c r="C10" s="5"/>
      <c r="D10" s="5"/>
      <c r="E10" s="5"/>
      <c r="F10" s="6"/>
      <c r="G10" s="6"/>
      <c r="H10" s="6"/>
      <c r="I10" s="6"/>
      <c r="J10" s="6"/>
      <c r="K10" s="6"/>
      <c r="L10" s="6"/>
      <c r="M10" s="6"/>
      <c r="N10" s="6"/>
      <c r="O10" s="6"/>
      <c r="P10" s="6"/>
      <c r="Q10" s="6"/>
    </row>
    <row r="11" spans="1:17" s="228" customFormat="1" ht="22.5" customHeight="1">
      <c r="B11" s="1915" t="s">
        <v>101</v>
      </c>
      <c r="C11" s="1916"/>
      <c r="D11" s="1917" t="s">
        <v>102</v>
      </c>
      <c r="E11" s="1918"/>
      <c r="F11" s="1918"/>
      <c r="G11" s="1918"/>
      <c r="H11" s="1918"/>
      <c r="I11" s="1918"/>
      <c r="J11" s="1919"/>
      <c r="K11" s="1916" t="s">
        <v>103</v>
      </c>
      <c r="L11" s="1916"/>
      <c r="M11" s="1916"/>
      <c r="N11" s="1916"/>
      <c r="O11" s="1916"/>
      <c r="P11" s="1920"/>
      <c r="Q11" s="1921"/>
    </row>
    <row r="12" spans="1:17" s="228" customFormat="1" ht="22.5" customHeight="1">
      <c r="B12" s="1933" t="s">
        <v>117</v>
      </c>
      <c r="C12" s="1934"/>
      <c r="D12" s="1935" t="s">
        <v>118</v>
      </c>
      <c r="E12" s="1936"/>
      <c r="F12" s="1936"/>
      <c r="G12" s="1936"/>
      <c r="H12" s="1936"/>
      <c r="I12" s="1936"/>
      <c r="J12" s="1937"/>
      <c r="K12" s="1905" t="s">
        <v>119</v>
      </c>
      <c r="L12" s="1941"/>
      <c r="M12" s="1941"/>
      <c r="N12" s="1906"/>
      <c r="O12" s="508" t="s">
        <v>120</v>
      </c>
      <c r="P12" s="508" t="s">
        <v>121</v>
      </c>
      <c r="Q12" s="13" t="s">
        <v>122</v>
      </c>
    </row>
    <row r="13" spans="1:17" s="228" customFormat="1" ht="22.5" customHeight="1">
      <c r="B13" s="1933"/>
      <c r="C13" s="1934"/>
      <c r="D13" s="1938" t="s">
        <v>123</v>
      </c>
      <c r="E13" s="1939"/>
      <c r="F13" s="1939"/>
      <c r="G13" s="1939"/>
      <c r="H13" s="1939"/>
      <c r="I13" s="1939"/>
      <c r="J13" s="1940"/>
      <c r="K13" s="1905" t="s">
        <v>124</v>
      </c>
      <c r="L13" s="1941"/>
      <c r="M13" s="1941"/>
      <c r="N13" s="1906"/>
      <c r="O13" s="164">
        <v>0.93</v>
      </c>
      <c r="P13" s="164">
        <v>0.9</v>
      </c>
      <c r="Q13" s="165">
        <v>0.87</v>
      </c>
    </row>
    <row r="14" spans="1:17" s="228" customFormat="1" ht="38.25" customHeight="1" thickBot="1">
      <c r="B14" s="1909" t="s">
        <v>125</v>
      </c>
      <c r="C14" s="1910"/>
      <c r="D14" s="1911" t="s">
        <v>611</v>
      </c>
      <c r="E14" s="1912"/>
      <c r="F14" s="1912"/>
      <c r="G14" s="1912"/>
      <c r="H14" s="1912"/>
      <c r="I14" s="1912"/>
      <c r="J14" s="1912"/>
      <c r="K14" s="1912"/>
      <c r="L14" s="1912"/>
      <c r="M14" s="1912"/>
      <c r="N14" s="1912"/>
      <c r="O14" s="1912"/>
      <c r="P14" s="1913"/>
      <c r="Q14" s="1914"/>
    </row>
    <row r="15" spans="1:17" s="228" customFormat="1" ht="18" customHeight="1">
      <c r="B15" s="8"/>
      <c r="C15" s="224"/>
      <c r="D15" s="224"/>
      <c r="E15" s="5"/>
      <c r="F15" s="6"/>
      <c r="G15" s="6"/>
      <c r="H15" s="6"/>
      <c r="I15" s="6"/>
      <c r="J15" s="6"/>
      <c r="K15" s="6"/>
      <c r="L15" s="6"/>
      <c r="M15" s="6"/>
      <c r="N15" s="6"/>
      <c r="O15" s="6"/>
      <c r="P15" s="6"/>
      <c r="Q15" s="6"/>
    </row>
    <row r="16" spans="1:17" s="228" customFormat="1" ht="18" customHeight="1" thickBot="1">
      <c r="B16" s="4" t="s">
        <v>126</v>
      </c>
      <c r="C16" s="5"/>
      <c r="D16" s="5"/>
      <c r="E16" s="11"/>
      <c r="F16" s="6"/>
      <c r="G16" s="6"/>
      <c r="H16" s="6"/>
      <c r="I16" s="6"/>
      <c r="J16" s="6"/>
      <c r="K16" s="5"/>
      <c r="L16" s="5"/>
      <c r="M16" s="5"/>
      <c r="N16" s="5"/>
      <c r="O16" s="5"/>
      <c r="P16" s="5"/>
      <c r="Q16" s="5"/>
    </row>
    <row r="17" spans="2:17" s="228" customFormat="1" ht="18" customHeight="1">
      <c r="B17" s="1915" t="s">
        <v>101</v>
      </c>
      <c r="C17" s="1916"/>
      <c r="D17" s="1917" t="s">
        <v>127</v>
      </c>
      <c r="E17" s="1918"/>
      <c r="F17" s="1918"/>
      <c r="G17" s="1918"/>
      <c r="H17" s="1918"/>
      <c r="I17" s="1918"/>
      <c r="J17" s="1919"/>
      <c r="K17" s="1920" t="s">
        <v>103</v>
      </c>
      <c r="L17" s="1920"/>
      <c r="M17" s="1920"/>
      <c r="N17" s="1920"/>
      <c r="O17" s="1920"/>
      <c r="P17" s="1920"/>
      <c r="Q17" s="1921"/>
    </row>
    <row r="18" spans="2:17" s="228" customFormat="1" ht="21" customHeight="1">
      <c r="B18" s="1884" t="s">
        <v>608</v>
      </c>
      <c r="C18" s="1923"/>
      <c r="D18" s="1922" t="s">
        <v>411</v>
      </c>
      <c r="E18" s="1922"/>
      <c r="F18" s="1922"/>
      <c r="G18" s="1922"/>
      <c r="H18" s="1922"/>
      <c r="I18" s="1922"/>
      <c r="J18" s="1922"/>
      <c r="K18" s="1935" t="s">
        <v>407</v>
      </c>
      <c r="L18" s="1936"/>
      <c r="M18" s="1936"/>
      <c r="N18" s="1936"/>
      <c r="O18" s="1936"/>
      <c r="P18" s="1936"/>
      <c r="Q18" s="1942"/>
    </row>
    <row r="19" spans="2:17" s="228" customFormat="1" ht="21" customHeight="1">
      <c r="B19" s="1886"/>
      <c r="C19" s="1924"/>
      <c r="D19" s="1899" t="s">
        <v>400</v>
      </c>
      <c r="E19" s="1899"/>
      <c r="F19" s="1899"/>
      <c r="G19" s="1899"/>
      <c r="H19" s="1899"/>
      <c r="I19" s="1899"/>
      <c r="J19" s="1899"/>
      <c r="K19" s="1943"/>
      <c r="L19" s="1944"/>
      <c r="M19" s="1944"/>
      <c r="N19" s="1944"/>
      <c r="O19" s="1944"/>
      <c r="P19" s="1944"/>
      <c r="Q19" s="1945"/>
    </row>
    <row r="20" spans="2:17" s="228" customFormat="1" ht="21" customHeight="1">
      <c r="B20" s="1886"/>
      <c r="C20" s="1924"/>
      <c r="D20" s="1930" t="s">
        <v>401</v>
      </c>
      <c r="E20" s="1931"/>
      <c r="F20" s="1931"/>
      <c r="G20" s="1931"/>
      <c r="H20" s="1931"/>
      <c r="I20" s="1931"/>
      <c r="J20" s="1932"/>
      <c r="K20" s="1943"/>
      <c r="L20" s="1944"/>
      <c r="M20" s="1944"/>
      <c r="N20" s="1944"/>
      <c r="O20" s="1944"/>
      <c r="P20" s="1944"/>
      <c r="Q20" s="1945"/>
    </row>
    <row r="21" spans="2:17" s="228" customFormat="1" ht="21" customHeight="1" thickBot="1">
      <c r="B21" s="1925"/>
      <c r="C21" s="1926"/>
      <c r="D21" s="1927" t="s">
        <v>402</v>
      </c>
      <c r="E21" s="1928"/>
      <c r="F21" s="1928"/>
      <c r="G21" s="1928"/>
      <c r="H21" s="1928"/>
      <c r="I21" s="1928"/>
      <c r="J21" s="1929"/>
      <c r="K21" s="1938"/>
      <c r="L21" s="1939"/>
      <c r="M21" s="1939"/>
      <c r="N21" s="1939"/>
      <c r="O21" s="1939"/>
      <c r="P21" s="1944"/>
      <c r="Q21" s="1945"/>
    </row>
    <row r="22" spans="2:17" s="228" customFormat="1" ht="21" customHeight="1">
      <c r="B22" s="1884" t="s">
        <v>606</v>
      </c>
      <c r="C22" s="1885"/>
      <c r="D22" s="1899" t="s">
        <v>403</v>
      </c>
      <c r="E22" s="1899"/>
      <c r="F22" s="1899"/>
      <c r="G22" s="1899"/>
      <c r="H22" s="1899"/>
      <c r="I22" s="1899"/>
      <c r="J22" s="1899"/>
      <c r="K22" s="1882" t="s">
        <v>51</v>
      </c>
      <c r="L22" s="1900"/>
      <c r="M22" s="763" t="s">
        <v>128</v>
      </c>
      <c r="N22" s="772" t="s">
        <v>404</v>
      </c>
      <c r="O22" s="133" t="s">
        <v>600</v>
      </c>
      <c r="P22" s="774" t="s">
        <v>601</v>
      </c>
      <c r="Q22" s="13" t="s">
        <v>604</v>
      </c>
    </row>
    <row r="23" spans="2:17" s="228" customFormat="1" ht="21" customHeight="1" thickBot="1">
      <c r="B23" s="1886"/>
      <c r="C23" s="1887"/>
      <c r="D23" s="1901" t="s">
        <v>130</v>
      </c>
      <c r="E23" s="1901"/>
      <c r="F23" s="1901"/>
      <c r="G23" s="1901"/>
      <c r="H23" s="1901"/>
      <c r="I23" s="1901"/>
      <c r="J23" s="1901"/>
      <c r="K23" s="1883"/>
      <c r="L23" s="1900"/>
      <c r="M23" s="766" t="s">
        <v>41</v>
      </c>
      <c r="N23" s="773">
        <v>0.6</v>
      </c>
      <c r="O23" s="518">
        <v>0.5</v>
      </c>
      <c r="P23" s="775">
        <v>0.3</v>
      </c>
      <c r="Q23" s="776">
        <v>0.2</v>
      </c>
    </row>
    <row r="24" spans="2:17" s="228" customFormat="1" ht="21" customHeight="1" thickBot="1">
      <c r="B24" s="1884" t="s">
        <v>607</v>
      </c>
      <c r="C24" s="1885"/>
      <c r="D24" s="1890" t="s">
        <v>602</v>
      </c>
      <c r="E24" s="1891"/>
      <c r="F24" s="1891"/>
      <c r="G24" s="1891"/>
      <c r="H24" s="1891"/>
      <c r="I24" s="1891"/>
      <c r="J24" s="1892"/>
      <c r="K24" s="1878" t="s">
        <v>408</v>
      </c>
      <c r="L24" s="1879"/>
      <c r="M24" s="1879"/>
      <c r="N24" s="1879"/>
      <c r="O24" s="1879"/>
      <c r="P24" s="1880"/>
      <c r="Q24" s="1881"/>
    </row>
    <row r="25" spans="2:17" s="228" customFormat="1" ht="21" customHeight="1">
      <c r="B25" s="1886"/>
      <c r="C25" s="1887"/>
      <c r="D25" s="1893"/>
      <c r="E25" s="1894"/>
      <c r="F25" s="1894"/>
      <c r="G25" s="1894"/>
      <c r="H25" s="1894"/>
      <c r="I25" s="1894"/>
      <c r="J25" s="1895"/>
      <c r="K25" s="1882" t="s">
        <v>132</v>
      </c>
      <c r="L25" s="1905" t="s">
        <v>409</v>
      </c>
      <c r="M25" s="1906"/>
      <c r="N25" s="772" t="s">
        <v>404</v>
      </c>
      <c r="O25" s="133" t="s">
        <v>600</v>
      </c>
      <c r="P25" s="774" t="s">
        <v>601</v>
      </c>
      <c r="Q25" s="13" t="s">
        <v>604</v>
      </c>
    </row>
    <row r="26" spans="2:17" s="228" customFormat="1" ht="21" customHeight="1" thickBot="1">
      <c r="B26" s="1886"/>
      <c r="C26" s="1887"/>
      <c r="D26" s="1893"/>
      <c r="E26" s="1894"/>
      <c r="F26" s="1894"/>
      <c r="G26" s="1894"/>
      <c r="H26" s="1894"/>
      <c r="I26" s="1894"/>
      <c r="J26" s="1895"/>
      <c r="K26" s="1883" t="s">
        <v>134</v>
      </c>
      <c r="L26" s="1905" t="s">
        <v>410</v>
      </c>
      <c r="M26" s="1906"/>
      <c r="N26" s="773">
        <v>0.17</v>
      </c>
      <c r="O26" s="518">
        <v>0.15</v>
      </c>
      <c r="P26" s="775">
        <v>0.12</v>
      </c>
      <c r="Q26" s="776">
        <v>0.1</v>
      </c>
    </row>
    <row r="27" spans="2:17" s="228" customFormat="1" ht="21" customHeight="1" thickBot="1">
      <c r="B27" s="1886"/>
      <c r="C27" s="1887"/>
      <c r="D27" s="1893"/>
      <c r="E27" s="1894"/>
      <c r="F27" s="1894"/>
      <c r="G27" s="1894"/>
      <c r="H27" s="1894"/>
      <c r="I27" s="1894"/>
      <c r="J27" s="1895"/>
      <c r="K27" s="1878" t="s">
        <v>131</v>
      </c>
      <c r="L27" s="1902"/>
      <c r="M27" s="1902"/>
      <c r="N27" s="1902"/>
      <c r="O27" s="1902"/>
      <c r="P27" s="1879"/>
      <c r="Q27" s="1903"/>
    </row>
    <row r="28" spans="2:17" s="228" customFormat="1" ht="21" customHeight="1">
      <c r="B28" s="1886"/>
      <c r="C28" s="1887"/>
      <c r="D28" s="1893"/>
      <c r="E28" s="1894"/>
      <c r="F28" s="1894"/>
      <c r="G28" s="1894"/>
      <c r="H28" s="1894"/>
      <c r="I28" s="1894"/>
      <c r="J28" s="1895"/>
      <c r="K28" s="1882" t="s">
        <v>132</v>
      </c>
      <c r="L28" s="1905" t="s">
        <v>133</v>
      </c>
      <c r="M28" s="1906"/>
      <c r="N28" s="777" t="s">
        <v>605</v>
      </c>
      <c r="O28" s="659" t="s">
        <v>405</v>
      </c>
      <c r="P28" s="133" t="s">
        <v>406</v>
      </c>
      <c r="Q28" s="245" t="s">
        <v>129</v>
      </c>
    </row>
    <row r="29" spans="2:17" s="228" customFormat="1" ht="21" customHeight="1" thickBot="1">
      <c r="B29" s="1888"/>
      <c r="C29" s="1889"/>
      <c r="D29" s="1896"/>
      <c r="E29" s="1897"/>
      <c r="F29" s="1897"/>
      <c r="G29" s="1897"/>
      <c r="H29" s="1897"/>
      <c r="I29" s="1897"/>
      <c r="J29" s="1898"/>
      <c r="K29" s="1904" t="s">
        <v>134</v>
      </c>
      <c r="L29" s="1907" t="s">
        <v>135</v>
      </c>
      <c r="M29" s="1908"/>
      <c r="N29" s="778">
        <v>1.2</v>
      </c>
      <c r="O29" s="167">
        <v>1</v>
      </c>
      <c r="P29" s="518">
        <v>0.7</v>
      </c>
      <c r="Q29" s="311">
        <v>0.3</v>
      </c>
    </row>
  </sheetData>
  <mergeCells count="47">
    <mergeCell ref="K18:Q21"/>
    <mergeCell ref="B1:Q1"/>
    <mergeCell ref="B4:C4"/>
    <mergeCell ref="D4:J4"/>
    <mergeCell ref="K4:Q4"/>
    <mergeCell ref="B5:C6"/>
    <mergeCell ref="D5:J6"/>
    <mergeCell ref="K5:Q5"/>
    <mergeCell ref="K6:Q6"/>
    <mergeCell ref="B7:C7"/>
    <mergeCell ref="D7:J7"/>
    <mergeCell ref="K7:Q7"/>
    <mergeCell ref="B8:C8"/>
    <mergeCell ref="D8:J8"/>
    <mergeCell ref="K8:Q8"/>
    <mergeCell ref="B11:C11"/>
    <mergeCell ref="D11:J11"/>
    <mergeCell ref="K11:Q11"/>
    <mergeCell ref="B12:C13"/>
    <mergeCell ref="D12:J12"/>
    <mergeCell ref="D13:J13"/>
    <mergeCell ref="K13:N13"/>
    <mergeCell ref="K12:N12"/>
    <mergeCell ref="D18:J18"/>
    <mergeCell ref="B18:C21"/>
    <mergeCell ref="D21:J21"/>
    <mergeCell ref="D19:J19"/>
    <mergeCell ref="D20:J20"/>
    <mergeCell ref="B14:C14"/>
    <mergeCell ref="D14:Q14"/>
    <mergeCell ref="B17:C17"/>
    <mergeCell ref="D17:J17"/>
    <mergeCell ref="K17:Q17"/>
    <mergeCell ref="K24:Q24"/>
    <mergeCell ref="K25:K26"/>
    <mergeCell ref="B24:C29"/>
    <mergeCell ref="D24:J29"/>
    <mergeCell ref="B22:C23"/>
    <mergeCell ref="D22:J22"/>
    <mergeCell ref="K22:L23"/>
    <mergeCell ref="D23:J23"/>
    <mergeCell ref="K27:Q27"/>
    <mergeCell ref="K28:K29"/>
    <mergeCell ref="L26:M26"/>
    <mergeCell ref="L25:M25"/>
    <mergeCell ref="L28:M28"/>
    <mergeCell ref="L29:M29"/>
  </mergeCells>
  <phoneticPr fontId="34" type="noConversion"/>
  <printOptions horizontalCentered="1"/>
  <pageMargins left="0.31496062992125984" right="0.31496062992125984" top="0.31496062992125984" bottom="0.31496062992125984" header="0" footer="0"/>
  <pageSetup paperSize="9" scale="86"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36"/>
  <sheetViews>
    <sheetView zoomScaleNormal="100" workbookViewId="0"/>
  </sheetViews>
  <sheetFormatPr defaultRowHeight="16.5"/>
  <cols>
    <col min="1" max="1" width="1" customWidth="1"/>
    <col min="2" max="2" width="16.75" customWidth="1"/>
    <col min="3" max="3" width="10.375" customWidth="1"/>
    <col min="4" max="4" width="8.125" customWidth="1"/>
    <col min="5" max="5" width="8.125" hidden="1" customWidth="1"/>
    <col min="6" max="7" width="8.125" customWidth="1"/>
    <col min="8" max="9" width="8.75" customWidth="1"/>
    <col min="10" max="32" width="8.125" customWidth="1"/>
  </cols>
  <sheetData>
    <row r="1" spans="1:40" s="16" customFormat="1" ht="30" customHeight="1" thickBot="1">
      <c r="B1" s="1139" t="s">
        <v>1731</v>
      </c>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c r="AF1" s="1139"/>
    </row>
    <row r="2" spans="1:40" s="2" customFormat="1" ht="6" customHeight="1" thickTop="1">
      <c r="A2" s="5"/>
      <c r="B2" s="37"/>
      <c r="C2" s="37"/>
      <c r="D2" s="37"/>
      <c r="E2" s="37"/>
      <c r="F2" s="37"/>
      <c r="G2" s="37"/>
      <c r="H2" s="5"/>
      <c r="I2" s="5"/>
      <c r="J2" s="6"/>
      <c r="K2" s="6"/>
      <c r="L2" s="6"/>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0" s="274" customFormat="1" ht="18" customHeight="1" thickBot="1">
      <c r="B3" s="364" t="s">
        <v>1748</v>
      </c>
      <c r="C3" s="273"/>
      <c r="D3" s="273"/>
      <c r="E3" s="273"/>
      <c r="F3" s="273"/>
      <c r="G3" s="273"/>
      <c r="M3" s="275"/>
      <c r="N3" s="275"/>
      <c r="O3" s="275"/>
    </row>
    <row r="4" spans="1:40" s="228" customFormat="1" ht="15.95" customHeight="1">
      <c r="B4" s="1980" t="s">
        <v>369</v>
      </c>
      <c r="C4" s="1981"/>
      <c r="D4" s="1588" t="s">
        <v>370</v>
      </c>
      <c r="E4" s="1982" t="s">
        <v>371</v>
      </c>
      <c r="F4" s="1982" t="s">
        <v>372</v>
      </c>
      <c r="G4" s="769" t="s">
        <v>373</v>
      </c>
      <c r="H4" s="767" t="s">
        <v>374</v>
      </c>
      <c r="I4" s="767" t="s">
        <v>375</v>
      </c>
      <c r="J4" s="1987" t="s">
        <v>376</v>
      </c>
      <c r="K4" s="1985"/>
      <c r="L4" s="1985"/>
      <c r="M4" s="1985"/>
      <c r="N4" s="1988"/>
      <c r="O4" s="1984" t="s">
        <v>377</v>
      </c>
      <c r="P4" s="1985"/>
      <c r="Q4" s="1986"/>
      <c r="R4" s="1989" t="s">
        <v>378</v>
      </c>
      <c r="S4" s="1990"/>
      <c r="T4" s="768">
        <v>0.93</v>
      </c>
      <c r="U4" s="1991" t="s">
        <v>367</v>
      </c>
      <c r="V4" s="1990"/>
      <c r="W4" s="768">
        <v>0.86</v>
      </c>
      <c r="X4" s="1991" t="s">
        <v>379</v>
      </c>
      <c r="Y4" s="1990"/>
      <c r="Z4" s="768">
        <v>0.83</v>
      </c>
      <c r="AA4" s="1991" t="s">
        <v>380</v>
      </c>
      <c r="AB4" s="1990"/>
      <c r="AC4" s="767">
        <v>0.75</v>
      </c>
      <c r="AD4" s="1992" t="s">
        <v>381</v>
      </c>
      <c r="AE4" s="1993"/>
      <c r="AF4" s="768">
        <v>0.7</v>
      </c>
    </row>
    <row r="5" spans="1:40" s="228" customFormat="1" ht="34.5" customHeight="1" thickBot="1">
      <c r="B5" s="19" t="s">
        <v>382</v>
      </c>
      <c r="C5" s="21" t="s">
        <v>383</v>
      </c>
      <c r="D5" s="1589"/>
      <c r="E5" s="1983"/>
      <c r="F5" s="1983"/>
      <c r="G5" s="514">
        <v>0.5</v>
      </c>
      <c r="H5" s="656">
        <v>5.2499999999999998E-2</v>
      </c>
      <c r="I5" s="656">
        <v>5.2499999999999998E-2</v>
      </c>
      <c r="J5" s="117" t="s">
        <v>384</v>
      </c>
      <c r="K5" s="770" t="s">
        <v>385</v>
      </c>
      <c r="L5" s="117" t="s">
        <v>386</v>
      </c>
      <c r="M5" s="117" t="s">
        <v>387</v>
      </c>
      <c r="N5" s="117" t="s">
        <v>388</v>
      </c>
      <c r="O5" s="214" t="s">
        <v>389</v>
      </c>
      <c r="P5" s="307" t="s">
        <v>390</v>
      </c>
      <c r="Q5" s="657" t="s">
        <v>391</v>
      </c>
      <c r="R5" s="658" t="s">
        <v>389</v>
      </c>
      <c r="S5" s="307" t="s">
        <v>390</v>
      </c>
      <c r="T5" s="215" t="s">
        <v>391</v>
      </c>
      <c r="U5" s="214" t="s">
        <v>215</v>
      </c>
      <c r="V5" s="307" t="s">
        <v>64</v>
      </c>
      <c r="W5" s="215" t="s">
        <v>220</v>
      </c>
      <c r="X5" s="214" t="s">
        <v>389</v>
      </c>
      <c r="Y5" s="307" t="s">
        <v>390</v>
      </c>
      <c r="Z5" s="215" t="s">
        <v>391</v>
      </c>
      <c r="AA5" s="214" t="s">
        <v>389</v>
      </c>
      <c r="AB5" s="307" t="s">
        <v>390</v>
      </c>
      <c r="AC5" s="215" t="s">
        <v>391</v>
      </c>
      <c r="AD5" s="214" t="s">
        <v>389</v>
      </c>
      <c r="AE5" s="307" t="s">
        <v>390</v>
      </c>
      <c r="AF5" s="215" t="s">
        <v>391</v>
      </c>
    </row>
    <row r="6" spans="1:40" s="228" customFormat="1" ht="15.95" customHeight="1">
      <c r="B6" s="1996" t="s">
        <v>622</v>
      </c>
      <c r="C6" s="1997"/>
      <c r="D6" s="1998">
        <v>1000</v>
      </c>
      <c r="E6" s="1971">
        <f>D6*C7</f>
        <v>650</v>
      </c>
      <c r="F6" s="1971">
        <f>E6*12</f>
        <v>7800</v>
      </c>
      <c r="G6" s="1971">
        <f>F6*$G$5</f>
        <v>3900</v>
      </c>
      <c r="H6" s="1971">
        <f>F6*$H$5</f>
        <v>409.5</v>
      </c>
      <c r="I6" s="1971">
        <f>F6*$I$5</f>
        <v>409.5</v>
      </c>
      <c r="J6" s="1970">
        <f>F6*155%</f>
        <v>12090</v>
      </c>
      <c r="K6" s="1971">
        <f>J6*60%*8.3%*6</f>
        <v>3612.4920000000002</v>
      </c>
      <c r="L6" s="1970">
        <f>J6*60%</f>
        <v>7254</v>
      </c>
      <c r="M6" s="1970">
        <f>J6*20%</f>
        <v>2418</v>
      </c>
      <c r="N6" s="1974">
        <f>J6*20%</f>
        <v>2418</v>
      </c>
      <c r="O6" s="118">
        <f>G6+H6+K6</f>
        <v>7921.9920000000002</v>
      </c>
      <c r="P6" s="195">
        <f>G6+H6+I6+L6</f>
        <v>11973</v>
      </c>
      <c r="Q6" s="119">
        <f>G6+H6+I6+J6</f>
        <v>16809</v>
      </c>
      <c r="R6" s="168">
        <f>O6*$T$4</f>
        <v>7367.4525600000006</v>
      </c>
      <c r="S6" s="195">
        <f>P6*$T$4</f>
        <v>11134.890000000001</v>
      </c>
      <c r="T6" s="120">
        <f>Q6*$T$4</f>
        <v>15632.37</v>
      </c>
      <c r="U6" s="118">
        <f>O6*$W$4</f>
        <v>6812.9131200000002</v>
      </c>
      <c r="V6" s="195">
        <f>P6*$W$4</f>
        <v>10296.780000000001</v>
      </c>
      <c r="W6" s="120">
        <f>Q6*$W$4</f>
        <v>14455.74</v>
      </c>
      <c r="X6" s="118">
        <f>O6*$Z$4</f>
        <v>6575.2533599999997</v>
      </c>
      <c r="Y6" s="195">
        <f>P6*$Z$4</f>
        <v>9937.59</v>
      </c>
      <c r="Z6" s="120">
        <f>Q6*$Z$4</f>
        <v>13951.47</v>
      </c>
      <c r="AA6" s="168">
        <f>O6*$AC$4</f>
        <v>5941.4940000000006</v>
      </c>
      <c r="AB6" s="195">
        <f>P6*$AC$4</f>
        <v>8979.75</v>
      </c>
      <c r="AC6" s="121">
        <f>Q6*$AC$4</f>
        <v>12606.75</v>
      </c>
      <c r="AD6" s="118">
        <f>O6*$AF$4</f>
        <v>5545.3944000000001</v>
      </c>
      <c r="AE6" s="195">
        <f>P6*$AF$4</f>
        <v>8381.1</v>
      </c>
      <c r="AF6" s="120">
        <f>Q6*$AF$4</f>
        <v>11766.3</v>
      </c>
    </row>
    <row r="7" spans="1:40" s="228" customFormat="1" ht="15.95" customHeight="1">
      <c r="B7" s="764" t="s">
        <v>394</v>
      </c>
      <c r="C7" s="765">
        <v>0.65</v>
      </c>
      <c r="D7" s="1978"/>
      <c r="E7" s="1969"/>
      <c r="F7" s="1969"/>
      <c r="G7" s="1969"/>
      <c r="H7" s="1969"/>
      <c r="I7" s="1969"/>
      <c r="J7" s="1971"/>
      <c r="K7" s="1969"/>
      <c r="L7" s="1971"/>
      <c r="M7" s="1971"/>
      <c r="N7" s="1975"/>
      <c r="O7" s="301">
        <f>O6/D6</f>
        <v>7.9219920000000004</v>
      </c>
      <c r="P7" s="515">
        <f>P6/D6</f>
        <v>11.973000000000001</v>
      </c>
      <c r="Q7" s="302">
        <f>Q6/D6</f>
        <v>16.809000000000001</v>
      </c>
      <c r="R7" s="170">
        <f>R6/D6</f>
        <v>7.3674525600000003</v>
      </c>
      <c r="S7" s="197">
        <f>S6/D6</f>
        <v>11.13489</v>
      </c>
      <c r="T7" s="124">
        <f>T6/D6</f>
        <v>15.632370000000002</v>
      </c>
      <c r="U7" s="123">
        <f>U6/D6</f>
        <v>6.8129131200000002</v>
      </c>
      <c r="V7" s="197">
        <f>V6/D6</f>
        <v>10.29678</v>
      </c>
      <c r="W7" s="124">
        <f>W6/D6</f>
        <v>14.45574</v>
      </c>
      <c r="X7" s="123">
        <f>X6/D6</f>
        <v>6.5752533599999996</v>
      </c>
      <c r="Y7" s="197">
        <f>Y6/D6</f>
        <v>9.9375900000000001</v>
      </c>
      <c r="Z7" s="124">
        <f>Z6/D6</f>
        <v>13.951469999999999</v>
      </c>
      <c r="AA7" s="170">
        <f>AA6/D6</f>
        <v>5.9414940000000005</v>
      </c>
      <c r="AB7" s="197">
        <f>AB6/D6</f>
        <v>8.9797499999999992</v>
      </c>
      <c r="AC7" s="125">
        <f>AC6/D6</f>
        <v>12.60675</v>
      </c>
      <c r="AD7" s="123">
        <f>AD6/D6</f>
        <v>5.5453944000000002</v>
      </c>
      <c r="AE7" s="197">
        <f>AE6/D6</f>
        <v>8.3811</v>
      </c>
      <c r="AF7" s="124">
        <f>AF6/D6</f>
        <v>11.766299999999999</v>
      </c>
    </row>
    <row r="8" spans="1:40" s="228" customFormat="1" ht="15.95" customHeight="1">
      <c r="B8" s="1994" t="s">
        <v>392</v>
      </c>
      <c r="C8" s="1995"/>
      <c r="D8" s="1978">
        <v>1000</v>
      </c>
      <c r="E8" s="1969">
        <f t="shared" ref="E8" si="0">D8*C9</f>
        <v>250</v>
      </c>
      <c r="F8" s="1969">
        <f t="shared" ref="F8" si="1">E8*12</f>
        <v>3000</v>
      </c>
      <c r="G8" s="1971">
        <f>F8*$G$5</f>
        <v>1500</v>
      </c>
      <c r="H8" s="1971">
        <f t="shared" ref="H8" si="2">F8*$H$5</f>
        <v>157.5</v>
      </c>
      <c r="I8" s="1971">
        <f t="shared" ref="I8" si="3">F8*$I$5</f>
        <v>157.5</v>
      </c>
      <c r="J8" s="1973">
        <f t="shared" ref="J8" si="4">F8*155%</f>
        <v>4650</v>
      </c>
      <c r="K8" s="1969">
        <f t="shared" ref="K8" si="5">J8*60%*8.3%*6</f>
        <v>1389.42</v>
      </c>
      <c r="L8" s="1972">
        <f t="shared" ref="L8" si="6">J8*60%</f>
        <v>2790</v>
      </c>
      <c r="M8" s="1972">
        <f t="shared" ref="M8" si="7">J8*20%</f>
        <v>930</v>
      </c>
      <c r="N8" s="1972">
        <f t="shared" ref="N8" si="8">J8*20%</f>
        <v>930</v>
      </c>
      <c r="O8" s="118">
        <f t="shared" ref="O8" si="9">G8+H8+K8</f>
        <v>3046.92</v>
      </c>
      <c r="P8" s="195">
        <f t="shared" ref="P8" si="10">G8+H8+I8+L8</f>
        <v>4605</v>
      </c>
      <c r="Q8" s="119">
        <f t="shared" ref="Q8" si="11">G8+H8+I8+J8</f>
        <v>6465</v>
      </c>
      <c r="R8" s="172">
        <f t="shared" ref="R8" si="12">O8*$T$4</f>
        <v>2833.6356000000001</v>
      </c>
      <c r="S8" s="196">
        <f t="shared" ref="S8" si="13">P8*$T$4</f>
        <v>4282.6500000000005</v>
      </c>
      <c r="T8" s="128">
        <f t="shared" ref="T8" si="14">Q8*$T$4</f>
        <v>6012.4500000000007</v>
      </c>
      <c r="U8" s="126">
        <f t="shared" ref="U8" si="15">O8*$W$4</f>
        <v>2620.3512000000001</v>
      </c>
      <c r="V8" s="195">
        <f t="shared" ref="V8" si="16">P8*$W$4</f>
        <v>3960.2999999999997</v>
      </c>
      <c r="W8" s="128">
        <f t="shared" ref="W8" si="17">Q8*$W$4</f>
        <v>5559.9</v>
      </c>
      <c r="X8" s="126">
        <f t="shared" ref="X8" si="18">O8*$Z$4</f>
        <v>2528.9436000000001</v>
      </c>
      <c r="Y8" s="195">
        <f t="shared" ref="Y8" si="19">P8*$Z$4</f>
        <v>3822.1499999999996</v>
      </c>
      <c r="Z8" s="128">
        <f t="shared" ref="Z8" si="20">Q8*$Z$4</f>
        <v>5365.95</v>
      </c>
      <c r="AA8" s="172">
        <f t="shared" ref="AA8" si="21">O8*$AC$4</f>
        <v>2285.19</v>
      </c>
      <c r="AB8" s="195">
        <f t="shared" ref="AB8" si="22">P8*$AC$4</f>
        <v>3453.75</v>
      </c>
      <c r="AC8" s="171">
        <f t="shared" ref="AC8" si="23">Q8*$AC$4</f>
        <v>4848.75</v>
      </c>
      <c r="AD8" s="126">
        <f t="shared" ref="AD8" si="24">O8*$AF$4</f>
        <v>2132.8440000000001</v>
      </c>
      <c r="AE8" s="195">
        <f t="shared" ref="AE8" si="25">P8*$AF$4</f>
        <v>3223.5</v>
      </c>
      <c r="AF8" s="128">
        <f t="shared" ref="AF8" si="26">Q8*$AF$4</f>
        <v>4525.5</v>
      </c>
    </row>
    <row r="9" spans="1:40" s="228" customFormat="1" ht="15.95" customHeight="1">
      <c r="B9" s="764" t="s">
        <v>393</v>
      </c>
      <c r="C9" s="765">
        <v>0.25</v>
      </c>
      <c r="D9" s="1978"/>
      <c r="E9" s="1969"/>
      <c r="F9" s="1969"/>
      <c r="G9" s="1969"/>
      <c r="H9" s="1969"/>
      <c r="I9" s="1969"/>
      <c r="J9" s="1972"/>
      <c r="K9" s="1969"/>
      <c r="L9" s="1972"/>
      <c r="M9" s="1972"/>
      <c r="N9" s="1972"/>
      <c r="O9" s="301">
        <f t="shared" ref="O9" si="27">O8/D8</f>
        <v>3.0469200000000001</v>
      </c>
      <c r="P9" s="515">
        <f t="shared" ref="P9" si="28">P8/D8</f>
        <v>4.6050000000000004</v>
      </c>
      <c r="Q9" s="302">
        <f t="shared" ref="Q9" si="29">Q8/D8</f>
        <v>6.4649999999999999</v>
      </c>
      <c r="R9" s="170">
        <f t="shared" ref="R9" si="30">R8/D8</f>
        <v>2.8336356</v>
      </c>
      <c r="S9" s="197">
        <f t="shared" ref="S9" si="31">S8/D8</f>
        <v>4.2826500000000003</v>
      </c>
      <c r="T9" s="124">
        <f t="shared" ref="T9" si="32">T8/D8</f>
        <v>6.0124500000000003</v>
      </c>
      <c r="U9" s="123">
        <f t="shared" ref="U9" si="33">U8/D8</f>
        <v>2.6203512</v>
      </c>
      <c r="V9" s="197">
        <f t="shared" ref="V9" si="34">V8/D8</f>
        <v>3.9602999999999997</v>
      </c>
      <c r="W9" s="124">
        <f t="shared" ref="W9" si="35">W8/D8</f>
        <v>5.5598999999999998</v>
      </c>
      <c r="X9" s="123">
        <f t="shared" ref="X9" si="36">X8/D8</f>
        <v>2.5289435999999998</v>
      </c>
      <c r="Y9" s="197">
        <f t="shared" ref="Y9" si="37">Y8/D8</f>
        <v>3.8221499999999997</v>
      </c>
      <c r="Z9" s="124">
        <f t="shared" ref="Z9" si="38">Z8/D8</f>
        <v>5.3659499999999998</v>
      </c>
      <c r="AA9" s="170">
        <f t="shared" ref="AA9" si="39">AA8/D8</f>
        <v>2.2851900000000001</v>
      </c>
      <c r="AB9" s="197">
        <f t="shared" ref="AB9" si="40">AB8/D8</f>
        <v>3.4537499999999999</v>
      </c>
      <c r="AC9" s="125">
        <f t="shared" ref="AC9" si="41">AC8/D8</f>
        <v>4.8487499999999999</v>
      </c>
      <c r="AD9" s="123">
        <f t="shared" ref="AD9" si="42">AD8/D8</f>
        <v>2.132844</v>
      </c>
      <c r="AE9" s="197">
        <f t="shared" ref="AE9" si="43">AE8/D8</f>
        <v>3.2235</v>
      </c>
      <c r="AF9" s="124">
        <f t="shared" ref="AF9" si="44">AF8/D8</f>
        <v>4.5255000000000001</v>
      </c>
    </row>
    <row r="10" spans="1:40" s="228" customFormat="1" ht="18" customHeight="1">
      <c r="B10" s="1994" t="s">
        <v>395</v>
      </c>
      <c r="C10" s="1995"/>
      <c r="D10" s="1978">
        <v>1000</v>
      </c>
      <c r="E10" s="1969">
        <f t="shared" ref="E10" si="45">D10*C11</f>
        <v>250</v>
      </c>
      <c r="F10" s="1969">
        <f t="shared" ref="F10" si="46">E10*12</f>
        <v>3000</v>
      </c>
      <c r="G10" s="1971">
        <f t="shared" ref="G10" si="47">F10*$G$5</f>
        <v>1500</v>
      </c>
      <c r="H10" s="1969">
        <f t="shared" ref="H10" si="48">F10*$H$5</f>
        <v>157.5</v>
      </c>
      <c r="I10" s="1979">
        <f t="shared" ref="I10" si="49">F10*$I$5</f>
        <v>157.5</v>
      </c>
      <c r="J10" s="1972">
        <f t="shared" ref="J10" si="50">F10*155%</f>
        <v>4650</v>
      </c>
      <c r="K10" s="1969">
        <f t="shared" ref="K10" si="51">J10*60%*8.3%*6</f>
        <v>1389.42</v>
      </c>
      <c r="L10" s="1972">
        <f t="shared" ref="L10" si="52">J10*60%</f>
        <v>2790</v>
      </c>
      <c r="M10" s="1972">
        <f t="shared" ref="M10" si="53">J10*20%</f>
        <v>930</v>
      </c>
      <c r="N10" s="1972">
        <f t="shared" ref="N10" si="54">J10*20%</f>
        <v>930</v>
      </c>
      <c r="O10" s="126">
        <f t="shared" ref="O10" si="55">G10+H10+K10</f>
        <v>3046.92</v>
      </c>
      <c r="P10" s="196">
        <f t="shared" ref="P10" si="56">G10+H10+I10+L10</f>
        <v>4605</v>
      </c>
      <c r="Q10" s="121">
        <f t="shared" ref="Q10" si="57">G10+H10+I10+J10</f>
        <v>6465</v>
      </c>
      <c r="R10" s="126">
        <f t="shared" ref="R10" si="58">O10*$T$4</f>
        <v>2833.6356000000001</v>
      </c>
      <c r="S10" s="196">
        <f t="shared" ref="S10" si="59">P10*$T$4</f>
        <v>4282.6500000000005</v>
      </c>
      <c r="T10" s="128">
        <f t="shared" ref="T10" si="60">Q10*$T$4</f>
        <v>6012.4500000000007</v>
      </c>
      <c r="U10" s="126">
        <f t="shared" ref="U10" si="61">O10*$W$4</f>
        <v>2620.3512000000001</v>
      </c>
      <c r="V10" s="195">
        <f t="shared" ref="V10" si="62">P10*$W$4</f>
        <v>3960.2999999999997</v>
      </c>
      <c r="W10" s="128">
        <f t="shared" ref="W10" si="63">Q10*$W$4</f>
        <v>5559.9</v>
      </c>
      <c r="X10" s="126">
        <f t="shared" ref="X10" si="64">O10*$Z$4</f>
        <v>2528.9436000000001</v>
      </c>
      <c r="Y10" s="195">
        <f t="shared" ref="Y10" si="65">P10*$Z$4</f>
        <v>3822.1499999999996</v>
      </c>
      <c r="Z10" s="128">
        <f t="shared" ref="Z10" si="66">Q10*$Z$4</f>
        <v>5365.95</v>
      </c>
      <c r="AA10" s="172">
        <f t="shared" ref="AA10" si="67">O10*$AC$4</f>
        <v>2285.19</v>
      </c>
      <c r="AB10" s="195">
        <f t="shared" ref="AB10" si="68">P10*$AC$4</f>
        <v>3453.75</v>
      </c>
      <c r="AC10" s="171">
        <f t="shared" ref="AC10" si="69">Q10*$AC$4</f>
        <v>4848.75</v>
      </c>
      <c r="AD10" s="126">
        <f t="shared" ref="AD10" si="70">O10*$AF$4</f>
        <v>2132.8440000000001</v>
      </c>
      <c r="AE10" s="195">
        <f t="shared" ref="AE10" si="71">P10*$AF$4</f>
        <v>3223.5</v>
      </c>
      <c r="AF10" s="128">
        <f t="shared" ref="AF10" si="72">Q10*$AF$4</f>
        <v>4525.5</v>
      </c>
    </row>
    <row r="11" spans="1:40" s="228" customFormat="1" ht="18" customHeight="1">
      <c r="B11" s="764" t="s">
        <v>86</v>
      </c>
      <c r="C11" s="765">
        <v>0.25</v>
      </c>
      <c r="D11" s="1978"/>
      <c r="E11" s="1969"/>
      <c r="F11" s="1969"/>
      <c r="G11" s="1969"/>
      <c r="H11" s="1969"/>
      <c r="I11" s="1971"/>
      <c r="J11" s="1972"/>
      <c r="K11" s="1969"/>
      <c r="L11" s="1972"/>
      <c r="M11" s="1972"/>
      <c r="N11" s="1972"/>
      <c r="O11" s="301">
        <f t="shared" ref="O11" si="73">O10/D10</f>
        <v>3.0469200000000001</v>
      </c>
      <c r="P11" s="515">
        <f t="shared" ref="P11" si="74">P10/D10</f>
        <v>4.6050000000000004</v>
      </c>
      <c r="Q11" s="303">
        <f t="shared" ref="Q11" si="75">Q10/D10</f>
        <v>6.4649999999999999</v>
      </c>
      <c r="R11" s="123">
        <f t="shared" ref="R11" si="76">R10/D10</f>
        <v>2.8336356</v>
      </c>
      <c r="S11" s="197">
        <f t="shared" ref="S11" si="77">S10/D10</f>
        <v>4.2826500000000003</v>
      </c>
      <c r="T11" s="124">
        <f t="shared" ref="T11" si="78">T10/D10</f>
        <v>6.0124500000000003</v>
      </c>
      <c r="U11" s="123">
        <f t="shared" ref="U11" si="79">U10/D10</f>
        <v>2.6203512</v>
      </c>
      <c r="V11" s="197">
        <f t="shared" ref="V11" si="80">V10/D10</f>
        <v>3.9602999999999997</v>
      </c>
      <c r="W11" s="124">
        <f t="shared" ref="W11" si="81">W10/D10</f>
        <v>5.5598999999999998</v>
      </c>
      <c r="X11" s="123">
        <f t="shared" ref="X11" si="82">X10/D10</f>
        <v>2.5289435999999998</v>
      </c>
      <c r="Y11" s="197">
        <f t="shared" ref="Y11" si="83">Y10/D10</f>
        <v>3.8221499999999997</v>
      </c>
      <c r="Z11" s="124">
        <f t="shared" ref="Z11" si="84">Z10/D10</f>
        <v>5.3659499999999998</v>
      </c>
      <c r="AA11" s="170">
        <f t="shared" ref="AA11" si="85">AA10/D10</f>
        <v>2.2851900000000001</v>
      </c>
      <c r="AB11" s="197">
        <f t="shared" ref="AB11" si="86">AB10/D10</f>
        <v>3.4537499999999999</v>
      </c>
      <c r="AC11" s="125">
        <f t="shared" ref="AC11" si="87">AC10/D10</f>
        <v>4.8487499999999999</v>
      </c>
      <c r="AD11" s="123">
        <f t="shared" ref="AD11" si="88">AD10/D10</f>
        <v>2.132844</v>
      </c>
      <c r="AE11" s="197">
        <f t="shared" ref="AE11" si="89">AE10/D10</f>
        <v>3.2235</v>
      </c>
      <c r="AF11" s="124">
        <f t="shared" ref="AF11" si="90">AF10/D10</f>
        <v>4.5255000000000001</v>
      </c>
    </row>
    <row r="12" spans="1:40" s="228" customFormat="1" ht="18" customHeight="1">
      <c r="B12" s="1976" t="s">
        <v>623</v>
      </c>
      <c r="C12" s="1977"/>
      <c r="D12" s="1978">
        <v>1000</v>
      </c>
      <c r="E12" s="1969">
        <f t="shared" ref="E12" si="91">D12*C13</f>
        <v>650</v>
      </c>
      <c r="F12" s="1969">
        <f t="shared" ref="F12" si="92">E12*12</f>
        <v>7800</v>
      </c>
      <c r="G12" s="1971">
        <f t="shared" ref="G12" si="93">F12*$G$5</f>
        <v>3900</v>
      </c>
      <c r="H12" s="1969">
        <f t="shared" ref="H12" si="94">F12*$H$5</f>
        <v>409.5</v>
      </c>
      <c r="I12" s="1979">
        <f t="shared" ref="I12" si="95">F12*$I$5</f>
        <v>409.5</v>
      </c>
      <c r="J12" s="1972">
        <f t="shared" ref="J12" si="96">F12*155%</f>
        <v>12090</v>
      </c>
      <c r="K12" s="1969">
        <f t="shared" ref="K12" si="97">J12*60%*8.3%*6</f>
        <v>3612.4920000000002</v>
      </c>
      <c r="L12" s="1972">
        <f t="shared" ref="L12" si="98">J12*60%</f>
        <v>7254</v>
      </c>
      <c r="M12" s="1972">
        <f t="shared" ref="M12" si="99">J12*20%</f>
        <v>2418</v>
      </c>
      <c r="N12" s="1972">
        <f t="shared" ref="N12" si="100">J12*20%</f>
        <v>2418</v>
      </c>
      <c r="O12" s="126">
        <f t="shared" ref="O12" si="101">G12+H12+K12</f>
        <v>7921.9920000000002</v>
      </c>
      <c r="P12" s="196">
        <f t="shared" ref="P12" si="102">G12+H12+I12+L12</f>
        <v>11973</v>
      </c>
      <c r="Q12" s="121">
        <f t="shared" ref="Q12" si="103">G12+H12+I12+J12</f>
        <v>16809</v>
      </c>
      <c r="R12" s="126">
        <f t="shared" ref="R12" si="104">O12*$T$4</f>
        <v>7367.4525600000006</v>
      </c>
      <c r="S12" s="196">
        <f t="shared" ref="S12" si="105">P12*$T$4</f>
        <v>11134.890000000001</v>
      </c>
      <c r="T12" s="128">
        <f t="shared" ref="T12" si="106">Q12*$T$4</f>
        <v>15632.37</v>
      </c>
      <c r="U12" s="126">
        <f t="shared" ref="U12" si="107">O12*$W$4</f>
        <v>6812.9131200000002</v>
      </c>
      <c r="V12" s="195">
        <f t="shared" ref="V12" si="108">P12*$W$4</f>
        <v>10296.780000000001</v>
      </c>
      <c r="W12" s="128">
        <f t="shared" ref="W12" si="109">Q12*$W$4</f>
        <v>14455.74</v>
      </c>
      <c r="X12" s="126">
        <f t="shared" ref="X12" si="110">O12*$Z$4</f>
        <v>6575.2533599999997</v>
      </c>
      <c r="Y12" s="195">
        <f t="shared" ref="Y12" si="111">P12*$Z$4</f>
        <v>9937.59</v>
      </c>
      <c r="Z12" s="128">
        <f t="shared" ref="Z12" si="112">Q12*$Z$4</f>
        <v>13951.47</v>
      </c>
      <c r="AA12" s="172">
        <f t="shared" ref="AA12" si="113">O12*$AC$4</f>
        <v>5941.4940000000006</v>
      </c>
      <c r="AB12" s="195">
        <f t="shared" ref="AB12" si="114">P12*$AC$4</f>
        <v>8979.75</v>
      </c>
      <c r="AC12" s="171">
        <f t="shared" ref="AC12" si="115">Q12*$AC$4</f>
        <v>12606.75</v>
      </c>
      <c r="AD12" s="126">
        <f t="shared" ref="AD12" si="116">O12*$AF$4</f>
        <v>5545.3944000000001</v>
      </c>
      <c r="AE12" s="195">
        <f t="shared" ref="AE12" si="117">P12*$AF$4</f>
        <v>8381.1</v>
      </c>
      <c r="AF12" s="128">
        <f t="shared" ref="AF12" si="118">Q12*$AF$4</f>
        <v>11766.3</v>
      </c>
    </row>
    <row r="13" spans="1:40" s="228" customFormat="1" ht="18" customHeight="1">
      <c r="B13" s="122" t="s">
        <v>624</v>
      </c>
      <c r="C13" s="169">
        <v>0.65</v>
      </c>
      <c r="D13" s="1978"/>
      <c r="E13" s="1969"/>
      <c r="F13" s="1969"/>
      <c r="G13" s="1969"/>
      <c r="H13" s="1969"/>
      <c r="I13" s="1971"/>
      <c r="J13" s="1972"/>
      <c r="K13" s="1969"/>
      <c r="L13" s="1972"/>
      <c r="M13" s="1972"/>
      <c r="N13" s="1972"/>
      <c r="O13" s="301">
        <f t="shared" ref="O13" si="119">O12/D12</f>
        <v>7.9219920000000004</v>
      </c>
      <c r="P13" s="515">
        <f t="shared" ref="P13" si="120">P12/D12</f>
        <v>11.973000000000001</v>
      </c>
      <c r="Q13" s="303">
        <f t="shared" ref="Q13" si="121">Q12/D12</f>
        <v>16.809000000000001</v>
      </c>
      <c r="R13" s="123">
        <f t="shared" ref="R13" si="122">R12/D12</f>
        <v>7.3674525600000003</v>
      </c>
      <c r="S13" s="197">
        <f t="shared" ref="S13" si="123">S12/D12</f>
        <v>11.13489</v>
      </c>
      <c r="T13" s="124">
        <f t="shared" ref="T13" si="124">T12/D12</f>
        <v>15.632370000000002</v>
      </c>
      <c r="U13" s="123">
        <f t="shared" ref="U13" si="125">U12/D12</f>
        <v>6.8129131200000002</v>
      </c>
      <c r="V13" s="197">
        <f t="shared" ref="V13" si="126">V12/D12</f>
        <v>10.29678</v>
      </c>
      <c r="W13" s="124">
        <f t="shared" ref="W13" si="127">W12/D12</f>
        <v>14.45574</v>
      </c>
      <c r="X13" s="123">
        <f t="shared" ref="X13" si="128">X12/D12</f>
        <v>6.5752533599999996</v>
      </c>
      <c r="Y13" s="197">
        <f t="shared" ref="Y13" si="129">Y12/D12</f>
        <v>9.9375900000000001</v>
      </c>
      <c r="Z13" s="124">
        <f t="shared" ref="Z13" si="130">Z12/D12</f>
        <v>13.951469999999999</v>
      </c>
      <c r="AA13" s="170">
        <f t="shared" ref="AA13" si="131">AA12/D12</f>
        <v>5.9414940000000005</v>
      </c>
      <c r="AB13" s="197">
        <f t="shared" ref="AB13" si="132">AB12/D12</f>
        <v>8.9797499999999992</v>
      </c>
      <c r="AC13" s="125">
        <f t="shared" ref="AC13" si="133">AC12/D12</f>
        <v>12.60675</v>
      </c>
      <c r="AD13" s="129">
        <f t="shared" ref="AD13" si="134">AD12/D12</f>
        <v>5.5453944000000002</v>
      </c>
      <c r="AE13" s="197">
        <f t="shared" ref="AE13" si="135">AE12/D12</f>
        <v>8.3811</v>
      </c>
      <c r="AF13" s="130">
        <f t="shared" ref="AF13" si="136">AF12/D12</f>
        <v>11.766299999999999</v>
      </c>
    </row>
    <row r="14" spans="1:40" s="228" customFormat="1" ht="18" customHeight="1">
      <c r="B14" s="1976" t="s">
        <v>87</v>
      </c>
      <c r="C14" s="1977"/>
      <c r="D14" s="1978">
        <v>1000</v>
      </c>
      <c r="E14" s="1969">
        <f t="shared" ref="E14" si="137">D14*C15</f>
        <v>650</v>
      </c>
      <c r="F14" s="1969">
        <f t="shared" ref="F14" si="138">E14*12</f>
        <v>7800</v>
      </c>
      <c r="G14" s="1971">
        <f t="shared" ref="G14" si="139">F14*$G$5</f>
        <v>3900</v>
      </c>
      <c r="H14" s="1969">
        <f t="shared" ref="H14" si="140">F14*$H$5</f>
        <v>409.5</v>
      </c>
      <c r="I14" s="1979">
        <f t="shared" ref="I14" si="141">F14*$I$5</f>
        <v>409.5</v>
      </c>
      <c r="J14" s="1972">
        <f t="shared" ref="J14" si="142">F14*155%</f>
        <v>12090</v>
      </c>
      <c r="K14" s="1969">
        <f t="shared" ref="K14" si="143">J14*60%*8.3%*6</f>
        <v>3612.4920000000002</v>
      </c>
      <c r="L14" s="1972">
        <f t="shared" ref="L14" si="144">J14*60%</f>
        <v>7254</v>
      </c>
      <c r="M14" s="1972">
        <f t="shared" ref="M14" si="145">J14*20%</f>
        <v>2418</v>
      </c>
      <c r="N14" s="1972">
        <f t="shared" ref="N14" si="146">J14*20%</f>
        <v>2418</v>
      </c>
      <c r="O14" s="126">
        <f t="shared" ref="O14" si="147">G14+H14+K14</f>
        <v>7921.9920000000002</v>
      </c>
      <c r="P14" s="196">
        <f t="shared" ref="P14" si="148">G14+H14+I14+L14</f>
        <v>11973</v>
      </c>
      <c r="Q14" s="121">
        <f t="shared" ref="Q14" si="149">G14+H14+I14+J14</f>
        <v>16809</v>
      </c>
      <c r="R14" s="126">
        <f t="shared" ref="R14" si="150">O14*$T$4</f>
        <v>7367.4525600000006</v>
      </c>
      <c r="S14" s="196">
        <f t="shared" ref="S14" si="151">P14*$T$4</f>
        <v>11134.890000000001</v>
      </c>
      <c r="T14" s="128">
        <f t="shared" ref="T14" si="152">Q14*$T$4</f>
        <v>15632.37</v>
      </c>
      <c r="U14" s="126">
        <f t="shared" ref="U14" si="153">O14*$W$4</f>
        <v>6812.9131200000002</v>
      </c>
      <c r="V14" s="195">
        <f t="shared" ref="V14" si="154">P14*$W$4</f>
        <v>10296.780000000001</v>
      </c>
      <c r="W14" s="128">
        <f t="shared" ref="W14" si="155">Q14*$W$4</f>
        <v>14455.74</v>
      </c>
      <c r="X14" s="126">
        <f t="shared" ref="X14" si="156">O14*$Z$4</f>
        <v>6575.2533599999997</v>
      </c>
      <c r="Y14" s="195">
        <f t="shared" ref="Y14" si="157">P14*$Z$4</f>
        <v>9937.59</v>
      </c>
      <c r="Z14" s="128">
        <f t="shared" ref="Z14" si="158">Q14*$Z$4</f>
        <v>13951.47</v>
      </c>
      <c r="AA14" s="172">
        <f t="shared" ref="AA14" si="159">O14*$AC$4</f>
        <v>5941.4940000000006</v>
      </c>
      <c r="AB14" s="195">
        <f t="shared" ref="AB14" si="160">P14*$AC$4</f>
        <v>8979.75</v>
      </c>
      <c r="AC14" s="171">
        <f t="shared" ref="AC14" si="161">Q14*$AC$4</f>
        <v>12606.75</v>
      </c>
      <c r="AD14" s="126">
        <f t="shared" ref="AD14" si="162">O14*$AF$4</f>
        <v>5545.3944000000001</v>
      </c>
      <c r="AE14" s="195">
        <f t="shared" ref="AE14" si="163">P14*$AF$4</f>
        <v>8381.1</v>
      </c>
      <c r="AF14" s="128">
        <f t="shared" ref="AF14" si="164">Q14*$AF$4</f>
        <v>11766.3</v>
      </c>
    </row>
    <row r="15" spans="1:40" s="228" customFormat="1" ht="18" customHeight="1">
      <c r="B15" s="122" t="s">
        <v>394</v>
      </c>
      <c r="C15" s="169">
        <v>0.65</v>
      </c>
      <c r="D15" s="1978"/>
      <c r="E15" s="1969"/>
      <c r="F15" s="1969"/>
      <c r="G15" s="1969"/>
      <c r="H15" s="1969"/>
      <c r="I15" s="1971"/>
      <c r="J15" s="1972"/>
      <c r="K15" s="1969"/>
      <c r="L15" s="1972"/>
      <c r="M15" s="1972"/>
      <c r="N15" s="1972"/>
      <c r="O15" s="301">
        <f t="shared" ref="O15" si="165">O14/D14</f>
        <v>7.9219920000000004</v>
      </c>
      <c r="P15" s="515">
        <f t="shared" ref="P15" si="166">P14/D14</f>
        <v>11.973000000000001</v>
      </c>
      <c r="Q15" s="303">
        <f t="shared" ref="Q15" si="167">Q14/D14</f>
        <v>16.809000000000001</v>
      </c>
      <c r="R15" s="123">
        <f t="shared" ref="R15" si="168">R14/D14</f>
        <v>7.3674525600000003</v>
      </c>
      <c r="S15" s="197">
        <f t="shared" ref="S15" si="169">S14/D14</f>
        <v>11.13489</v>
      </c>
      <c r="T15" s="124">
        <f t="shared" ref="T15" si="170">T14/D14</f>
        <v>15.632370000000002</v>
      </c>
      <c r="U15" s="123">
        <f t="shared" ref="U15" si="171">U14/D14</f>
        <v>6.8129131200000002</v>
      </c>
      <c r="V15" s="197">
        <f t="shared" ref="V15" si="172">V14/D14</f>
        <v>10.29678</v>
      </c>
      <c r="W15" s="124">
        <f t="shared" ref="W15" si="173">W14/D14</f>
        <v>14.45574</v>
      </c>
      <c r="X15" s="123">
        <f t="shared" ref="X15" si="174">X14/D14</f>
        <v>6.5752533599999996</v>
      </c>
      <c r="Y15" s="197">
        <f t="shared" ref="Y15" si="175">Y14/D14</f>
        <v>9.9375900000000001</v>
      </c>
      <c r="Z15" s="124">
        <f t="shared" ref="Z15" si="176">Z14/D14</f>
        <v>13.951469999999999</v>
      </c>
      <c r="AA15" s="170">
        <f t="shared" ref="AA15" si="177">AA14/D14</f>
        <v>5.9414940000000005</v>
      </c>
      <c r="AB15" s="197">
        <f t="shared" ref="AB15" si="178">AB14/D14</f>
        <v>8.9797499999999992</v>
      </c>
      <c r="AC15" s="125">
        <f t="shared" ref="AC15" si="179">AC14/D14</f>
        <v>12.60675</v>
      </c>
      <c r="AD15" s="123">
        <f t="shared" ref="AD15" si="180">AD14/D14</f>
        <v>5.5453944000000002</v>
      </c>
      <c r="AE15" s="197">
        <f t="shared" ref="AE15" si="181">AE14/D14</f>
        <v>8.3811</v>
      </c>
      <c r="AF15" s="124">
        <f t="shared" ref="AF15" si="182">AF14/D14</f>
        <v>11.766299999999999</v>
      </c>
    </row>
    <row r="16" spans="1:40" s="228" customFormat="1" ht="18" customHeight="1">
      <c r="B16" s="1976" t="s">
        <v>88</v>
      </c>
      <c r="C16" s="1977"/>
      <c r="D16" s="1978">
        <v>1000</v>
      </c>
      <c r="E16" s="1969">
        <f t="shared" ref="E16" si="183">D16*C17</f>
        <v>600</v>
      </c>
      <c r="F16" s="1969">
        <f t="shared" ref="F16" si="184">E16*12</f>
        <v>7200</v>
      </c>
      <c r="G16" s="1971">
        <f t="shared" ref="G16" si="185">F16*$G$5</f>
        <v>3600</v>
      </c>
      <c r="H16" s="1969">
        <f t="shared" ref="H16:H20" si="186">F16*$H$5</f>
        <v>378</v>
      </c>
      <c r="I16" s="1979">
        <f t="shared" ref="I16" si="187">F16*$I$5</f>
        <v>378</v>
      </c>
      <c r="J16" s="1972">
        <f t="shared" ref="J16" si="188">F16*155%</f>
        <v>11160</v>
      </c>
      <c r="K16" s="1969">
        <f t="shared" ref="K16" si="189">J16*60%*8.3%*6</f>
        <v>3334.6080000000002</v>
      </c>
      <c r="L16" s="1972">
        <f t="shared" ref="L16" si="190">J16*60%</f>
        <v>6696</v>
      </c>
      <c r="M16" s="1972">
        <f t="shared" ref="M16" si="191">J16*20%</f>
        <v>2232</v>
      </c>
      <c r="N16" s="1972">
        <f t="shared" ref="N16" si="192">J16*20%</f>
        <v>2232</v>
      </c>
      <c r="O16" s="126">
        <f t="shared" ref="O16" si="193">G16+H16+K16</f>
        <v>7312.6080000000002</v>
      </c>
      <c r="P16" s="196">
        <f t="shared" ref="P16" si="194">G16+H16+I16+L16</f>
        <v>11052</v>
      </c>
      <c r="Q16" s="121">
        <f t="shared" ref="Q16" si="195">G16+H16+I16+J16</f>
        <v>15516</v>
      </c>
      <c r="R16" s="126">
        <f t="shared" ref="R16" si="196">O16*$T$4</f>
        <v>6800.7254400000002</v>
      </c>
      <c r="S16" s="196">
        <f t="shared" ref="S16" si="197">P16*$T$4</f>
        <v>10278.36</v>
      </c>
      <c r="T16" s="128">
        <f t="shared" ref="T16" si="198">Q16*$T$4</f>
        <v>14429.880000000001</v>
      </c>
      <c r="U16" s="126">
        <f t="shared" ref="U16" si="199">O16*$W$4</f>
        <v>6288.8428800000002</v>
      </c>
      <c r="V16" s="195">
        <f t="shared" ref="V16" si="200">P16*$W$4</f>
        <v>9504.7199999999993</v>
      </c>
      <c r="W16" s="128">
        <f t="shared" ref="W16" si="201">Q16*$W$4</f>
        <v>13343.76</v>
      </c>
      <c r="X16" s="126">
        <f t="shared" ref="X16" si="202">O16*$Z$4</f>
        <v>6069.4646400000001</v>
      </c>
      <c r="Y16" s="195">
        <f t="shared" ref="Y16" si="203">P16*$Z$4</f>
        <v>9173.16</v>
      </c>
      <c r="Z16" s="128">
        <f t="shared" ref="Z16" si="204">Q16*$Z$4</f>
        <v>12878.279999999999</v>
      </c>
      <c r="AA16" s="172">
        <f t="shared" ref="AA16" si="205">O16*$AC$4</f>
        <v>5484.4560000000001</v>
      </c>
      <c r="AB16" s="195">
        <f t="shared" ref="AB16" si="206">P16*$AC$4</f>
        <v>8289</v>
      </c>
      <c r="AC16" s="171">
        <f t="shared" ref="AC16" si="207">Q16*$AC$4</f>
        <v>11637</v>
      </c>
      <c r="AD16" s="126">
        <f t="shared" ref="AD16" si="208">O16*$AF$4</f>
        <v>5118.8256000000001</v>
      </c>
      <c r="AE16" s="195">
        <f t="shared" ref="AE16" si="209">P16*$AF$4</f>
        <v>7736.4</v>
      </c>
      <c r="AF16" s="128">
        <f t="shared" ref="AF16" si="210">Q16*$AF$4</f>
        <v>10861.199999999999</v>
      </c>
    </row>
    <row r="17" spans="1:34" s="228" customFormat="1" ht="18" customHeight="1">
      <c r="B17" s="122" t="s">
        <v>396</v>
      </c>
      <c r="C17" s="169">
        <v>0.6</v>
      </c>
      <c r="D17" s="1978"/>
      <c r="E17" s="1969"/>
      <c r="F17" s="1969"/>
      <c r="G17" s="1969"/>
      <c r="H17" s="1969"/>
      <c r="I17" s="1971"/>
      <c r="J17" s="1972"/>
      <c r="K17" s="1969"/>
      <c r="L17" s="1972"/>
      <c r="M17" s="1972"/>
      <c r="N17" s="1972"/>
      <c r="O17" s="301">
        <f t="shared" ref="O17" si="211">O16/D16</f>
        <v>7.312608</v>
      </c>
      <c r="P17" s="515">
        <f t="shared" ref="P17" si="212">P16/D16</f>
        <v>11.052</v>
      </c>
      <c r="Q17" s="303">
        <f t="shared" ref="Q17" si="213">Q16/D16</f>
        <v>15.516</v>
      </c>
      <c r="R17" s="123">
        <f t="shared" ref="R17" si="214">R16/D16</f>
        <v>6.8007254399999999</v>
      </c>
      <c r="S17" s="197">
        <f t="shared" ref="S17" si="215">S16/D16</f>
        <v>10.278360000000001</v>
      </c>
      <c r="T17" s="124">
        <f t="shared" ref="T17" si="216">T16/D16</f>
        <v>14.429880000000001</v>
      </c>
      <c r="U17" s="123">
        <f t="shared" ref="U17" si="217">U16/D16</f>
        <v>6.2888428799999998</v>
      </c>
      <c r="V17" s="197">
        <f t="shared" ref="V17" si="218">V16/D16</f>
        <v>9.5047199999999989</v>
      </c>
      <c r="W17" s="124">
        <f t="shared" ref="W17" si="219">W16/D16</f>
        <v>13.34376</v>
      </c>
      <c r="X17" s="123">
        <f t="shared" ref="X17" si="220">X16/D16</f>
        <v>6.0694646400000005</v>
      </c>
      <c r="Y17" s="197">
        <f t="shared" ref="Y17" si="221">Y16/D16</f>
        <v>9.1731599999999993</v>
      </c>
      <c r="Z17" s="124">
        <f t="shared" ref="Z17" si="222">Z16/D16</f>
        <v>12.878279999999998</v>
      </c>
      <c r="AA17" s="170">
        <f t="shared" ref="AA17" si="223">AA16/D16</f>
        <v>5.4844559999999998</v>
      </c>
      <c r="AB17" s="197">
        <f t="shared" ref="AB17" si="224">AB16/D16</f>
        <v>8.2889999999999997</v>
      </c>
      <c r="AC17" s="125">
        <f t="shared" ref="AC17" si="225">AC16/D16</f>
        <v>11.637</v>
      </c>
      <c r="AD17" s="123">
        <f t="shared" ref="AD17" si="226">AD16/D16</f>
        <v>5.1188256000000001</v>
      </c>
      <c r="AE17" s="197">
        <f t="shared" ref="AE17" si="227">AE16/D16</f>
        <v>7.7363999999999997</v>
      </c>
      <c r="AF17" s="124">
        <f t="shared" ref="AF17" si="228">AF16/D16</f>
        <v>10.861199999999998</v>
      </c>
    </row>
    <row r="18" spans="1:34" s="228" customFormat="1" ht="18" customHeight="1">
      <c r="B18" s="1976" t="s">
        <v>89</v>
      </c>
      <c r="C18" s="1977"/>
      <c r="D18" s="1978">
        <v>100000</v>
      </c>
      <c r="E18" s="1969">
        <f>D18*C19</f>
        <v>2400</v>
      </c>
      <c r="F18" s="1969">
        <f>E18</f>
        <v>2400</v>
      </c>
      <c r="G18" s="1969">
        <f>F18*G5</f>
        <v>1200</v>
      </c>
      <c r="H18" s="1969">
        <f t="shared" si="186"/>
        <v>126</v>
      </c>
      <c r="I18" s="1979">
        <f>F18*$I$5</f>
        <v>126</v>
      </c>
      <c r="J18" s="1972">
        <f>F18*155%</f>
        <v>3720</v>
      </c>
      <c r="K18" s="1969">
        <f>J18</f>
        <v>3720</v>
      </c>
      <c r="L18" s="1972">
        <f>J18</f>
        <v>3720</v>
      </c>
      <c r="M18" s="1972" t="s">
        <v>32</v>
      </c>
      <c r="N18" s="1972" t="s">
        <v>90</v>
      </c>
      <c r="O18" s="126">
        <f t="shared" ref="O18" si="229">G18+H18+K18</f>
        <v>5046</v>
      </c>
      <c r="P18" s="196">
        <f t="shared" ref="P18" si="230">G18+H18+I18+L18</f>
        <v>5172</v>
      </c>
      <c r="Q18" s="171">
        <f t="shared" ref="Q18" si="231">G18+H18+I18+J18</f>
        <v>5172</v>
      </c>
      <c r="R18" s="126">
        <f t="shared" ref="R18" si="232">O18*$T$4</f>
        <v>4692.7800000000007</v>
      </c>
      <c r="S18" s="196">
        <f t="shared" ref="S18" si="233">P18*$T$4</f>
        <v>4809.96</v>
      </c>
      <c r="T18" s="128">
        <f t="shared" ref="T18" si="234">Q18*$T$4</f>
        <v>4809.96</v>
      </c>
      <c r="U18" s="126">
        <f t="shared" ref="U18" si="235">O18*$W$4</f>
        <v>4339.5599999999995</v>
      </c>
      <c r="V18" s="196">
        <f t="shared" ref="V18" si="236">P18*$W$4</f>
        <v>4447.92</v>
      </c>
      <c r="W18" s="128">
        <f t="shared" ref="W18" si="237">Q18*$W$4</f>
        <v>4447.92</v>
      </c>
      <c r="X18" s="126">
        <f t="shared" ref="X18" si="238">O18*$Z$4</f>
        <v>4188.1799999999994</v>
      </c>
      <c r="Y18" s="196">
        <f t="shared" ref="Y18" si="239">P18*$Z$4</f>
        <v>4292.76</v>
      </c>
      <c r="Z18" s="128">
        <f t="shared" ref="Z18" si="240">Q18*$Z$4</f>
        <v>4292.76</v>
      </c>
      <c r="AA18" s="172">
        <f t="shared" ref="AA18" si="241">O18*$AC$4</f>
        <v>3784.5</v>
      </c>
      <c r="AB18" s="196">
        <f t="shared" ref="AB18" si="242">P18*$AC$4</f>
        <v>3879</v>
      </c>
      <c r="AC18" s="171">
        <f t="shared" ref="AC18" si="243">Q18*$AC$4</f>
        <v>3879</v>
      </c>
      <c r="AD18" s="126">
        <f t="shared" ref="AD18" si="244">O18*$AF$4</f>
        <v>3532.2</v>
      </c>
      <c r="AE18" s="196">
        <f t="shared" ref="AE18" si="245">P18*$AF$4</f>
        <v>3620.3999999999996</v>
      </c>
      <c r="AF18" s="128">
        <f t="shared" ref="AF18" si="246">Q18*$AF$4</f>
        <v>3620.3999999999996</v>
      </c>
    </row>
    <row r="19" spans="1:34" s="228" customFormat="1" ht="18" customHeight="1">
      <c r="B19" s="122" t="s">
        <v>66</v>
      </c>
      <c r="C19" s="225">
        <v>2.4E-2</v>
      </c>
      <c r="D19" s="1978"/>
      <c r="E19" s="1969"/>
      <c r="F19" s="1969"/>
      <c r="G19" s="1969"/>
      <c r="H19" s="1969"/>
      <c r="I19" s="1971"/>
      <c r="J19" s="1972"/>
      <c r="K19" s="1969"/>
      <c r="L19" s="1972"/>
      <c r="M19" s="1972"/>
      <c r="N19" s="1972"/>
      <c r="O19" s="301">
        <f t="shared" ref="O19" si="247">O18/D18</f>
        <v>5.0459999999999998E-2</v>
      </c>
      <c r="P19" s="515">
        <f t="shared" ref="P19" si="248">P18/D18</f>
        <v>5.1720000000000002E-2</v>
      </c>
      <c r="Q19" s="303">
        <f t="shared" ref="Q19" si="249">Q18/D18</f>
        <v>5.1720000000000002E-2</v>
      </c>
      <c r="R19" s="123">
        <f t="shared" ref="R19" si="250">R18/D18</f>
        <v>4.6927800000000006E-2</v>
      </c>
      <c r="S19" s="197">
        <f t="shared" ref="S19" si="251">S18/D18</f>
        <v>4.8099599999999999E-2</v>
      </c>
      <c r="T19" s="124">
        <f t="shared" ref="T19" si="252">T18/D18</f>
        <v>4.8099599999999999E-2</v>
      </c>
      <c r="U19" s="123">
        <f t="shared" ref="U19" si="253">U18/D18</f>
        <v>4.3395599999999993E-2</v>
      </c>
      <c r="V19" s="197">
        <f t="shared" ref="V19" si="254">V18/D18</f>
        <v>4.4479200000000003E-2</v>
      </c>
      <c r="W19" s="124">
        <f t="shared" ref="W19" si="255">W18/D18</f>
        <v>4.4479200000000003E-2</v>
      </c>
      <c r="X19" s="123">
        <f t="shared" ref="X19" si="256">X18/D18</f>
        <v>4.1881799999999997E-2</v>
      </c>
      <c r="Y19" s="197">
        <f t="shared" ref="Y19" si="257">Y18/D18</f>
        <v>4.2927600000000003E-2</v>
      </c>
      <c r="Z19" s="124">
        <f t="shared" ref="Z19" si="258">Z18/D18</f>
        <v>4.2927600000000003E-2</v>
      </c>
      <c r="AA19" s="170">
        <f t="shared" ref="AA19" si="259">AA18/D18</f>
        <v>3.7844999999999997E-2</v>
      </c>
      <c r="AB19" s="197">
        <f t="shared" ref="AB19" si="260">AB18/D18</f>
        <v>3.8789999999999998E-2</v>
      </c>
      <c r="AC19" s="125">
        <f t="shared" ref="AC19" si="261">AC18/D18</f>
        <v>3.8789999999999998E-2</v>
      </c>
      <c r="AD19" s="123">
        <f t="shared" ref="AD19" si="262">AD18/D18</f>
        <v>3.5321999999999999E-2</v>
      </c>
      <c r="AE19" s="197">
        <f t="shared" ref="AE19" si="263">AE18/D18</f>
        <v>3.6203999999999993E-2</v>
      </c>
      <c r="AF19" s="124">
        <f t="shared" ref="AF19" si="264">AF18/D18</f>
        <v>3.6203999999999993E-2</v>
      </c>
    </row>
    <row r="20" spans="1:34" s="228" customFormat="1" ht="18" customHeight="1">
      <c r="B20" s="1976" t="s">
        <v>91</v>
      </c>
      <c r="C20" s="1977"/>
      <c r="D20" s="1978">
        <v>100000</v>
      </c>
      <c r="E20" s="1969">
        <f>D20*C21</f>
        <v>2200</v>
      </c>
      <c r="F20" s="1969">
        <f>E20</f>
        <v>2200</v>
      </c>
      <c r="G20" s="1969">
        <f>F20*G5</f>
        <v>1100</v>
      </c>
      <c r="H20" s="1979">
        <f t="shared" si="186"/>
        <v>115.5</v>
      </c>
      <c r="I20" s="1979">
        <f>F20*$I$5</f>
        <v>115.5</v>
      </c>
      <c r="J20" s="1972">
        <f>F20*155%</f>
        <v>3410</v>
      </c>
      <c r="K20" s="1969">
        <f>J20</f>
        <v>3410</v>
      </c>
      <c r="L20" s="1972">
        <f>J20</f>
        <v>3410</v>
      </c>
      <c r="M20" s="1972" t="s">
        <v>90</v>
      </c>
      <c r="N20" s="1972" t="s">
        <v>90</v>
      </c>
      <c r="O20" s="126">
        <f t="shared" ref="O20" si="265">G20+H20+K20</f>
        <v>4625.5</v>
      </c>
      <c r="P20" s="196">
        <f t="shared" ref="P20" si="266">G20+H20+I20+L20</f>
        <v>4741</v>
      </c>
      <c r="Q20" s="171">
        <f t="shared" ref="Q20" si="267">G20+H20+I20+J20</f>
        <v>4741</v>
      </c>
      <c r="R20" s="126">
        <f t="shared" ref="R20" si="268">O20*$T$4</f>
        <v>4301.7150000000001</v>
      </c>
      <c r="S20" s="196">
        <f t="shared" ref="S20" si="269">P20*$T$4</f>
        <v>4409.13</v>
      </c>
      <c r="T20" s="128">
        <f t="shared" ref="T20" si="270">Q20*$T$4</f>
        <v>4409.13</v>
      </c>
      <c r="U20" s="126">
        <f t="shared" ref="U20" si="271">O20*$W$4</f>
        <v>3977.93</v>
      </c>
      <c r="V20" s="196">
        <f t="shared" ref="V20" si="272">P20*$W$4</f>
        <v>4077.2599999999998</v>
      </c>
      <c r="W20" s="128">
        <f t="shared" ref="W20" si="273">Q20*$W$4</f>
        <v>4077.2599999999998</v>
      </c>
      <c r="X20" s="126">
        <f t="shared" ref="X20" si="274">O20*$Z$4</f>
        <v>3839.165</v>
      </c>
      <c r="Y20" s="196">
        <f t="shared" ref="Y20" si="275">P20*$Z$4</f>
        <v>3935.0299999999997</v>
      </c>
      <c r="Z20" s="128">
        <f t="shared" ref="Z20" si="276">Q20*$Z$4</f>
        <v>3935.0299999999997</v>
      </c>
      <c r="AA20" s="172">
        <f t="shared" ref="AA20" si="277">O20*$AC$4</f>
        <v>3469.125</v>
      </c>
      <c r="AB20" s="196">
        <f t="shared" ref="AB20" si="278">P20*$AC$4</f>
        <v>3555.75</v>
      </c>
      <c r="AC20" s="171">
        <f t="shared" ref="AC20" si="279">Q20*$AC$4</f>
        <v>3555.75</v>
      </c>
      <c r="AD20" s="126">
        <f t="shared" ref="AD20" si="280">O20*$AF$4</f>
        <v>3237.85</v>
      </c>
      <c r="AE20" s="196">
        <f t="shared" ref="AE20" si="281">P20*$AF$4</f>
        <v>3318.7</v>
      </c>
      <c r="AF20" s="128">
        <f t="shared" ref="AF20" si="282">Q20*$AF$4</f>
        <v>3318.7</v>
      </c>
    </row>
    <row r="21" spans="1:34" s="228" customFormat="1" ht="18" customHeight="1" thickBot="1">
      <c r="B21" s="131" t="s">
        <v>92</v>
      </c>
      <c r="C21" s="180">
        <v>2.1999999999999999E-2</v>
      </c>
      <c r="D21" s="2000"/>
      <c r="E21" s="2001"/>
      <c r="F21" s="2001"/>
      <c r="G21" s="2001"/>
      <c r="H21" s="2002"/>
      <c r="I21" s="2002"/>
      <c r="J21" s="1999"/>
      <c r="K21" s="2001"/>
      <c r="L21" s="1999"/>
      <c r="M21" s="1999"/>
      <c r="N21" s="1999"/>
      <c r="O21" s="304">
        <f t="shared" ref="O21" si="283">O20/D20</f>
        <v>4.6254999999999998E-2</v>
      </c>
      <c r="P21" s="516">
        <f t="shared" ref="P21" si="284">P20/D20</f>
        <v>4.7410000000000001E-2</v>
      </c>
      <c r="Q21" s="517">
        <f t="shared" ref="Q21" si="285">Q20/D20</f>
        <v>4.7410000000000001E-2</v>
      </c>
      <c r="R21" s="162">
        <f t="shared" ref="R21" si="286">R20/D20</f>
        <v>4.3017150000000004E-2</v>
      </c>
      <c r="S21" s="198">
        <f t="shared" ref="S21" si="287">S20/D20</f>
        <v>4.40913E-2</v>
      </c>
      <c r="T21" s="42">
        <f t="shared" ref="T21" si="288">T20/D20</f>
        <v>4.40913E-2</v>
      </c>
      <c r="U21" s="162">
        <f t="shared" ref="U21" si="289">U20/D20</f>
        <v>3.9779299999999997E-2</v>
      </c>
      <c r="V21" s="198">
        <f t="shared" ref="V21" si="290">V20/D20</f>
        <v>4.0772599999999999E-2</v>
      </c>
      <c r="W21" s="42">
        <f t="shared" ref="W21" si="291">W20/D20</f>
        <v>4.0772599999999999E-2</v>
      </c>
      <c r="X21" s="162">
        <f t="shared" ref="X21" si="292">X20/D20</f>
        <v>3.8391649999999999E-2</v>
      </c>
      <c r="Y21" s="198">
        <f t="shared" ref="Y21" si="293">Y20/D20</f>
        <v>3.9350299999999998E-2</v>
      </c>
      <c r="Z21" s="42">
        <f t="shared" ref="Z21" si="294">Z20/D20</f>
        <v>3.9350299999999998E-2</v>
      </c>
      <c r="AA21" s="173">
        <f t="shared" ref="AA21" si="295">AA20/D20</f>
        <v>3.469125E-2</v>
      </c>
      <c r="AB21" s="198">
        <f t="shared" ref="AB21" si="296">AB20/D20</f>
        <v>3.5557499999999999E-2</v>
      </c>
      <c r="AC21" s="163">
        <f t="shared" ref="AC21" si="297">AC20/D20</f>
        <v>3.5557499999999999E-2</v>
      </c>
      <c r="AD21" s="162">
        <f t="shared" ref="AD21" si="298">AD20/D20</f>
        <v>3.2378499999999998E-2</v>
      </c>
      <c r="AE21" s="198">
        <f t="shared" ref="AE21" si="299">AE20/D20</f>
        <v>3.3187000000000001E-2</v>
      </c>
      <c r="AF21" s="42">
        <f t="shared" ref="AF21" si="300">AF20/D20</f>
        <v>3.3187000000000001E-2</v>
      </c>
    </row>
    <row r="22" spans="1:34" s="228" customFormat="1" ht="18" customHeight="1">
      <c r="B22" s="6"/>
      <c r="C22" s="5"/>
      <c r="D22" s="5"/>
      <c r="E22" s="5"/>
      <c r="F22" s="6"/>
      <c r="G22" s="5"/>
      <c r="H22" s="6"/>
      <c r="I22" s="6"/>
      <c r="J22" s="6"/>
      <c r="K22" s="6"/>
      <c r="L22" s="6"/>
      <c r="M22" s="6"/>
      <c r="N22" s="6"/>
      <c r="O22" s="6"/>
      <c r="P22" s="6"/>
      <c r="Q22" s="6"/>
      <c r="R22" s="6"/>
      <c r="S22" s="6"/>
      <c r="T22" s="6"/>
      <c r="U22" s="6"/>
      <c r="V22" s="6"/>
      <c r="W22" s="6"/>
      <c r="X22" s="6"/>
      <c r="Y22" s="6"/>
      <c r="Z22" s="6"/>
      <c r="AA22" s="6"/>
      <c r="AB22" s="6"/>
      <c r="AC22" s="6"/>
      <c r="AD22" s="6"/>
      <c r="AE22" s="6"/>
      <c r="AF22" s="6"/>
    </row>
    <row r="23" spans="1:34" s="228" customFormat="1" ht="18" customHeight="1">
      <c r="B23" s="4" t="s">
        <v>93</v>
      </c>
      <c r="C23" s="5"/>
      <c r="D23" s="5"/>
      <c r="E23" s="5"/>
      <c r="F23" s="6"/>
      <c r="G23" s="5"/>
      <c r="H23" s="6"/>
      <c r="I23" s="6"/>
      <c r="J23" s="6"/>
      <c r="K23" s="6"/>
      <c r="L23" s="6"/>
      <c r="M23" s="6"/>
      <c r="N23" s="6"/>
      <c r="O23" s="6"/>
      <c r="P23" s="6"/>
      <c r="Q23" s="6"/>
      <c r="R23" s="6"/>
      <c r="S23" s="6"/>
      <c r="T23" s="6"/>
      <c r="U23" s="6"/>
      <c r="V23" s="6"/>
      <c r="W23" s="6"/>
      <c r="X23" s="6"/>
      <c r="Y23" s="6"/>
      <c r="Z23" s="6"/>
      <c r="AA23" s="6"/>
      <c r="AB23" s="6"/>
      <c r="AC23" s="6"/>
      <c r="AD23" s="6"/>
      <c r="AE23" s="6"/>
      <c r="AF23" s="6"/>
    </row>
    <row r="24" spans="1:34" s="782" customFormat="1" ht="15" customHeight="1">
      <c r="A24" s="31"/>
      <c r="B24" s="779"/>
      <c r="C24" s="771"/>
      <c r="D24" s="771"/>
      <c r="E24" s="771"/>
      <c r="F24" s="780"/>
      <c r="G24" s="780"/>
      <c r="H24" s="780"/>
      <c r="I24" s="780"/>
      <c r="J24" s="780"/>
      <c r="K24" s="780"/>
      <c r="L24" s="780"/>
      <c r="M24" s="780"/>
      <c r="N24" s="780"/>
      <c r="O24" s="780"/>
      <c r="P24" s="780"/>
      <c r="Q24" s="780"/>
      <c r="R24" s="780"/>
      <c r="S24" s="780"/>
      <c r="T24" s="780"/>
      <c r="U24" s="780"/>
      <c r="V24" s="780"/>
      <c r="W24" s="780"/>
      <c r="X24" s="780"/>
      <c r="Y24" s="781"/>
      <c r="Z24" s="780"/>
      <c r="AA24" s="780"/>
      <c r="AB24" s="780"/>
      <c r="AC24" s="780"/>
      <c r="AD24" s="780"/>
      <c r="AE24" s="31"/>
      <c r="AF24" s="31"/>
    </row>
    <row r="25" spans="1:34" s="228" customFormat="1" ht="18" customHeight="1">
      <c r="B25" s="6" t="s">
        <v>94</v>
      </c>
      <c r="C25" s="5"/>
      <c r="D25" s="5"/>
      <c r="E25" s="5"/>
      <c r="F25" s="6"/>
      <c r="G25" s="5"/>
      <c r="H25" s="6"/>
      <c r="I25" s="6"/>
      <c r="J25" s="6"/>
      <c r="K25" s="6"/>
      <c r="L25" s="6"/>
      <c r="M25" s="6"/>
      <c r="N25" s="6"/>
      <c r="O25" s="6"/>
      <c r="P25" s="6"/>
      <c r="Q25" s="6"/>
      <c r="R25" s="6"/>
      <c r="S25" s="6"/>
      <c r="T25" s="6"/>
      <c r="U25" s="6"/>
      <c r="V25" s="6"/>
      <c r="W25" s="6"/>
      <c r="X25" s="6"/>
      <c r="Y25" s="6"/>
      <c r="Z25" s="6"/>
      <c r="AA25" s="6"/>
      <c r="AB25" s="6"/>
      <c r="AC25" s="6"/>
      <c r="AD25" s="6"/>
      <c r="AE25" s="6"/>
      <c r="AF25" s="6"/>
    </row>
    <row r="26" spans="1:34" s="228" customFormat="1" ht="18" customHeight="1">
      <c r="B26" s="157" t="s">
        <v>399</v>
      </c>
      <c r="C26" s="157"/>
      <c r="D26" s="157"/>
      <c r="E26" s="158"/>
      <c r="F26" s="158"/>
      <c r="G26" s="158"/>
      <c r="H26" s="158"/>
      <c r="I26" s="158"/>
      <c r="J26" s="158"/>
      <c r="K26" s="158"/>
      <c r="L26" s="158"/>
      <c r="M26" s="158"/>
      <c r="N26" s="158"/>
      <c r="O26" s="158"/>
      <c r="P26" s="158"/>
      <c r="Q26" s="157"/>
      <c r="R26" s="157"/>
      <c r="S26" s="32"/>
      <c r="T26" s="32"/>
      <c r="U26" s="32"/>
      <c r="V26" s="32"/>
      <c r="W26" s="32"/>
      <c r="X26" s="32"/>
      <c r="Y26" s="32"/>
      <c r="Z26" s="32"/>
      <c r="AA26" s="32"/>
      <c r="AB26" s="32"/>
      <c r="AC26" s="32"/>
      <c r="AD26" s="32"/>
      <c r="AE26" s="32"/>
      <c r="AF26" s="32"/>
      <c r="AG26" s="32"/>
      <c r="AH26" s="32"/>
    </row>
    <row r="27" spans="1:34" s="494" customFormat="1" ht="18" customHeight="1">
      <c r="B27" s="32" t="s">
        <v>599</v>
      </c>
      <c r="C27" s="11"/>
      <c r="D27" s="11"/>
      <c r="E27" s="11"/>
      <c r="F27" s="4"/>
      <c r="G27" s="11"/>
      <c r="H27" s="4"/>
      <c r="I27" s="4"/>
      <c r="J27" s="4"/>
      <c r="K27" s="4"/>
      <c r="L27" s="4"/>
      <c r="M27" s="4"/>
      <c r="N27" s="4"/>
      <c r="O27" s="4"/>
      <c r="P27" s="4"/>
      <c r="Q27" s="4"/>
      <c r="R27" s="4"/>
      <c r="S27" s="4"/>
      <c r="T27" s="4"/>
      <c r="U27" s="4"/>
      <c r="V27" s="4"/>
      <c r="W27" s="4"/>
      <c r="X27" s="4"/>
      <c r="Y27" s="4"/>
      <c r="Z27" s="4"/>
      <c r="AA27" s="4"/>
      <c r="AB27" s="4"/>
      <c r="AC27" s="4"/>
      <c r="AD27" s="4"/>
      <c r="AE27" s="4"/>
      <c r="AF27" s="4"/>
    </row>
    <row r="28" spans="1:34" s="228" customFormat="1" ht="18" customHeight="1">
      <c r="B28" s="31" t="s">
        <v>95</v>
      </c>
      <c r="C28" s="33"/>
      <c r="D28" s="33"/>
      <c r="E28" s="33"/>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row>
    <row r="29" spans="1:34" s="228" customFormat="1" ht="18" customHeight="1">
      <c r="B29" s="31" t="s">
        <v>1720</v>
      </c>
      <c r="C29" s="33"/>
      <c r="D29" s="33"/>
      <c r="E29" s="33"/>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row>
    <row r="30" spans="1:34" s="228" customFormat="1" ht="18" customHeight="1">
      <c r="B30" s="6" t="s">
        <v>96</v>
      </c>
      <c r="C30" s="5"/>
      <c r="D30" s="5"/>
      <c r="E30" s="5"/>
      <c r="F30" s="6"/>
      <c r="G30" s="5"/>
      <c r="H30" s="6"/>
      <c r="I30" s="6"/>
      <c r="J30" s="6"/>
      <c r="K30" s="6"/>
      <c r="L30" s="6"/>
      <c r="M30" s="6"/>
      <c r="N30" s="6"/>
      <c r="O30" s="6"/>
      <c r="P30" s="6"/>
      <c r="Q30" s="6"/>
      <c r="R30" s="6"/>
      <c r="S30" s="6"/>
      <c r="T30" s="6"/>
      <c r="U30" s="6"/>
      <c r="V30" s="6"/>
      <c r="W30" s="6"/>
      <c r="X30" s="6"/>
      <c r="Y30" s="6"/>
      <c r="Z30" s="6"/>
      <c r="AA30" s="6"/>
      <c r="AB30" s="6"/>
      <c r="AC30" s="6"/>
      <c r="AD30" s="6"/>
      <c r="AE30" s="6"/>
      <c r="AF30" s="6"/>
    </row>
    <row r="31" spans="1:34" s="228" customFormat="1" ht="18" customHeight="1">
      <c r="B31" s="6" t="s">
        <v>397</v>
      </c>
      <c r="C31" s="5"/>
      <c r="D31" s="5"/>
      <c r="E31" s="5"/>
      <c r="F31" s="6"/>
      <c r="G31" s="5"/>
      <c r="H31" s="6"/>
      <c r="I31" s="6"/>
      <c r="J31" s="6"/>
      <c r="K31" s="6"/>
      <c r="L31" s="6"/>
      <c r="M31" s="6"/>
      <c r="N31" s="6"/>
      <c r="O31" s="6"/>
      <c r="P31" s="6"/>
      <c r="Q31" s="6"/>
      <c r="R31" s="6"/>
      <c r="S31" s="6"/>
      <c r="T31" s="6"/>
      <c r="U31" s="6"/>
      <c r="V31" s="6"/>
      <c r="W31" s="6"/>
      <c r="X31" s="6"/>
      <c r="Y31" s="6"/>
      <c r="Z31" s="6"/>
      <c r="AA31" s="6"/>
      <c r="AB31" s="6"/>
      <c r="AC31" s="6"/>
      <c r="AD31" s="6"/>
      <c r="AE31" s="6"/>
      <c r="AF31" s="6"/>
    </row>
    <row r="32" spans="1:34" s="228" customFormat="1" ht="18" customHeight="1">
      <c r="B32" s="6" t="s">
        <v>603</v>
      </c>
      <c r="C32" s="5"/>
      <c r="D32" s="5"/>
      <c r="E32" s="5"/>
      <c r="F32" s="6"/>
      <c r="G32" s="5"/>
      <c r="H32" s="6"/>
      <c r="I32" s="6"/>
      <c r="J32" s="6"/>
      <c r="K32" s="6"/>
      <c r="L32" s="6"/>
      <c r="M32" s="6"/>
      <c r="N32" s="6"/>
      <c r="O32" s="6"/>
      <c r="P32" s="6"/>
      <c r="Q32" s="6"/>
      <c r="R32" s="6"/>
      <c r="S32" s="6"/>
      <c r="T32" s="6"/>
      <c r="U32" s="6"/>
      <c r="V32" s="6"/>
      <c r="W32" s="6"/>
      <c r="X32" s="6"/>
      <c r="Y32" s="6"/>
      <c r="Z32" s="6"/>
      <c r="AA32" s="6"/>
      <c r="AB32" s="6"/>
      <c r="AC32" s="6"/>
      <c r="AD32" s="6"/>
      <c r="AE32" s="6"/>
      <c r="AF32" s="6"/>
    </row>
    <row r="33" spans="2:32" s="228" customFormat="1" ht="18" customHeight="1">
      <c r="B33" s="6" t="s">
        <v>97</v>
      </c>
      <c r="C33" s="5"/>
      <c r="D33" s="5"/>
      <c r="E33" s="5"/>
      <c r="F33" s="6"/>
      <c r="G33" s="5"/>
      <c r="H33" s="6"/>
      <c r="I33" s="6"/>
      <c r="J33" s="6"/>
      <c r="K33" s="6"/>
      <c r="L33" s="6"/>
      <c r="M33" s="6"/>
      <c r="N33" s="6"/>
      <c r="O33" s="6"/>
      <c r="P33" s="6"/>
      <c r="Q33" s="6"/>
      <c r="R33" s="6"/>
      <c r="S33" s="6"/>
      <c r="T33" s="6"/>
      <c r="U33" s="6"/>
      <c r="V33" s="6"/>
      <c r="W33" s="6"/>
      <c r="X33" s="6"/>
      <c r="Y33" s="6"/>
      <c r="Z33" s="6"/>
      <c r="AA33" s="6"/>
      <c r="AB33" s="6"/>
      <c r="AC33" s="6"/>
      <c r="AD33" s="6"/>
      <c r="AE33" s="6"/>
      <c r="AF33" s="6"/>
    </row>
    <row r="34" spans="2:32" s="228" customFormat="1" ht="18" customHeight="1">
      <c r="B34" s="6" t="s">
        <v>398</v>
      </c>
      <c r="C34" s="5"/>
      <c r="D34" s="5"/>
      <c r="E34" s="5"/>
      <c r="F34" s="6"/>
      <c r="G34" s="5"/>
      <c r="H34" s="6"/>
      <c r="I34" s="6"/>
      <c r="J34" s="6"/>
      <c r="K34" s="6"/>
      <c r="L34" s="6"/>
      <c r="M34" s="6"/>
      <c r="N34" s="6"/>
      <c r="O34" s="6"/>
      <c r="P34" s="6"/>
      <c r="Q34" s="6"/>
      <c r="R34" s="6"/>
      <c r="S34" s="6"/>
      <c r="T34" s="6"/>
      <c r="U34" s="6"/>
      <c r="V34" s="6"/>
      <c r="W34" s="6"/>
      <c r="X34" s="6"/>
      <c r="Y34" s="6"/>
      <c r="Z34" s="6"/>
      <c r="AA34" s="6"/>
      <c r="AB34" s="6"/>
      <c r="AC34" s="6"/>
      <c r="AD34" s="6"/>
      <c r="AE34" s="6"/>
      <c r="AF34" s="6"/>
    </row>
    <row r="35" spans="2:32" s="228" customFormat="1" ht="18" customHeight="1">
      <c r="B35" s="6" t="s">
        <v>98</v>
      </c>
      <c r="C35" s="5"/>
      <c r="D35" s="5"/>
      <c r="E35" s="5"/>
      <c r="F35" s="6"/>
      <c r="G35" s="5"/>
      <c r="H35" s="6"/>
      <c r="I35" s="6"/>
      <c r="J35" s="6"/>
      <c r="K35" s="6"/>
      <c r="L35" s="6"/>
      <c r="M35" s="6"/>
      <c r="N35" s="6"/>
      <c r="O35" s="6"/>
      <c r="P35" s="6"/>
      <c r="Q35" s="6"/>
      <c r="R35" s="6"/>
      <c r="S35" s="6"/>
      <c r="T35" s="6"/>
      <c r="U35" s="6"/>
      <c r="V35" s="6"/>
      <c r="W35" s="6"/>
      <c r="X35" s="6"/>
      <c r="Y35" s="6"/>
      <c r="Z35" s="6"/>
      <c r="AA35" s="6"/>
      <c r="AB35" s="6"/>
      <c r="AC35" s="6"/>
      <c r="AD35" s="6"/>
      <c r="AE35" s="6"/>
      <c r="AF35" s="6"/>
    </row>
    <row r="36" spans="2:32" s="228" customFormat="1" ht="18" customHeight="1">
      <c r="B36" s="32" t="s">
        <v>99</v>
      </c>
      <c r="C36" s="5"/>
      <c r="D36" s="5"/>
      <c r="E36" s="5"/>
      <c r="F36" s="6"/>
      <c r="G36" s="5"/>
      <c r="H36" s="6"/>
      <c r="I36" s="6"/>
      <c r="J36" s="6"/>
      <c r="K36" s="6"/>
      <c r="L36" s="6"/>
      <c r="M36" s="6"/>
      <c r="N36" s="6"/>
      <c r="O36" s="6"/>
      <c r="P36" s="6"/>
      <c r="Q36" s="6"/>
      <c r="R36" s="6"/>
      <c r="S36" s="6"/>
      <c r="T36" s="6"/>
      <c r="U36" s="6"/>
      <c r="V36" s="6"/>
      <c r="W36" s="6"/>
      <c r="X36" s="6"/>
      <c r="Y36" s="6"/>
      <c r="Z36" s="6"/>
      <c r="AA36" s="6"/>
      <c r="AB36" s="6"/>
      <c r="AC36" s="6"/>
      <c r="AD36" s="6"/>
      <c r="AE36" s="6"/>
      <c r="AF36" s="6"/>
    </row>
  </sheetData>
  <mergeCells count="108">
    <mergeCell ref="L20:L21"/>
    <mergeCell ref="M20:M21"/>
    <mergeCell ref="N20:N21"/>
    <mergeCell ref="B20:C20"/>
    <mergeCell ref="D20:D21"/>
    <mergeCell ref="E20:E21"/>
    <mergeCell ref="F20:F21"/>
    <mergeCell ref="G20:G21"/>
    <mergeCell ref="H20:H21"/>
    <mergeCell ref="I20:I21"/>
    <mergeCell ref="J20:J21"/>
    <mergeCell ref="K20:K21"/>
    <mergeCell ref="F10:F11"/>
    <mergeCell ref="G10:G11"/>
    <mergeCell ref="H10:H11"/>
    <mergeCell ref="I10:I11"/>
    <mergeCell ref="B12:C12"/>
    <mergeCell ref="D12:D13"/>
    <mergeCell ref="E12:E13"/>
    <mergeCell ref="F12:F13"/>
    <mergeCell ref="G12:G13"/>
    <mergeCell ref="B10:C10"/>
    <mergeCell ref="D10:D11"/>
    <mergeCell ref="E10:E11"/>
    <mergeCell ref="I6:I7"/>
    <mergeCell ref="F4:F5"/>
    <mergeCell ref="B16:C16"/>
    <mergeCell ref="D16:D17"/>
    <mergeCell ref="E16:E17"/>
    <mergeCell ref="F16:F17"/>
    <mergeCell ref="G16:G17"/>
    <mergeCell ref="B8:C8"/>
    <mergeCell ref="D8:D9"/>
    <mergeCell ref="H8:H9"/>
    <mergeCell ref="I8:I9"/>
    <mergeCell ref="F6:F7"/>
    <mergeCell ref="G6:G7"/>
    <mergeCell ref="I16:I17"/>
    <mergeCell ref="H16:H17"/>
    <mergeCell ref="I12:I13"/>
    <mergeCell ref="H12:H13"/>
    <mergeCell ref="E8:E9"/>
    <mergeCell ref="F8:F9"/>
    <mergeCell ref="G8:G9"/>
    <mergeCell ref="B6:C6"/>
    <mergeCell ref="D6:D7"/>
    <mergeCell ref="E6:E7"/>
    <mergeCell ref="H6:H7"/>
    <mergeCell ref="B1:AF1"/>
    <mergeCell ref="B4:C4"/>
    <mergeCell ref="D4:D5"/>
    <mergeCell ref="E4:E5"/>
    <mergeCell ref="O4:Q4"/>
    <mergeCell ref="J4:N4"/>
    <mergeCell ref="R4:S4"/>
    <mergeCell ref="X4:Y4"/>
    <mergeCell ref="AA4:AB4"/>
    <mergeCell ref="AD4:AE4"/>
    <mergeCell ref="U4:V4"/>
    <mergeCell ref="N18:N19"/>
    <mergeCell ref="B14:C14"/>
    <mergeCell ref="D14:D15"/>
    <mergeCell ref="E14:E15"/>
    <mergeCell ref="F14:F15"/>
    <mergeCell ref="G14:G15"/>
    <mergeCell ref="K14:K15"/>
    <mergeCell ref="J14:J15"/>
    <mergeCell ref="K16:K17"/>
    <mergeCell ref="H14:H15"/>
    <mergeCell ref="I14:I15"/>
    <mergeCell ref="J16:J17"/>
    <mergeCell ref="B18:C18"/>
    <mergeCell ref="D18:D19"/>
    <mergeCell ref="E18:E19"/>
    <mergeCell ref="F18:F19"/>
    <mergeCell ref="G18:G19"/>
    <mergeCell ref="H18:H19"/>
    <mergeCell ref="I18:I19"/>
    <mergeCell ref="N6:N7"/>
    <mergeCell ref="N8:N9"/>
    <mergeCell ref="L6:L7"/>
    <mergeCell ref="L8:L9"/>
    <mergeCell ref="M16:M17"/>
    <mergeCell ref="N12:N13"/>
    <mergeCell ref="N14:N15"/>
    <mergeCell ref="N16:N17"/>
    <mergeCell ref="L12:L13"/>
    <mergeCell ref="L14:L15"/>
    <mergeCell ref="M12:M13"/>
    <mergeCell ref="M14:M15"/>
    <mergeCell ref="L10:L11"/>
    <mergeCell ref="M10:M11"/>
    <mergeCell ref="N10:N11"/>
    <mergeCell ref="L16:L17"/>
    <mergeCell ref="K8:K9"/>
    <mergeCell ref="M6:M7"/>
    <mergeCell ref="M8:M9"/>
    <mergeCell ref="J6:J7"/>
    <mergeCell ref="J8:J9"/>
    <mergeCell ref="K6:K7"/>
    <mergeCell ref="K10:K11"/>
    <mergeCell ref="J10:J11"/>
    <mergeCell ref="L18:L19"/>
    <mergeCell ref="M18:M19"/>
    <mergeCell ref="J18:J19"/>
    <mergeCell ref="K18:K19"/>
    <mergeCell ref="J12:J13"/>
    <mergeCell ref="K12:K13"/>
  </mergeCells>
  <phoneticPr fontId="34" type="noConversion"/>
  <printOptions horizontalCentered="1"/>
  <pageMargins left="0.31496062992125984" right="0.31496062992125984" top="0.31496062992125984" bottom="0.31496062992125984" header="0" footer="0"/>
  <pageSetup paperSize="9" scale="59"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O30"/>
  <sheetViews>
    <sheetView zoomScaleNormal="100" workbookViewId="0">
      <pane ySplit="1" topLeftCell="A2" activePane="bottomLeft" state="frozen"/>
      <selection pane="bottomLeft"/>
    </sheetView>
  </sheetViews>
  <sheetFormatPr defaultRowHeight="16.5"/>
  <cols>
    <col min="1" max="1" width="1" customWidth="1"/>
    <col min="4" max="8" width="9.625" customWidth="1"/>
    <col min="9" max="9" width="10.625" customWidth="1"/>
    <col min="11" max="11" width="9.125" customWidth="1"/>
  </cols>
  <sheetData>
    <row r="1" spans="1:15" s="16" customFormat="1" ht="30" customHeight="1" thickBot="1">
      <c r="A1" s="329"/>
      <c r="B1" s="1139" t="s">
        <v>1732</v>
      </c>
      <c r="C1" s="1139"/>
      <c r="D1" s="1139"/>
      <c r="E1" s="1139"/>
      <c r="F1" s="1139"/>
      <c r="G1" s="1139"/>
      <c r="H1" s="1139"/>
      <c r="I1" s="1139"/>
      <c r="J1" s="1139"/>
      <c r="K1" s="1139"/>
      <c r="L1" s="1139"/>
      <c r="M1" s="1139"/>
      <c r="N1" s="1139"/>
      <c r="O1" s="1139"/>
    </row>
    <row r="2" spans="1:15" s="228" customFormat="1" ht="18" customHeight="1" thickTop="1">
      <c r="B2" s="37"/>
      <c r="C2" s="37"/>
      <c r="D2" s="5"/>
      <c r="E2" s="5"/>
      <c r="F2" s="6"/>
      <c r="G2" s="6"/>
      <c r="H2" s="6"/>
      <c r="I2" s="6"/>
      <c r="J2" s="6"/>
      <c r="K2" s="5"/>
      <c r="L2" s="5"/>
      <c r="M2" s="5"/>
      <c r="N2" s="5"/>
      <c r="O2" s="5"/>
    </row>
    <row r="3" spans="1:15" s="228" customFormat="1" ht="18" customHeight="1" thickBot="1">
      <c r="B3" s="4" t="s">
        <v>1152</v>
      </c>
      <c r="C3" s="5"/>
      <c r="D3" s="5"/>
      <c r="E3" s="5"/>
      <c r="F3" s="6"/>
      <c r="G3" s="6"/>
      <c r="H3" s="6"/>
      <c r="I3" s="6"/>
      <c r="J3" s="6"/>
      <c r="K3" s="6"/>
      <c r="L3" s="6"/>
      <c r="M3" s="6"/>
      <c r="N3" s="6"/>
      <c r="O3" s="6"/>
    </row>
    <row r="4" spans="1:15" s="228" customFormat="1" ht="18" customHeight="1">
      <c r="B4" s="1915" t="s">
        <v>1153</v>
      </c>
      <c r="C4" s="1916"/>
      <c r="D4" s="1917" t="s">
        <v>1154</v>
      </c>
      <c r="E4" s="1918"/>
      <c r="F4" s="1918"/>
      <c r="G4" s="1918"/>
      <c r="H4" s="1918"/>
      <c r="I4" s="1918"/>
      <c r="J4" s="1919"/>
      <c r="K4" s="1916" t="s">
        <v>1155</v>
      </c>
      <c r="L4" s="1916"/>
      <c r="M4" s="1916"/>
      <c r="N4" s="1916"/>
      <c r="O4" s="1946"/>
    </row>
    <row r="5" spans="1:15" s="228" customFormat="1" ht="18" customHeight="1">
      <c r="B5" s="1947" t="s">
        <v>1156</v>
      </c>
      <c r="C5" s="1885"/>
      <c r="D5" s="1949" t="s">
        <v>1157</v>
      </c>
      <c r="E5" s="1879"/>
      <c r="F5" s="1879"/>
      <c r="G5" s="1879"/>
      <c r="H5" s="1879"/>
      <c r="I5" s="1879"/>
      <c r="J5" s="1950"/>
      <c r="K5" s="2056" t="s">
        <v>1158</v>
      </c>
      <c r="L5" s="2056"/>
      <c r="M5" s="2056"/>
      <c r="N5" s="2056"/>
      <c r="O5" s="2057"/>
    </row>
    <row r="6" spans="1:15" s="228" customFormat="1" ht="18" customHeight="1">
      <c r="B6" s="1947" t="s">
        <v>1159</v>
      </c>
      <c r="C6" s="1885"/>
      <c r="D6" s="2036" t="s">
        <v>1160</v>
      </c>
      <c r="E6" s="2047"/>
      <c r="F6" s="2047"/>
      <c r="G6" s="2047"/>
      <c r="H6" s="2047"/>
      <c r="I6" s="2047"/>
      <c r="J6" s="2048"/>
      <c r="K6" s="1017" t="s">
        <v>1161</v>
      </c>
      <c r="L6" s="1017" t="s">
        <v>1162</v>
      </c>
      <c r="M6" s="1017" t="s">
        <v>1163</v>
      </c>
      <c r="N6" s="1017" t="s">
        <v>1164</v>
      </c>
      <c r="O6" s="13" t="s">
        <v>1165</v>
      </c>
    </row>
    <row r="7" spans="1:15" s="228" customFormat="1" ht="18" customHeight="1" thickBot="1">
      <c r="B7" s="2045"/>
      <c r="C7" s="2046"/>
      <c r="D7" s="2049"/>
      <c r="E7" s="2050"/>
      <c r="F7" s="2050"/>
      <c r="G7" s="2050"/>
      <c r="H7" s="2050"/>
      <c r="I7" s="2050"/>
      <c r="J7" s="2051"/>
      <c r="K7" s="1019" t="s">
        <v>1166</v>
      </c>
      <c r="L7" s="655">
        <v>1</v>
      </c>
      <c r="M7" s="655">
        <v>0.33639999999999998</v>
      </c>
      <c r="N7" s="655">
        <v>0.17030000000000001</v>
      </c>
      <c r="O7" s="1022">
        <v>8.6999999999999994E-2</v>
      </c>
    </row>
    <row r="8" spans="1:15" s="228" customFormat="1" ht="18" customHeight="1">
      <c r="B8" s="31"/>
      <c r="C8" s="33"/>
      <c r="D8" s="33"/>
      <c r="E8" s="33"/>
      <c r="F8" s="33"/>
      <c r="G8" s="31"/>
      <c r="H8" s="31"/>
      <c r="I8" s="31"/>
      <c r="J8" s="31"/>
      <c r="K8" s="31"/>
      <c r="L8" s="31"/>
      <c r="M8" s="31"/>
      <c r="N8" s="31"/>
      <c r="O8" s="31"/>
    </row>
    <row r="9" spans="1:15" s="228" customFormat="1" ht="18" customHeight="1" thickBot="1">
      <c r="B9" s="4" t="s">
        <v>1167</v>
      </c>
      <c r="C9" s="5"/>
      <c r="D9" s="5"/>
      <c r="E9" s="5"/>
      <c r="F9" s="6"/>
      <c r="G9" s="6"/>
      <c r="H9" s="6"/>
      <c r="I9" s="6"/>
      <c r="J9" s="6"/>
      <c r="K9" s="6"/>
      <c r="L9" s="6"/>
      <c r="M9" s="6"/>
      <c r="N9" s="6"/>
      <c r="O9" s="6"/>
    </row>
    <row r="10" spans="1:15" s="228" customFormat="1" ht="18" customHeight="1">
      <c r="B10" s="1915" t="s">
        <v>1168</v>
      </c>
      <c r="C10" s="1916"/>
      <c r="D10" s="1917" t="s">
        <v>1169</v>
      </c>
      <c r="E10" s="1918"/>
      <c r="F10" s="1918"/>
      <c r="G10" s="1918"/>
      <c r="H10" s="1918"/>
      <c r="I10" s="1918"/>
      <c r="J10" s="1918"/>
      <c r="K10" s="1918"/>
      <c r="L10" s="1918"/>
      <c r="M10" s="1918"/>
      <c r="N10" s="1918"/>
      <c r="O10" s="2052"/>
    </row>
    <row r="11" spans="1:15" s="228" customFormat="1" ht="18" customHeight="1">
      <c r="B11" s="1947" t="s">
        <v>1170</v>
      </c>
      <c r="C11" s="1885"/>
      <c r="D11" s="2036" t="s">
        <v>1171</v>
      </c>
      <c r="E11" s="2037"/>
      <c r="F11" s="2037"/>
      <c r="G11" s="2037"/>
      <c r="H11" s="2037"/>
      <c r="I11" s="2037"/>
      <c r="J11" s="2037"/>
      <c r="K11" s="2037"/>
      <c r="L11" s="2037"/>
      <c r="M11" s="2037"/>
      <c r="N11" s="2037"/>
      <c r="O11" s="2038"/>
    </row>
    <row r="12" spans="1:15" s="228" customFormat="1" ht="18" customHeight="1">
      <c r="B12" s="1886"/>
      <c r="C12" s="1887"/>
      <c r="D12" s="2039"/>
      <c r="E12" s="2040"/>
      <c r="F12" s="2040"/>
      <c r="G12" s="2040"/>
      <c r="H12" s="2040"/>
      <c r="I12" s="2040"/>
      <c r="J12" s="2040"/>
      <c r="K12" s="2040"/>
      <c r="L12" s="2040"/>
      <c r="M12" s="2040"/>
      <c r="N12" s="2040"/>
      <c r="O12" s="2041"/>
    </row>
    <row r="13" spans="1:15" s="228" customFormat="1" ht="18" customHeight="1">
      <c r="B13" s="1925"/>
      <c r="C13" s="1948"/>
      <c r="D13" s="2053"/>
      <c r="E13" s="2054"/>
      <c r="F13" s="2054"/>
      <c r="G13" s="2054"/>
      <c r="H13" s="2054"/>
      <c r="I13" s="2054"/>
      <c r="J13" s="2054"/>
      <c r="K13" s="2054"/>
      <c r="L13" s="2054"/>
      <c r="M13" s="2054"/>
      <c r="N13" s="2054"/>
      <c r="O13" s="2055"/>
    </row>
    <row r="14" spans="1:15" s="228" customFormat="1" ht="18" customHeight="1">
      <c r="B14" s="1886" t="s">
        <v>1172</v>
      </c>
      <c r="C14" s="1887"/>
      <c r="D14" s="2003" t="s">
        <v>1173</v>
      </c>
      <c r="E14" s="1879"/>
      <c r="F14" s="1879"/>
      <c r="G14" s="1879"/>
      <c r="H14" s="1879"/>
      <c r="I14" s="1950"/>
      <c r="J14" s="1020" t="s">
        <v>1174</v>
      </c>
      <c r="K14" s="1018" t="s">
        <v>1175</v>
      </c>
      <c r="L14" s="1018" t="s">
        <v>1176</v>
      </c>
      <c r="M14" s="310" t="s">
        <v>1177</v>
      </c>
      <c r="N14" s="1020" t="s">
        <v>1178</v>
      </c>
      <c r="O14" s="13" t="s">
        <v>1179</v>
      </c>
    </row>
    <row r="15" spans="1:15" s="228" customFormat="1" ht="18" customHeight="1">
      <c r="B15" s="1925"/>
      <c r="C15" s="1948"/>
      <c r="D15" s="1951"/>
      <c r="E15" s="1952"/>
      <c r="F15" s="1952"/>
      <c r="G15" s="1952"/>
      <c r="H15" s="1952"/>
      <c r="I15" s="1953"/>
      <c r="J15" s="1020" t="s">
        <v>1180</v>
      </c>
      <c r="K15" s="1021" t="s">
        <v>1181</v>
      </c>
      <c r="L15" s="1027" t="s">
        <v>1182</v>
      </c>
      <c r="M15" s="1027" t="s">
        <v>1183</v>
      </c>
      <c r="N15" s="1027" t="s">
        <v>1184</v>
      </c>
      <c r="O15" s="1028" t="s">
        <v>1185</v>
      </c>
    </row>
    <row r="16" spans="1:15" s="228" customFormat="1" ht="18" customHeight="1" thickBot="1">
      <c r="B16" s="1909" t="s">
        <v>1186</v>
      </c>
      <c r="C16" s="1910"/>
      <c r="D16" s="2042" t="s">
        <v>1187</v>
      </c>
      <c r="E16" s="2043"/>
      <c r="F16" s="2043"/>
      <c r="G16" s="2043"/>
      <c r="H16" s="2043"/>
      <c r="I16" s="2043"/>
      <c r="J16" s="2043"/>
      <c r="K16" s="2043"/>
      <c r="L16" s="2043"/>
      <c r="M16" s="2043"/>
      <c r="N16" s="2043"/>
      <c r="O16" s="2044"/>
    </row>
    <row r="17" spans="2:15" s="228" customFormat="1" ht="18" customHeight="1">
      <c r="B17" s="6"/>
      <c r="C17" s="5"/>
      <c r="D17" s="5"/>
      <c r="E17" s="5"/>
      <c r="F17" s="5"/>
      <c r="G17" s="6"/>
      <c r="H17" s="6"/>
      <c r="I17" s="6"/>
      <c r="J17" s="6"/>
      <c r="K17" s="6"/>
      <c r="L17" s="6"/>
      <c r="M17" s="6"/>
      <c r="N17" s="6"/>
      <c r="O17" s="6"/>
    </row>
    <row r="18" spans="2:15" s="228" customFormat="1" ht="18" customHeight="1" thickBot="1">
      <c r="B18" s="4" t="s">
        <v>1188</v>
      </c>
      <c r="C18" s="5"/>
      <c r="D18" s="5"/>
      <c r="E18" s="11"/>
      <c r="F18" s="6"/>
      <c r="G18" s="6"/>
      <c r="H18" s="6"/>
      <c r="I18" s="6"/>
      <c r="J18" s="6"/>
      <c r="K18" s="5"/>
      <c r="L18" s="5"/>
      <c r="M18" s="5"/>
      <c r="N18" s="5"/>
      <c r="O18" s="5"/>
    </row>
    <row r="19" spans="2:15" s="228" customFormat="1" ht="18" customHeight="1">
      <c r="B19" s="1915" t="s">
        <v>1168</v>
      </c>
      <c r="C19" s="1916"/>
      <c r="D19" s="1918" t="s">
        <v>1189</v>
      </c>
      <c r="E19" s="1918"/>
      <c r="F19" s="1918"/>
      <c r="G19" s="1918"/>
      <c r="H19" s="1918"/>
      <c r="I19" s="1918"/>
      <c r="J19" s="1919"/>
      <c r="K19" s="1920" t="s">
        <v>1190</v>
      </c>
      <c r="L19" s="1920"/>
      <c r="M19" s="1920"/>
      <c r="N19" s="1920"/>
      <c r="O19" s="1921"/>
    </row>
    <row r="20" spans="2:15" s="228" customFormat="1" ht="18" customHeight="1">
      <c r="B20" s="1933" t="s">
        <v>1191</v>
      </c>
      <c r="C20" s="1934"/>
      <c r="D20" s="2018" t="s">
        <v>1192</v>
      </c>
      <c r="E20" s="2019"/>
      <c r="F20" s="2019"/>
      <c r="G20" s="2019"/>
      <c r="H20" s="2019"/>
      <c r="I20" s="2019"/>
      <c r="J20" s="2020"/>
      <c r="K20" s="2027" t="s">
        <v>1193</v>
      </c>
      <c r="L20" s="2028"/>
      <c r="M20" s="2028"/>
      <c r="N20" s="2028"/>
      <c r="O20" s="2029"/>
    </row>
    <row r="21" spans="2:15" s="228" customFormat="1" ht="18" customHeight="1">
      <c r="B21" s="1933"/>
      <c r="C21" s="1934"/>
      <c r="D21" s="2021"/>
      <c r="E21" s="2022"/>
      <c r="F21" s="2022"/>
      <c r="G21" s="2022"/>
      <c r="H21" s="2022"/>
      <c r="I21" s="2022"/>
      <c r="J21" s="2023"/>
      <c r="K21" s="2030"/>
      <c r="L21" s="2031"/>
      <c r="M21" s="2031"/>
      <c r="N21" s="2031"/>
      <c r="O21" s="2032"/>
    </row>
    <row r="22" spans="2:15" s="228" customFormat="1" ht="18" customHeight="1">
      <c r="B22" s="1933"/>
      <c r="C22" s="1934"/>
      <c r="D22" s="2024"/>
      <c r="E22" s="2025"/>
      <c r="F22" s="2025"/>
      <c r="G22" s="2025"/>
      <c r="H22" s="2025"/>
      <c r="I22" s="2025"/>
      <c r="J22" s="2026"/>
      <c r="K22" s="2033"/>
      <c r="L22" s="2034"/>
      <c r="M22" s="2034"/>
      <c r="N22" s="2034"/>
      <c r="O22" s="2035"/>
    </row>
    <row r="23" spans="2:15" s="228" customFormat="1" ht="18" customHeight="1">
      <c r="B23" s="1947" t="s">
        <v>1194</v>
      </c>
      <c r="C23" s="1885"/>
      <c r="D23" s="2018" t="s">
        <v>1195</v>
      </c>
      <c r="E23" s="2019"/>
      <c r="F23" s="2019"/>
      <c r="G23" s="2019"/>
      <c r="H23" s="2019"/>
      <c r="I23" s="2019"/>
      <c r="J23" s="2020"/>
      <c r="K23" s="2036" t="s">
        <v>29</v>
      </c>
      <c r="L23" s="2037"/>
      <c r="M23" s="2037"/>
      <c r="N23" s="2037"/>
      <c r="O23" s="2038"/>
    </row>
    <row r="24" spans="2:15" s="228" customFormat="1" ht="18" customHeight="1">
      <c r="B24" s="1886"/>
      <c r="C24" s="1887"/>
      <c r="D24" s="2021"/>
      <c r="E24" s="2022"/>
      <c r="F24" s="2022"/>
      <c r="G24" s="2022"/>
      <c r="H24" s="2022"/>
      <c r="I24" s="2022"/>
      <c r="J24" s="2023"/>
      <c r="K24" s="2039"/>
      <c r="L24" s="2040"/>
      <c r="M24" s="2040"/>
      <c r="N24" s="2040"/>
      <c r="O24" s="2041"/>
    </row>
    <row r="25" spans="2:15" s="228" customFormat="1" ht="18" customHeight="1" thickBot="1">
      <c r="B25" s="1925"/>
      <c r="C25" s="1948"/>
      <c r="D25" s="2024"/>
      <c r="E25" s="2025"/>
      <c r="F25" s="2025"/>
      <c r="G25" s="2025"/>
      <c r="H25" s="2025"/>
      <c r="I25" s="2025"/>
      <c r="J25" s="2026"/>
      <c r="K25" s="2039"/>
      <c r="L25" s="2040"/>
      <c r="M25" s="2040"/>
      <c r="N25" s="2040"/>
      <c r="O25" s="2041"/>
    </row>
    <row r="26" spans="2:15" s="228" customFormat="1" ht="18" customHeight="1">
      <c r="B26" s="1947" t="s">
        <v>1196</v>
      </c>
      <c r="C26" s="1885"/>
      <c r="D26" s="2003" t="s">
        <v>1197</v>
      </c>
      <c r="E26" s="2004"/>
      <c r="F26" s="2004"/>
      <c r="G26" s="2004"/>
      <c r="H26" s="2004"/>
      <c r="I26" s="2005"/>
      <c r="J26" s="1017" t="s">
        <v>1198</v>
      </c>
      <c r="K26" s="234" t="s">
        <v>1175</v>
      </c>
      <c r="L26" s="1018" t="s">
        <v>1199</v>
      </c>
      <c r="M26" s="1018" t="s">
        <v>1200</v>
      </c>
      <c r="N26" s="1020" t="s">
        <v>1201</v>
      </c>
      <c r="O26" s="13" t="s">
        <v>1202</v>
      </c>
    </row>
    <row r="27" spans="2:15" s="228" customFormat="1" ht="18" customHeight="1">
      <c r="B27" s="1886"/>
      <c r="C27" s="1887"/>
      <c r="D27" s="2006"/>
      <c r="E27" s="2007"/>
      <c r="F27" s="2007"/>
      <c r="G27" s="2007"/>
      <c r="H27" s="2007"/>
      <c r="I27" s="2008"/>
      <c r="J27" s="763" t="s">
        <v>1203</v>
      </c>
      <c r="K27" s="332" t="s">
        <v>412</v>
      </c>
      <c r="L27" s="1018" t="s">
        <v>413</v>
      </c>
      <c r="M27" s="1018" t="s">
        <v>414</v>
      </c>
      <c r="N27" s="1020" t="s">
        <v>34</v>
      </c>
      <c r="O27" s="13" t="s">
        <v>415</v>
      </c>
    </row>
    <row r="28" spans="2:15" s="228" customFormat="1" ht="18" customHeight="1" thickBot="1">
      <c r="B28" s="1886"/>
      <c r="C28" s="1887"/>
      <c r="D28" s="2009"/>
      <c r="E28" s="2010"/>
      <c r="F28" s="2010"/>
      <c r="G28" s="2010"/>
      <c r="H28" s="2010"/>
      <c r="I28" s="2011"/>
      <c r="J28" s="1017" t="s">
        <v>41</v>
      </c>
      <c r="K28" s="480">
        <v>2.85</v>
      </c>
      <c r="L28" s="660">
        <v>2.65</v>
      </c>
      <c r="M28" s="660">
        <v>2.4500000000000002</v>
      </c>
      <c r="N28" s="661">
        <v>2.25</v>
      </c>
      <c r="O28" s="481">
        <v>2</v>
      </c>
    </row>
    <row r="29" spans="2:15" s="228" customFormat="1" ht="18" customHeight="1">
      <c r="B29" s="1886"/>
      <c r="C29" s="1887"/>
      <c r="D29" s="2012" t="s">
        <v>1204</v>
      </c>
      <c r="E29" s="2013"/>
      <c r="F29" s="2013"/>
      <c r="G29" s="2013"/>
      <c r="H29" s="2013"/>
      <c r="I29" s="2014"/>
      <c r="J29" s="763" t="s">
        <v>1205</v>
      </c>
      <c r="K29" s="662" t="s">
        <v>1206</v>
      </c>
      <c r="L29" s="663" t="s">
        <v>1207</v>
      </c>
      <c r="M29" s="663" t="s">
        <v>1208</v>
      </c>
      <c r="N29" s="664" t="s">
        <v>1209</v>
      </c>
      <c r="O29" s="665" t="s">
        <v>1210</v>
      </c>
    </row>
    <row r="30" spans="2:15" s="228" customFormat="1" ht="18" customHeight="1" thickBot="1">
      <c r="B30" s="1888"/>
      <c r="C30" s="1889"/>
      <c r="D30" s="2015"/>
      <c r="E30" s="2016"/>
      <c r="F30" s="2016"/>
      <c r="G30" s="2016"/>
      <c r="H30" s="2016"/>
      <c r="I30" s="2017"/>
      <c r="J30" s="666" t="s">
        <v>1211</v>
      </c>
      <c r="K30" s="667">
        <v>1.04</v>
      </c>
      <c r="L30" s="668">
        <v>1.02</v>
      </c>
      <c r="M30" s="668">
        <v>1</v>
      </c>
      <c r="N30" s="480">
        <v>0.98</v>
      </c>
      <c r="O30" s="669">
        <v>0.96</v>
      </c>
    </row>
  </sheetData>
  <mergeCells count="29">
    <mergeCell ref="B1:O1"/>
    <mergeCell ref="B4:C4"/>
    <mergeCell ref="D4:J4"/>
    <mergeCell ref="K4:O4"/>
    <mergeCell ref="B5:C5"/>
    <mergeCell ref="D5:J5"/>
    <mergeCell ref="K5:O5"/>
    <mergeCell ref="B6:C7"/>
    <mergeCell ref="D6:J7"/>
    <mergeCell ref="B10:C10"/>
    <mergeCell ref="D10:O10"/>
    <mergeCell ref="B11:C13"/>
    <mergeCell ref="D11:O13"/>
    <mergeCell ref="K20:O22"/>
    <mergeCell ref="B23:C25"/>
    <mergeCell ref="D23:J25"/>
    <mergeCell ref="K23:O25"/>
    <mergeCell ref="B14:C15"/>
    <mergeCell ref="D14:I15"/>
    <mergeCell ref="B16:C16"/>
    <mergeCell ref="D16:O16"/>
    <mergeCell ref="B19:C19"/>
    <mergeCell ref="D19:J19"/>
    <mergeCell ref="K19:O19"/>
    <mergeCell ref="B26:C30"/>
    <mergeCell ref="D26:I28"/>
    <mergeCell ref="D29:I30"/>
    <mergeCell ref="B20:C22"/>
    <mergeCell ref="D20:J22"/>
  </mergeCells>
  <phoneticPr fontId="99" type="noConversion"/>
  <printOptions horizontalCentered="1"/>
  <pageMargins left="0.31496062992125984" right="0.31496062992125984" top="0.31496062992125984" bottom="0.31496062992125984" header="0" footer="0"/>
  <pageSetup paperSize="9" scale="82"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3"/>
  <sheetViews>
    <sheetView zoomScaleNormal="100" workbookViewId="0"/>
  </sheetViews>
  <sheetFormatPr defaultRowHeight="16.5"/>
  <cols>
    <col min="1" max="1" width="1" customWidth="1"/>
    <col min="2" max="2" width="13.125" customWidth="1"/>
    <col min="3" max="3" width="9.75" customWidth="1"/>
    <col min="4" max="4" width="7.625" customWidth="1"/>
    <col min="5" max="11" width="8.625" customWidth="1"/>
    <col min="12" max="29" width="7.625" customWidth="1"/>
  </cols>
  <sheetData>
    <row r="1" spans="1:35" s="16" customFormat="1" ht="30" customHeight="1" thickBot="1">
      <c r="B1" s="1271" t="s">
        <v>1733</v>
      </c>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row>
    <row r="2" spans="1:35" s="2" customFormat="1" ht="6" customHeight="1" thickTop="1">
      <c r="A2" s="5"/>
      <c r="B2" s="37"/>
      <c r="C2" s="37"/>
      <c r="D2" s="37"/>
      <c r="E2" s="37"/>
      <c r="F2" s="37"/>
      <c r="G2" s="37"/>
      <c r="H2" s="37"/>
      <c r="I2" s="5"/>
      <c r="J2" s="5"/>
      <c r="K2" s="5"/>
      <c r="L2" s="5"/>
      <c r="M2" s="5"/>
      <c r="N2" s="5"/>
      <c r="O2" s="5"/>
      <c r="P2" s="5"/>
      <c r="Q2" s="5"/>
      <c r="R2" s="5"/>
      <c r="S2" s="5"/>
      <c r="T2" s="5"/>
      <c r="U2" s="5"/>
      <c r="V2" s="5"/>
      <c r="W2" s="5"/>
      <c r="X2" s="5"/>
      <c r="Y2" s="5"/>
      <c r="Z2" s="5"/>
      <c r="AA2" s="5"/>
      <c r="AB2" s="5"/>
      <c r="AC2" s="5"/>
      <c r="AD2" s="5"/>
      <c r="AE2" s="5"/>
      <c r="AF2" s="5"/>
      <c r="AG2" s="5"/>
      <c r="AH2" s="5"/>
      <c r="AI2" s="5"/>
    </row>
    <row r="3" spans="1:35" s="274" customFormat="1" ht="18" customHeight="1">
      <c r="B3" s="364" t="s">
        <v>1746</v>
      </c>
      <c r="C3" s="273"/>
      <c r="D3" s="273"/>
      <c r="E3" s="273"/>
      <c r="F3" s="273"/>
      <c r="G3" s="273"/>
    </row>
    <row r="4" spans="1:35" s="2" customFormat="1" ht="6" customHeight="1" thickBot="1">
      <c r="A4" s="5"/>
      <c r="B4" s="37"/>
      <c r="C4" s="37"/>
      <c r="D4" s="37"/>
      <c r="E4" s="37"/>
      <c r="F4" s="37"/>
      <c r="G4" s="37"/>
      <c r="H4" s="37"/>
      <c r="I4" s="5"/>
      <c r="J4" s="5"/>
      <c r="K4" s="5"/>
      <c r="L4" s="5"/>
      <c r="M4" s="5"/>
      <c r="N4" s="5"/>
      <c r="O4" s="5"/>
      <c r="P4" s="5"/>
      <c r="Q4" s="5"/>
      <c r="R4" s="5"/>
      <c r="S4" s="5"/>
      <c r="T4" s="5"/>
      <c r="U4" s="5"/>
      <c r="V4" s="5"/>
      <c r="W4" s="5"/>
      <c r="X4" s="5"/>
      <c r="Y4" s="5"/>
      <c r="Z4" s="5"/>
      <c r="AA4" s="5"/>
      <c r="AB4" s="5"/>
      <c r="AC4" s="5"/>
      <c r="AD4" s="5"/>
      <c r="AE4" s="5"/>
      <c r="AF4" s="5"/>
      <c r="AG4" s="5"/>
      <c r="AH4" s="5"/>
      <c r="AI4" s="5"/>
    </row>
    <row r="5" spans="1:35" s="228" customFormat="1" ht="18" customHeight="1">
      <c r="B5" s="1980" t="s">
        <v>851</v>
      </c>
      <c r="C5" s="2078"/>
      <c r="D5" s="1981"/>
      <c r="E5" s="1588" t="s">
        <v>1212</v>
      </c>
      <c r="F5" s="2079" t="s">
        <v>30</v>
      </c>
      <c r="G5" s="1590" t="s">
        <v>31</v>
      </c>
      <c r="H5" s="1590"/>
      <c r="I5" s="1356" t="s">
        <v>1213</v>
      </c>
      <c r="J5" s="1357"/>
      <c r="K5" s="1012" t="s">
        <v>1214</v>
      </c>
      <c r="L5" s="1480" t="s">
        <v>1215</v>
      </c>
      <c r="M5" s="1481"/>
      <c r="N5" s="1482"/>
      <c r="O5" s="1483" t="s">
        <v>1216</v>
      </c>
      <c r="P5" s="1357"/>
      <c r="Q5" s="1015">
        <v>0.93</v>
      </c>
      <c r="R5" s="1483" t="s">
        <v>1217</v>
      </c>
      <c r="S5" s="1357"/>
      <c r="T5" s="244">
        <v>0.86</v>
      </c>
      <c r="U5" s="1483" t="s">
        <v>312</v>
      </c>
      <c r="V5" s="1357"/>
      <c r="W5" s="244">
        <v>0.83</v>
      </c>
      <c r="X5" s="1483" t="s">
        <v>1218</v>
      </c>
      <c r="Y5" s="1357"/>
      <c r="Z5" s="1015">
        <v>0.75</v>
      </c>
      <c r="AA5" s="1351" t="s">
        <v>1219</v>
      </c>
      <c r="AB5" s="1288"/>
      <c r="AC5" s="244">
        <v>0.7</v>
      </c>
    </row>
    <row r="6" spans="1:35" s="228" customFormat="1" ht="24.95" customHeight="1" thickBot="1">
      <c r="B6" s="2081" t="s">
        <v>1220</v>
      </c>
      <c r="C6" s="2082"/>
      <c r="D6" s="21" t="s">
        <v>1221</v>
      </c>
      <c r="E6" s="1589"/>
      <c r="F6" s="2080"/>
      <c r="G6" s="191" t="s">
        <v>1222</v>
      </c>
      <c r="H6" s="1033" t="s">
        <v>1223</v>
      </c>
      <c r="I6" s="1033" t="s">
        <v>1224</v>
      </c>
      <c r="J6" s="1033" t="s">
        <v>1225</v>
      </c>
      <c r="K6" s="567">
        <f>285%*98%</f>
        <v>2.7930000000000001</v>
      </c>
      <c r="L6" s="1049" t="s">
        <v>1226</v>
      </c>
      <c r="M6" s="1050" t="s">
        <v>1227</v>
      </c>
      <c r="N6" s="1051" t="s">
        <v>1228</v>
      </c>
      <c r="O6" s="1049" t="s">
        <v>1226</v>
      </c>
      <c r="P6" s="1050" t="s">
        <v>1227</v>
      </c>
      <c r="Q6" s="1051" t="s">
        <v>1228</v>
      </c>
      <c r="R6" s="1049" t="s">
        <v>1226</v>
      </c>
      <c r="S6" s="1050" t="s">
        <v>1227</v>
      </c>
      <c r="T6" s="1051" t="s">
        <v>1228</v>
      </c>
      <c r="U6" s="1049" t="s">
        <v>1226</v>
      </c>
      <c r="V6" s="1050" t="s">
        <v>1227</v>
      </c>
      <c r="W6" s="1051" t="s">
        <v>1228</v>
      </c>
      <c r="X6" s="1049" t="s">
        <v>1226</v>
      </c>
      <c r="Y6" s="1050" t="s">
        <v>1227</v>
      </c>
      <c r="Z6" s="1051" t="s">
        <v>1228</v>
      </c>
      <c r="AA6" s="1049" t="s">
        <v>1226</v>
      </c>
      <c r="AB6" s="1050" t="s">
        <v>1227</v>
      </c>
      <c r="AC6" s="1051" t="s">
        <v>1228</v>
      </c>
    </row>
    <row r="7" spans="1:35" s="228" customFormat="1" ht="18" customHeight="1">
      <c r="B7" s="1379" t="s">
        <v>1229</v>
      </c>
      <c r="C7" s="2076"/>
      <c r="D7" s="2077"/>
      <c r="E7" s="1230">
        <v>1000</v>
      </c>
      <c r="F7" s="1234">
        <f>E7*D8</f>
        <v>800</v>
      </c>
      <c r="G7" s="2061">
        <f>F7*120%</f>
        <v>960</v>
      </c>
      <c r="H7" s="1234">
        <f>F7*24%*7</f>
        <v>1344</v>
      </c>
      <c r="I7" s="1234">
        <f>F7*12.5%*12</f>
        <v>1200</v>
      </c>
      <c r="J7" s="1234">
        <f>F7*8%*12</f>
        <v>768</v>
      </c>
      <c r="K7" s="1234">
        <f>F7*$K$6</f>
        <v>2234.4</v>
      </c>
      <c r="L7" s="469">
        <f>G7+K7</f>
        <v>3194.4</v>
      </c>
      <c r="M7" s="1013">
        <f>G7+H7+K7</f>
        <v>4538.3999999999996</v>
      </c>
      <c r="N7" s="1014">
        <f>G7+H7+I7+J7+K7</f>
        <v>6506.4</v>
      </c>
      <c r="O7" s="470">
        <f>L7*$Q$5</f>
        <v>2970.7920000000004</v>
      </c>
      <c r="P7" s="1013">
        <f>M7*$Q$5</f>
        <v>4220.7119999999995</v>
      </c>
      <c r="Q7" s="568">
        <f>N7*$Q$5</f>
        <v>6050.9520000000002</v>
      </c>
      <c r="R7" s="670">
        <f>L7*$T$5</f>
        <v>2747.1840000000002</v>
      </c>
      <c r="S7" s="1013">
        <f t="shared" ref="S7:T7" si="0">M7*$T$5</f>
        <v>3903.0239999999994</v>
      </c>
      <c r="T7" s="1014">
        <f t="shared" si="0"/>
        <v>5595.5039999999999</v>
      </c>
      <c r="U7" s="469">
        <f>L7*$W$5</f>
        <v>2651.3519999999999</v>
      </c>
      <c r="V7" s="1013">
        <f>M7*$W$5</f>
        <v>3766.8719999999994</v>
      </c>
      <c r="W7" s="1014">
        <f>N7*$W$5</f>
        <v>5400.311999999999</v>
      </c>
      <c r="X7" s="470">
        <f>L7*$Z$5</f>
        <v>2395.8000000000002</v>
      </c>
      <c r="Y7" s="1013">
        <f>M7*$Z$5</f>
        <v>3403.7999999999997</v>
      </c>
      <c r="Z7" s="568">
        <f>N7*$Z$5</f>
        <v>4879.7999999999993</v>
      </c>
      <c r="AA7" s="469">
        <f>L7*$AC$5</f>
        <v>2236.08</v>
      </c>
      <c r="AB7" s="568">
        <f>M7*$AC$5</f>
        <v>3176.8799999999997</v>
      </c>
      <c r="AC7" s="1014">
        <f>N7*$AC$5</f>
        <v>4554.4799999999996</v>
      </c>
    </row>
    <row r="8" spans="1:35" s="228" customFormat="1" ht="18" customHeight="1">
      <c r="B8" s="2064" t="s">
        <v>1230</v>
      </c>
      <c r="C8" s="2065"/>
      <c r="D8" s="445">
        <v>0.8</v>
      </c>
      <c r="E8" s="1244"/>
      <c r="F8" s="1232"/>
      <c r="G8" s="1622"/>
      <c r="H8" s="1232"/>
      <c r="I8" s="1232"/>
      <c r="J8" s="1232"/>
      <c r="K8" s="1232"/>
      <c r="L8" s="186">
        <f>L7/$E7</f>
        <v>3.1943999999999999</v>
      </c>
      <c r="M8" s="189">
        <f t="shared" ref="M8:AC8" si="1">M7/$E7</f>
        <v>4.5383999999999993</v>
      </c>
      <c r="N8" s="188">
        <f t="shared" si="1"/>
        <v>6.5063999999999993</v>
      </c>
      <c r="O8" s="187">
        <f t="shared" si="1"/>
        <v>2.9707920000000003</v>
      </c>
      <c r="P8" s="189">
        <f t="shared" si="1"/>
        <v>4.2207119999999998</v>
      </c>
      <c r="Q8" s="190">
        <f t="shared" si="1"/>
        <v>6.0509520000000006</v>
      </c>
      <c r="R8" s="186">
        <f t="shared" si="1"/>
        <v>2.7471840000000003</v>
      </c>
      <c r="S8" s="189">
        <f t="shared" si="1"/>
        <v>3.9030239999999994</v>
      </c>
      <c r="T8" s="188">
        <f t="shared" si="1"/>
        <v>5.595504</v>
      </c>
      <c r="U8" s="186">
        <f t="shared" si="1"/>
        <v>2.6513519999999997</v>
      </c>
      <c r="V8" s="189">
        <f t="shared" si="1"/>
        <v>3.7668719999999993</v>
      </c>
      <c r="W8" s="188">
        <f t="shared" si="1"/>
        <v>5.4003119999999987</v>
      </c>
      <c r="X8" s="187">
        <f t="shared" si="1"/>
        <v>2.3958000000000004</v>
      </c>
      <c r="Y8" s="189">
        <f t="shared" si="1"/>
        <v>3.4037999999999999</v>
      </c>
      <c r="Z8" s="190">
        <f t="shared" si="1"/>
        <v>4.8797999999999995</v>
      </c>
      <c r="AA8" s="186">
        <f t="shared" si="1"/>
        <v>2.2360799999999998</v>
      </c>
      <c r="AB8" s="190">
        <f t="shared" si="1"/>
        <v>3.1768799999999997</v>
      </c>
      <c r="AC8" s="188">
        <f t="shared" si="1"/>
        <v>4.5544799999999999</v>
      </c>
    </row>
    <row r="9" spans="1:35" s="228" customFormat="1" ht="18" customHeight="1">
      <c r="B9" s="1372" t="s">
        <v>1231</v>
      </c>
      <c r="C9" s="1628"/>
      <c r="D9" s="1732"/>
      <c r="E9" s="1244">
        <v>1000</v>
      </c>
      <c r="F9" s="1268">
        <f>E9*D10</f>
        <v>900</v>
      </c>
      <c r="G9" s="1268">
        <f>F9*120%</f>
        <v>1080</v>
      </c>
      <c r="H9" s="1268">
        <f>F9*24%*7</f>
        <v>1512</v>
      </c>
      <c r="I9" s="1234">
        <f>F9*12.5%*12</f>
        <v>1350</v>
      </c>
      <c r="J9" s="1234">
        <f>F9*8%*12</f>
        <v>864</v>
      </c>
      <c r="K9" s="1268">
        <f>F9*$K$6</f>
        <v>2513.7000000000003</v>
      </c>
      <c r="L9" s="469">
        <f>G9+K9</f>
        <v>3593.7000000000003</v>
      </c>
      <c r="M9" s="1013">
        <f>G9+H9+K9</f>
        <v>5105.7000000000007</v>
      </c>
      <c r="N9" s="1014">
        <f>G9+H9+I9+J9+K9</f>
        <v>7319.7000000000007</v>
      </c>
      <c r="O9" s="470">
        <f>L9*$Q$5</f>
        <v>3342.1410000000005</v>
      </c>
      <c r="P9" s="671">
        <f>M9*$Q$5</f>
        <v>4748.3010000000013</v>
      </c>
      <c r="Q9" s="569">
        <f>N9*$Q$5</f>
        <v>6807.3210000000008</v>
      </c>
      <c r="R9" s="463">
        <f t="shared" ref="R9:T9" si="2">L9*$T$5</f>
        <v>3090.5820000000003</v>
      </c>
      <c r="S9" s="671">
        <f t="shared" si="2"/>
        <v>4390.902000000001</v>
      </c>
      <c r="T9" s="466">
        <f t="shared" si="2"/>
        <v>6294.9420000000009</v>
      </c>
      <c r="U9" s="463">
        <f>L9*$W$5</f>
        <v>2982.7710000000002</v>
      </c>
      <c r="V9" s="671">
        <f>M9*$W$5</f>
        <v>4237.7310000000007</v>
      </c>
      <c r="W9" s="466">
        <f>N9*$W$5</f>
        <v>6075.3510000000006</v>
      </c>
      <c r="X9" s="465">
        <f>L9*$Z$5</f>
        <v>2695.2750000000001</v>
      </c>
      <c r="Y9" s="671">
        <f>M9*$Z$5</f>
        <v>3829.2750000000005</v>
      </c>
      <c r="Z9" s="569">
        <f>N9*$Z$5</f>
        <v>5489.7750000000005</v>
      </c>
      <c r="AA9" s="463">
        <f>L9*$AC$5</f>
        <v>2515.59</v>
      </c>
      <c r="AB9" s="569">
        <f>M9*$AC$5</f>
        <v>3573.9900000000002</v>
      </c>
      <c r="AC9" s="466">
        <f>N9*$AC$5</f>
        <v>5123.79</v>
      </c>
    </row>
    <row r="10" spans="1:35" s="228" customFormat="1" ht="18" customHeight="1">
      <c r="B10" s="2064" t="s">
        <v>1232</v>
      </c>
      <c r="C10" s="2065"/>
      <c r="D10" s="445">
        <v>0.9</v>
      </c>
      <c r="E10" s="1244"/>
      <c r="F10" s="1232"/>
      <c r="G10" s="1232"/>
      <c r="H10" s="1232"/>
      <c r="I10" s="1232"/>
      <c r="J10" s="1232"/>
      <c r="K10" s="1232"/>
      <c r="L10" s="186">
        <f>L9/$E9</f>
        <v>3.5937000000000001</v>
      </c>
      <c r="M10" s="189">
        <f t="shared" ref="M10:AC10" si="3">M9/$E9</f>
        <v>5.1057000000000006</v>
      </c>
      <c r="N10" s="188">
        <f t="shared" si="3"/>
        <v>7.319700000000001</v>
      </c>
      <c r="O10" s="187">
        <f t="shared" si="3"/>
        <v>3.3421410000000007</v>
      </c>
      <c r="P10" s="189">
        <f t="shared" si="3"/>
        <v>4.7483010000000014</v>
      </c>
      <c r="Q10" s="190">
        <f t="shared" si="3"/>
        <v>6.8073210000000008</v>
      </c>
      <c r="R10" s="186">
        <f t="shared" si="3"/>
        <v>3.0905820000000004</v>
      </c>
      <c r="S10" s="189">
        <f t="shared" si="3"/>
        <v>4.3909020000000005</v>
      </c>
      <c r="T10" s="188">
        <f t="shared" si="3"/>
        <v>6.2949420000000007</v>
      </c>
      <c r="U10" s="186">
        <f t="shared" si="3"/>
        <v>2.9827710000000001</v>
      </c>
      <c r="V10" s="189">
        <f t="shared" si="3"/>
        <v>4.237731000000001</v>
      </c>
      <c r="W10" s="188">
        <f t="shared" si="3"/>
        <v>6.0753510000000004</v>
      </c>
      <c r="X10" s="187">
        <f t="shared" si="3"/>
        <v>2.6952750000000001</v>
      </c>
      <c r="Y10" s="189">
        <f t="shared" si="3"/>
        <v>3.8292750000000004</v>
      </c>
      <c r="Z10" s="190">
        <f t="shared" si="3"/>
        <v>5.4897750000000007</v>
      </c>
      <c r="AA10" s="186">
        <f t="shared" si="3"/>
        <v>2.51559</v>
      </c>
      <c r="AB10" s="190">
        <f t="shared" si="3"/>
        <v>3.5739900000000002</v>
      </c>
      <c r="AC10" s="188">
        <f t="shared" si="3"/>
        <v>5.1237899999999996</v>
      </c>
    </row>
    <row r="11" spans="1:35" s="228" customFormat="1" ht="18" customHeight="1">
      <c r="B11" s="1372" t="s">
        <v>1233</v>
      </c>
      <c r="C11" s="1628"/>
      <c r="D11" s="1732"/>
      <c r="E11" s="1244">
        <v>1000</v>
      </c>
      <c r="F11" s="1268">
        <f>E11*D12</f>
        <v>870</v>
      </c>
      <c r="G11" s="1268">
        <f t="shared" ref="G11" si="4">F11*120%</f>
        <v>1044</v>
      </c>
      <c r="H11" s="1268">
        <f>F11*24%*7</f>
        <v>1461.6</v>
      </c>
      <c r="I11" s="1234">
        <f>F11*12.5%*12</f>
        <v>1305</v>
      </c>
      <c r="J11" s="1234">
        <f>F11*8%*12</f>
        <v>835.2</v>
      </c>
      <c r="K11" s="1268">
        <f>F11*$K$6</f>
        <v>2429.9100000000003</v>
      </c>
      <c r="L11" s="469">
        <f>G11+K11</f>
        <v>3473.9100000000003</v>
      </c>
      <c r="M11" s="1013">
        <f>G11+H11+K11</f>
        <v>4935.51</v>
      </c>
      <c r="N11" s="1014">
        <f>G11+H11+I11+J11+K11</f>
        <v>7075.7100000000009</v>
      </c>
      <c r="O11" s="470">
        <f>L11*$Q$5</f>
        <v>3230.7363000000005</v>
      </c>
      <c r="P11" s="671">
        <f>M11*$Q$5</f>
        <v>4590.0243</v>
      </c>
      <c r="Q11" s="569">
        <f>N11*$Q$5</f>
        <v>6580.4103000000014</v>
      </c>
      <c r="R11" s="463">
        <f t="shared" ref="R11:T11" si="5">L11*$T$5</f>
        <v>2987.5626000000002</v>
      </c>
      <c r="S11" s="671">
        <f t="shared" si="5"/>
        <v>4244.5385999999999</v>
      </c>
      <c r="T11" s="466">
        <f t="shared" si="5"/>
        <v>6085.1106000000009</v>
      </c>
      <c r="U11" s="463">
        <f>L11*$W$5</f>
        <v>2883.3453</v>
      </c>
      <c r="V11" s="671">
        <f>M11*$W$5</f>
        <v>4096.4732999999997</v>
      </c>
      <c r="W11" s="466">
        <f>N11*$W$5</f>
        <v>5872.8393000000005</v>
      </c>
      <c r="X11" s="465">
        <f>L11*$Z$5</f>
        <v>2605.4325000000003</v>
      </c>
      <c r="Y11" s="671">
        <f>M11*$Z$5</f>
        <v>3701.6325000000002</v>
      </c>
      <c r="Z11" s="569">
        <f>N11*$Z$5</f>
        <v>5306.7825000000012</v>
      </c>
      <c r="AA11" s="463">
        <f>L11*$AC$5</f>
        <v>2431.7370000000001</v>
      </c>
      <c r="AB11" s="569">
        <f>M11*$AC$5</f>
        <v>3454.857</v>
      </c>
      <c r="AC11" s="466">
        <f>N11*$AC$5</f>
        <v>4952.9970000000003</v>
      </c>
    </row>
    <row r="12" spans="1:35" s="228" customFormat="1" ht="18" customHeight="1">
      <c r="B12" s="2064" t="s">
        <v>1232</v>
      </c>
      <c r="C12" s="2065"/>
      <c r="D12" s="445">
        <v>0.87</v>
      </c>
      <c r="E12" s="1244"/>
      <c r="F12" s="1232"/>
      <c r="G12" s="1232"/>
      <c r="H12" s="1232"/>
      <c r="I12" s="1232"/>
      <c r="J12" s="1232"/>
      <c r="K12" s="1232"/>
      <c r="L12" s="186">
        <f t="shared" ref="L12:AC12" si="6">L11/$E11</f>
        <v>3.4739100000000005</v>
      </c>
      <c r="M12" s="189">
        <f t="shared" si="6"/>
        <v>4.9355099999999998</v>
      </c>
      <c r="N12" s="188">
        <f t="shared" si="6"/>
        <v>7.0757100000000008</v>
      </c>
      <c r="O12" s="187">
        <f t="shared" si="6"/>
        <v>3.2307363000000007</v>
      </c>
      <c r="P12" s="189">
        <f t="shared" si="6"/>
        <v>4.5900242999999996</v>
      </c>
      <c r="Q12" s="190">
        <f t="shared" si="6"/>
        <v>6.5804103000000014</v>
      </c>
      <c r="R12" s="186">
        <f t="shared" si="6"/>
        <v>2.9875626000000004</v>
      </c>
      <c r="S12" s="189">
        <f t="shared" si="6"/>
        <v>4.2445386000000003</v>
      </c>
      <c r="T12" s="188">
        <f t="shared" si="6"/>
        <v>6.085110600000001</v>
      </c>
      <c r="U12" s="186">
        <f t="shared" si="6"/>
        <v>2.8833452999999998</v>
      </c>
      <c r="V12" s="189">
        <f t="shared" si="6"/>
        <v>4.0964732999999995</v>
      </c>
      <c r="W12" s="188">
        <f t="shared" si="6"/>
        <v>5.8728393000000008</v>
      </c>
      <c r="X12" s="187">
        <f t="shared" si="6"/>
        <v>2.6054325000000005</v>
      </c>
      <c r="Y12" s="189">
        <f t="shared" si="6"/>
        <v>3.7016325000000001</v>
      </c>
      <c r="Z12" s="190">
        <f t="shared" si="6"/>
        <v>5.3067825000000015</v>
      </c>
      <c r="AA12" s="186">
        <f t="shared" si="6"/>
        <v>2.431737</v>
      </c>
      <c r="AB12" s="190">
        <f t="shared" si="6"/>
        <v>3.4548570000000001</v>
      </c>
      <c r="AC12" s="188">
        <f t="shared" si="6"/>
        <v>4.9529969999999999</v>
      </c>
    </row>
    <row r="13" spans="1:35" s="228" customFormat="1" ht="18" customHeight="1">
      <c r="B13" s="1372" t="s">
        <v>1234</v>
      </c>
      <c r="C13" s="1628"/>
      <c r="D13" s="1732"/>
      <c r="E13" s="1244">
        <v>1000</v>
      </c>
      <c r="F13" s="1268">
        <f>E13*D14</f>
        <v>400</v>
      </c>
      <c r="G13" s="1268">
        <f t="shared" ref="G13" si="7">F13*120%</f>
        <v>480</v>
      </c>
      <c r="H13" s="1268">
        <f>F13*24%*7</f>
        <v>672</v>
      </c>
      <c r="I13" s="1234">
        <f>F13*12.5%*12</f>
        <v>600</v>
      </c>
      <c r="J13" s="1234">
        <f>F13*8%*12</f>
        <v>384</v>
      </c>
      <c r="K13" s="1268">
        <f>F13*$K$6</f>
        <v>1117.2</v>
      </c>
      <c r="L13" s="469">
        <f>G13+K13</f>
        <v>1597.2</v>
      </c>
      <c r="M13" s="1013">
        <f>G13+H13+K13</f>
        <v>2269.1999999999998</v>
      </c>
      <c r="N13" s="1014">
        <f>G13+H13+I13+J13+K13</f>
        <v>3253.2</v>
      </c>
      <c r="O13" s="470">
        <f>L13*$Q$5</f>
        <v>1485.3960000000002</v>
      </c>
      <c r="P13" s="671">
        <f>M13*$Q$5</f>
        <v>2110.3559999999998</v>
      </c>
      <c r="Q13" s="569">
        <f>N13*$Q$5</f>
        <v>3025.4760000000001</v>
      </c>
      <c r="R13" s="463">
        <f t="shared" ref="R13:T13" si="8">L13*$T$5</f>
        <v>1373.5920000000001</v>
      </c>
      <c r="S13" s="671">
        <f t="shared" si="8"/>
        <v>1951.5119999999997</v>
      </c>
      <c r="T13" s="466">
        <f t="shared" si="8"/>
        <v>2797.752</v>
      </c>
      <c r="U13" s="463">
        <f>L13*$W$5</f>
        <v>1325.6759999999999</v>
      </c>
      <c r="V13" s="671">
        <f>M13*$W$5</f>
        <v>1883.4359999999997</v>
      </c>
      <c r="W13" s="466">
        <f>N13*$W$5</f>
        <v>2700.1559999999995</v>
      </c>
      <c r="X13" s="465">
        <f>L13*$Z$5</f>
        <v>1197.9000000000001</v>
      </c>
      <c r="Y13" s="671">
        <f>M13*$Z$5</f>
        <v>1701.8999999999999</v>
      </c>
      <c r="Z13" s="569">
        <f>N13*$Z$5</f>
        <v>2439.8999999999996</v>
      </c>
      <c r="AA13" s="463">
        <f>L13*$AC$5</f>
        <v>1118.04</v>
      </c>
      <c r="AB13" s="569">
        <f>M13*$AC$5</f>
        <v>1588.4399999999998</v>
      </c>
      <c r="AC13" s="466">
        <f>N13*$AC$5</f>
        <v>2277.2399999999998</v>
      </c>
    </row>
    <row r="14" spans="1:35" s="228" customFormat="1" ht="18" customHeight="1">
      <c r="B14" s="2064" t="s">
        <v>1235</v>
      </c>
      <c r="C14" s="2065"/>
      <c r="D14" s="445">
        <v>0.4</v>
      </c>
      <c r="E14" s="1244"/>
      <c r="F14" s="1232"/>
      <c r="G14" s="1232"/>
      <c r="H14" s="1232"/>
      <c r="I14" s="1232"/>
      <c r="J14" s="1232"/>
      <c r="K14" s="1232"/>
      <c r="L14" s="186">
        <f t="shared" ref="L14:AC14" si="9">L13/$E13</f>
        <v>1.5972</v>
      </c>
      <c r="M14" s="189">
        <f t="shared" si="9"/>
        <v>2.2691999999999997</v>
      </c>
      <c r="N14" s="188">
        <f t="shared" si="9"/>
        <v>3.2531999999999996</v>
      </c>
      <c r="O14" s="187">
        <f t="shared" si="9"/>
        <v>1.4853960000000002</v>
      </c>
      <c r="P14" s="189">
        <f t="shared" si="9"/>
        <v>2.1103559999999999</v>
      </c>
      <c r="Q14" s="190">
        <f t="shared" si="9"/>
        <v>3.0254760000000003</v>
      </c>
      <c r="R14" s="186">
        <f t="shared" si="9"/>
        <v>1.3735920000000001</v>
      </c>
      <c r="S14" s="189">
        <f t="shared" si="9"/>
        <v>1.9515119999999997</v>
      </c>
      <c r="T14" s="188">
        <f t="shared" si="9"/>
        <v>2.797752</v>
      </c>
      <c r="U14" s="186">
        <f t="shared" si="9"/>
        <v>1.3256759999999999</v>
      </c>
      <c r="V14" s="189">
        <f t="shared" si="9"/>
        <v>1.8834359999999997</v>
      </c>
      <c r="W14" s="188">
        <f t="shared" si="9"/>
        <v>2.7001559999999993</v>
      </c>
      <c r="X14" s="187">
        <f t="shared" si="9"/>
        <v>1.1979000000000002</v>
      </c>
      <c r="Y14" s="189">
        <f t="shared" si="9"/>
        <v>1.7019</v>
      </c>
      <c r="Z14" s="190">
        <f t="shared" si="9"/>
        <v>2.4398999999999997</v>
      </c>
      <c r="AA14" s="186">
        <f t="shared" si="9"/>
        <v>1.1180399999999999</v>
      </c>
      <c r="AB14" s="190">
        <f t="shared" si="9"/>
        <v>1.5884399999999999</v>
      </c>
      <c r="AC14" s="188">
        <f t="shared" si="9"/>
        <v>2.2772399999999999</v>
      </c>
    </row>
    <row r="15" spans="1:35" s="228" customFormat="1" ht="18" customHeight="1">
      <c r="B15" s="2073" t="s">
        <v>1236</v>
      </c>
      <c r="C15" s="2074"/>
      <c r="D15" s="2075"/>
      <c r="E15" s="1244">
        <v>1000</v>
      </c>
      <c r="F15" s="1268">
        <f>E15*D16</f>
        <v>770</v>
      </c>
      <c r="G15" s="1268">
        <f t="shared" ref="G15" si="10">F15*120%</f>
        <v>924</v>
      </c>
      <c r="H15" s="1268">
        <f>F15*24%*7</f>
        <v>1293.5999999999999</v>
      </c>
      <c r="I15" s="1234">
        <f>F15*12.5%*12</f>
        <v>1155</v>
      </c>
      <c r="J15" s="1234">
        <f>F15*8%*12</f>
        <v>739.2</v>
      </c>
      <c r="K15" s="1268">
        <f>F15*$K$6</f>
        <v>2150.61</v>
      </c>
      <c r="L15" s="469">
        <f>G15+K15</f>
        <v>3074.61</v>
      </c>
      <c r="M15" s="1013">
        <f>G15+H15+K15</f>
        <v>4368.21</v>
      </c>
      <c r="N15" s="1014">
        <f>G15+H15+I15+J15+K15</f>
        <v>6262.41</v>
      </c>
      <c r="O15" s="470">
        <f>L15*$Q$5</f>
        <v>2859.3873000000003</v>
      </c>
      <c r="P15" s="671">
        <f>M15*$Q$5</f>
        <v>4062.4353000000001</v>
      </c>
      <c r="Q15" s="569">
        <f>N15*$Q$5</f>
        <v>5824.0412999999999</v>
      </c>
      <c r="R15" s="463">
        <f t="shared" ref="R15:T15" si="11">L15*$T$5</f>
        <v>2644.1646000000001</v>
      </c>
      <c r="S15" s="671">
        <f t="shared" si="11"/>
        <v>3756.6606000000002</v>
      </c>
      <c r="T15" s="466">
        <f t="shared" si="11"/>
        <v>5385.6725999999999</v>
      </c>
      <c r="U15" s="463">
        <f>L15*$W$5</f>
        <v>2551.9263000000001</v>
      </c>
      <c r="V15" s="671">
        <f>M15*$W$5</f>
        <v>3625.6142999999997</v>
      </c>
      <c r="W15" s="466">
        <f>N15*$W$5</f>
        <v>5197.8002999999999</v>
      </c>
      <c r="X15" s="465">
        <f>L15*$Z$5</f>
        <v>2305.9575</v>
      </c>
      <c r="Y15" s="671">
        <f>M15*$Z$5</f>
        <v>3276.1575000000003</v>
      </c>
      <c r="Z15" s="569">
        <f>N15*$Z$5</f>
        <v>4696.8074999999999</v>
      </c>
      <c r="AA15" s="463">
        <f>L15*$AC$5</f>
        <v>2152.2269999999999</v>
      </c>
      <c r="AB15" s="569">
        <f>M15*$AC$5</f>
        <v>3057.7469999999998</v>
      </c>
      <c r="AC15" s="466">
        <f>N15*$AC$5</f>
        <v>4383.6869999999999</v>
      </c>
    </row>
    <row r="16" spans="1:35" s="228" customFormat="1" ht="18" customHeight="1">
      <c r="B16" s="2066" t="s">
        <v>846</v>
      </c>
      <c r="C16" s="2067"/>
      <c r="D16" s="331">
        <v>0.77</v>
      </c>
      <c r="E16" s="1244"/>
      <c r="F16" s="1232"/>
      <c r="G16" s="1232"/>
      <c r="H16" s="1232"/>
      <c r="I16" s="1232"/>
      <c r="J16" s="1232"/>
      <c r="K16" s="1232"/>
      <c r="L16" s="186">
        <f t="shared" ref="L16:AC16" si="12">L15/$E15</f>
        <v>3.0746100000000003</v>
      </c>
      <c r="M16" s="189">
        <f t="shared" si="12"/>
        <v>4.3682100000000004</v>
      </c>
      <c r="N16" s="188">
        <f t="shared" si="12"/>
        <v>6.26241</v>
      </c>
      <c r="O16" s="187">
        <f t="shared" si="12"/>
        <v>2.8593873000000003</v>
      </c>
      <c r="P16" s="189">
        <f t="shared" si="12"/>
        <v>4.0624352999999997</v>
      </c>
      <c r="Q16" s="190">
        <f t="shared" si="12"/>
        <v>5.8240413000000002</v>
      </c>
      <c r="R16" s="186">
        <f t="shared" si="12"/>
        <v>2.6441645999999999</v>
      </c>
      <c r="S16" s="189">
        <f t="shared" si="12"/>
        <v>3.7566606</v>
      </c>
      <c r="T16" s="188">
        <f t="shared" si="12"/>
        <v>5.3856725999999995</v>
      </c>
      <c r="U16" s="186">
        <f t="shared" si="12"/>
        <v>2.5519262999999999</v>
      </c>
      <c r="V16" s="189">
        <f t="shared" si="12"/>
        <v>3.6256142999999996</v>
      </c>
      <c r="W16" s="188">
        <f t="shared" si="12"/>
        <v>5.1978002999999999</v>
      </c>
      <c r="X16" s="187">
        <f t="shared" si="12"/>
        <v>2.3059574999999999</v>
      </c>
      <c r="Y16" s="189">
        <f t="shared" si="12"/>
        <v>3.2761575000000001</v>
      </c>
      <c r="Z16" s="190">
        <f t="shared" si="12"/>
        <v>4.6968075000000002</v>
      </c>
      <c r="AA16" s="186">
        <f t="shared" si="12"/>
        <v>2.1522269999999999</v>
      </c>
      <c r="AB16" s="190">
        <f t="shared" si="12"/>
        <v>3.057747</v>
      </c>
      <c r="AC16" s="188">
        <f t="shared" si="12"/>
        <v>4.3836870000000001</v>
      </c>
    </row>
    <row r="17" spans="2:29" s="228" customFormat="1" ht="18" customHeight="1">
      <c r="B17" s="2070" t="s">
        <v>1237</v>
      </c>
      <c r="C17" s="2071"/>
      <c r="D17" s="2072"/>
      <c r="E17" s="1244">
        <v>1000</v>
      </c>
      <c r="F17" s="1268">
        <f>E17*D18</f>
        <v>800</v>
      </c>
      <c r="G17" s="1268">
        <f t="shared" ref="G17" si="13">F17*120%</f>
        <v>960</v>
      </c>
      <c r="H17" s="1268">
        <f>F17*24%*7</f>
        <v>1344</v>
      </c>
      <c r="I17" s="1234">
        <f>F17*12.5%*12</f>
        <v>1200</v>
      </c>
      <c r="J17" s="1234">
        <f>F17*8%*12</f>
        <v>768</v>
      </c>
      <c r="K17" s="1268">
        <f>F17*$K$6</f>
        <v>2234.4</v>
      </c>
      <c r="L17" s="469">
        <f>G17+K17</f>
        <v>3194.4</v>
      </c>
      <c r="M17" s="1013">
        <f>G17+H17+K17</f>
        <v>4538.3999999999996</v>
      </c>
      <c r="N17" s="1014">
        <f>G17+H17+I17+J17+K17</f>
        <v>6506.4</v>
      </c>
      <c r="O17" s="470">
        <f>L17*$Q$5</f>
        <v>2970.7920000000004</v>
      </c>
      <c r="P17" s="671">
        <f>M17*$Q$5</f>
        <v>4220.7119999999995</v>
      </c>
      <c r="Q17" s="569">
        <f>N17*$Q$5</f>
        <v>6050.9520000000002</v>
      </c>
      <c r="R17" s="463">
        <f t="shared" ref="R17:T17" si="14">L17*$T$5</f>
        <v>2747.1840000000002</v>
      </c>
      <c r="S17" s="671">
        <f t="shared" si="14"/>
        <v>3903.0239999999994</v>
      </c>
      <c r="T17" s="466">
        <f t="shared" si="14"/>
        <v>5595.5039999999999</v>
      </c>
      <c r="U17" s="463">
        <f>L17*$W$5</f>
        <v>2651.3519999999999</v>
      </c>
      <c r="V17" s="671">
        <f>M17*$W$5</f>
        <v>3766.8719999999994</v>
      </c>
      <c r="W17" s="466">
        <f>N17*$W$5</f>
        <v>5400.311999999999</v>
      </c>
      <c r="X17" s="465">
        <f>L17*$Z$5</f>
        <v>2395.8000000000002</v>
      </c>
      <c r="Y17" s="671">
        <f>M17*$Z$5</f>
        <v>3403.7999999999997</v>
      </c>
      <c r="Z17" s="569">
        <f>N17*$Z$5</f>
        <v>4879.7999999999993</v>
      </c>
      <c r="AA17" s="463">
        <f>L17*$AC$5</f>
        <v>2236.08</v>
      </c>
      <c r="AB17" s="569">
        <f>M17*$AC$5</f>
        <v>3176.8799999999997</v>
      </c>
      <c r="AC17" s="466">
        <f>N17*$AC$5</f>
        <v>4554.4799999999996</v>
      </c>
    </row>
    <row r="18" spans="2:29" s="228" customFormat="1" ht="18" customHeight="1">
      <c r="B18" s="2066" t="s">
        <v>1238</v>
      </c>
      <c r="C18" s="2067"/>
      <c r="D18" s="109">
        <v>0.8</v>
      </c>
      <c r="E18" s="1244"/>
      <c r="F18" s="1232"/>
      <c r="G18" s="1232"/>
      <c r="H18" s="1232"/>
      <c r="I18" s="1232"/>
      <c r="J18" s="1232"/>
      <c r="K18" s="1232"/>
      <c r="L18" s="186">
        <f t="shared" ref="L18:AC18" si="15">L17/$E17</f>
        <v>3.1943999999999999</v>
      </c>
      <c r="M18" s="189">
        <f t="shared" si="15"/>
        <v>4.5383999999999993</v>
      </c>
      <c r="N18" s="188">
        <f t="shared" si="15"/>
        <v>6.5063999999999993</v>
      </c>
      <c r="O18" s="187">
        <f t="shared" si="15"/>
        <v>2.9707920000000003</v>
      </c>
      <c r="P18" s="189">
        <f t="shared" si="15"/>
        <v>4.2207119999999998</v>
      </c>
      <c r="Q18" s="190">
        <f t="shared" si="15"/>
        <v>6.0509520000000006</v>
      </c>
      <c r="R18" s="186">
        <f t="shared" si="15"/>
        <v>2.7471840000000003</v>
      </c>
      <c r="S18" s="189">
        <f t="shared" si="15"/>
        <v>3.9030239999999994</v>
      </c>
      <c r="T18" s="188">
        <f t="shared" si="15"/>
        <v>5.595504</v>
      </c>
      <c r="U18" s="186">
        <f t="shared" si="15"/>
        <v>2.6513519999999997</v>
      </c>
      <c r="V18" s="189">
        <f t="shared" si="15"/>
        <v>3.7668719999999993</v>
      </c>
      <c r="W18" s="188">
        <f t="shared" si="15"/>
        <v>5.4003119999999987</v>
      </c>
      <c r="X18" s="187">
        <f t="shared" si="15"/>
        <v>2.3958000000000004</v>
      </c>
      <c r="Y18" s="189">
        <f t="shared" si="15"/>
        <v>3.4037999999999999</v>
      </c>
      <c r="Z18" s="190">
        <f t="shared" si="15"/>
        <v>4.8797999999999995</v>
      </c>
      <c r="AA18" s="186">
        <f t="shared" si="15"/>
        <v>2.2360799999999998</v>
      </c>
      <c r="AB18" s="190">
        <f t="shared" si="15"/>
        <v>3.1768799999999997</v>
      </c>
      <c r="AC18" s="188">
        <f t="shared" si="15"/>
        <v>4.5544799999999999</v>
      </c>
    </row>
    <row r="19" spans="2:29" s="228" customFormat="1" ht="18" customHeight="1">
      <c r="B19" s="2068" t="s">
        <v>1239</v>
      </c>
      <c r="C19" s="2069"/>
      <c r="D19" s="1267"/>
      <c r="E19" s="1244">
        <v>1000</v>
      </c>
      <c r="F19" s="1268">
        <f>E19*D20</f>
        <v>2100</v>
      </c>
      <c r="G19" s="1268">
        <f t="shared" ref="G19" si="16">F19*120%</f>
        <v>2520</v>
      </c>
      <c r="H19" s="1268">
        <f>F19*24%*7</f>
        <v>3528</v>
      </c>
      <c r="I19" s="1234">
        <f>F19*12.5%*12</f>
        <v>3150</v>
      </c>
      <c r="J19" s="1268">
        <f>F19*10%*12</f>
        <v>2520</v>
      </c>
      <c r="K19" s="1268">
        <f>F19*$K$6</f>
        <v>5865.3</v>
      </c>
      <c r="L19" s="463">
        <f>G19+K19</f>
        <v>8385.2999999999993</v>
      </c>
      <c r="M19" s="1013">
        <f>G19+H19+K19</f>
        <v>11913.3</v>
      </c>
      <c r="N19" s="1014">
        <f>G19+H19+I19+J19+K19</f>
        <v>17583.3</v>
      </c>
      <c r="O19" s="470">
        <f>L19*$Q$5</f>
        <v>7798.3289999999997</v>
      </c>
      <c r="P19" s="671">
        <f>M19*$Q$5</f>
        <v>11079.369000000001</v>
      </c>
      <c r="Q19" s="569">
        <f>N19*$Q$5</f>
        <v>16352.469000000001</v>
      </c>
      <c r="R19" s="463">
        <f t="shared" ref="R19:T19" si="17">L19*$T$5</f>
        <v>7211.3579999999993</v>
      </c>
      <c r="S19" s="671">
        <f t="shared" si="17"/>
        <v>10245.438</v>
      </c>
      <c r="T19" s="466">
        <f t="shared" si="17"/>
        <v>15121.637999999999</v>
      </c>
      <c r="U19" s="463">
        <f>L19*$W$5</f>
        <v>6959.7989999999991</v>
      </c>
      <c r="V19" s="671">
        <f>M19*$W$5</f>
        <v>9888.0389999999989</v>
      </c>
      <c r="W19" s="466">
        <f>N19*$W$5</f>
        <v>14594.138999999999</v>
      </c>
      <c r="X19" s="465">
        <f>L19*$Z$5</f>
        <v>6288.9749999999995</v>
      </c>
      <c r="Y19" s="671">
        <f>M19*$Z$5</f>
        <v>8934.9749999999985</v>
      </c>
      <c r="Z19" s="569">
        <f>N19*$Z$5</f>
        <v>13187.474999999999</v>
      </c>
      <c r="AA19" s="463">
        <f>L19*$AC$5</f>
        <v>5869.7099999999991</v>
      </c>
      <c r="AB19" s="569">
        <f>M19*$AC$5</f>
        <v>8339.31</v>
      </c>
      <c r="AC19" s="466">
        <f>N19*$AC$5</f>
        <v>12308.31</v>
      </c>
    </row>
    <row r="20" spans="2:29" s="228" customFormat="1" ht="18" customHeight="1">
      <c r="B20" s="2066" t="s">
        <v>1240</v>
      </c>
      <c r="C20" s="2067"/>
      <c r="D20" s="109">
        <v>2.1</v>
      </c>
      <c r="E20" s="1244"/>
      <c r="F20" s="1232"/>
      <c r="G20" s="1232"/>
      <c r="H20" s="1232"/>
      <c r="I20" s="1232"/>
      <c r="J20" s="1232"/>
      <c r="K20" s="1232"/>
      <c r="L20" s="186">
        <f t="shared" ref="L20:AC20" si="18">L19/$E19</f>
        <v>8.3852999999999991</v>
      </c>
      <c r="M20" s="189">
        <f t="shared" si="18"/>
        <v>11.9133</v>
      </c>
      <c r="N20" s="188">
        <f t="shared" si="18"/>
        <v>17.583299999999998</v>
      </c>
      <c r="O20" s="187">
        <f t="shared" si="18"/>
        <v>7.7983289999999998</v>
      </c>
      <c r="P20" s="189">
        <f t="shared" si="18"/>
        <v>11.079369</v>
      </c>
      <c r="Q20" s="190">
        <f t="shared" si="18"/>
        <v>16.352468999999999</v>
      </c>
      <c r="R20" s="186">
        <f t="shared" si="18"/>
        <v>7.2113579999999988</v>
      </c>
      <c r="S20" s="189">
        <f t="shared" si="18"/>
        <v>10.245438</v>
      </c>
      <c r="T20" s="188">
        <f t="shared" si="18"/>
        <v>15.121637999999999</v>
      </c>
      <c r="U20" s="186">
        <f t="shared" si="18"/>
        <v>6.9597989999999994</v>
      </c>
      <c r="V20" s="189">
        <f t="shared" si="18"/>
        <v>9.8880389999999991</v>
      </c>
      <c r="W20" s="188">
        <f t="shared" si="18"/>
        <v>14.594138999999998</v>
      </c>
      <c r="X20" s="187">
        <f t="shared" si="18"/>
        <v>6.2889749999999998</v>
      </c>
      <c r="Y20" s="189">
        <f t="shared" si="18"/>
        <v>8.9349749999999979</v>
      </c>
      <c r="Z20" s="190">
        <f t="shared" si="18"/>
        <v>13.187474999999999</v>
      </c>
      <c r="AA20" s="186">
        <f t="shared" si="18"/>
        <v>5.8697099999999995</v>
      </c>
      <c r="AB20" s="190">
        <f t="shared" si="18"/>
        <v>8.3393099999999993</v>
      </c>
      <c r="AC20" s="188">
        <f t="shared" si="18"/>
        <v>12.308309999999999</v>
      </c>
    </row>
    <row r="21" spans="2:29" s="228" customFormat="1" ht="18" customHeight="1">
      <c r="B21" s="2068" t="s">
        <v>1241</v>
      </c>
      <c r="C21" s="2069"/>
      <c r="D21" s="1267"/>
      <c r="E21" s="1244">
        <v>1000</v>
      </c>
      <c r="F21" s="1268">
        <f>E21*D22</f>
        <v>2050</v>
      </c>
      <c r="G21" s="1268">
        <f t="shared" ref="G21" si="19">F21*120%</f>
        <v>2460</v>
      </c>
      <c r="H21" s="1268">
        <f>F21*24%*7</f>
        <v>3444</v>
      </c>
      <c r="I21" s="1234">
        <f>F21*12.5%*12</f>
        <v>3075</v>
      </c>
      <c r="J21" s="1268">
        <f>F21*10%*12</f>
        <v>2460</v>
      </c>
      <c r="K21" s="1268">
        <f>F21*$K$6</f>
        <v>5725.6500000000005</v>
      </c>
      <c r="L21" s="463">
        <f>G21+K21</f>
        <v>8185.6500000000005</v>
      </c>
      <c r="M21" s="1013">
        <f>G21+H21+K21</f>
        <v>11629.650000000001</v>
      </c>
      <c r="N21" s="1014">
        <f>G21+H21+I21+J21+K21</f>
        <v>17164.650000000001</v>
      </c>
      <c r="O21" s="470">
        <f>L21*$Q$5</f>
        <v>7612.6545000000006</v>
      </c>
      <c r="P21" s="671">
        <f>M21*$Q$5</f>
        <v>10815.574500000002</v>
      </c>
      <c r="Q21" s="569">
        <f>N21*$Q$5</f>
        <v>15963.124500000002</v>
      </c>
      <c r="R21" s="463">
        <f t="shared" ref="R21:T21" si="20">L21*$T$5</f>
        <v>7039.6590000000006</v>
      </c>
      <c r="S21" s="671">
        <f t="shared" si="20"/>
        <v>10001.499000000002</v>
      </c>
      <c r="T21" s="466">
        <f t="shared" si="20"/>
        <v>14761.599</v>
      </c>
      <c r="U21" s="463">
        <f>L21*$W$5</f>
        <v>6794.0895</v>
      </c>
      <c r="V21" s="671">
        <f>M21*$W$5</f>
        <v>9652.6095000000005</v>
      </c>
      <c r="W21" s="466">
        <f>N21*$W$5</f>
        <v>14246.6595</v>
      </c>
      <c r="X21" s="465">
        <f>L21*$Z$5</f>
        <v>6139.2375000000002</v>
      </c>
      <c r="Y21" s="671">
        <f>M21*$Z$5</f>
        <v>8722.2375000000011</v>
      </c>
      <c r="Z21" s="569">
        <f>N21*$Z$5</f>
        <v>12873.487500000001</v>
      </c>
      <c r="AA21" s="463">
        <f>L21*$AC$5</f>
        <v>5729.9549999999999</v>
      </c>
      <c r="AB21" s="569">
        <f>M21*$AC$5</f>
        <v>8140.7550000000001</v>
      </c>
      <c r="AC21" s="466">
        <f>N21*$AC$5</f>
        <v>12015.255000000001</v>
      </c>
    </row>
    <row r="22" spans="2:29" s="228" customFormat="1" ht="18" customHeight="1">
      <c r="B22" s="2066" t="s">
        <v>1242</v>
      </c>
      <c r="C22" s="2067"/>
      <c r="D22" s="109">
        <v>2.0499999999999998</v>
      </c>
      <c r="E22" s="1244"/>
      <c r="F22" s="1232"/>
      <c r="G22" s="1232"/>
      <c r="H22" s="1232"/>
      <c r="I22" s="1232"/>
      <c r="J22" s="1232"/>
      <c r="K22" s="1232"/>
      <c r="L22" s="186">
        <f t="shared" ref="L22:AC22" si="21">L21/$E21</f>
        <v>8.1856500000000008</v>
      </c>
      <c r="M22" s="189">
        <f t="shared" si="21"/>
        <v>11.629650000000002</v>
      </c>
      <c r="N22" s="188">
        <f t="shared" si="21"/>
        <v>17.164650000000002</v>
      </c>
      <c r="O22" s="187">
        <f t="shared" si="21"/>
        <v>7.6126545000000005</v>
      </c>
      <c r="P22" s="189">
        <f t="shared" si="21"/>
        <v>10.815574500000002</v>
      </c>
      <c r="Q22" s="190">
        <f t="shared" si="21"/>
        <v>15.963124500000001</v>
      </c>
      <c r="R22" s="186">
        <f t="shared" si="21"/>
        <v>7.0396590000000003</v>
      </c>
      <c r="S22" s="189">
        <f t="shared" si="21"/>
        <v>10.001499000000001</v>
      </c>
      <c r="T22" s="188">
        <f t="shared" si="21"/>
        <v>14.761599</v>
      </c>
      <c r="U22" s="186">
        <f t="shared" si="21"/>
        <v>6.7940895000000001</v>
      </c>
      <c r="V22" s="189">
        <f t="shared" si="21"/>
        <v>9.6526095000000005</v>
      </c>
      <c r="W22" s="188">
        <f t="shared" si="21"/>
        <v>14.2466595</v>
      </c>
      <c r="X22" s="187">
        <f t="shared" si="21"/>
        <v>6.1392375000000001</v>
      </c>
      <c r="Y22" s="189">
        <f t="shared" si="21"/>
        <v>8.7222375000000003</v>
      </c>
      <c r="Z22" s="190">
        <f t="shared" si="21"/>
        <v>12.873487500000001</v>
      </c>
      <c r="AA22" s="186">
        <f t="shared" si="21"/>
        <v>5.7299550000000004</v>
      </c>
      <c r="AB22" s="190">
        <f t="shared" si="21"/>
        <v>8.1407550000000004</v>
      </c>
      <c r="AC22" s="188">
        <f t="shared" si="21"/>
        <v>12.015255000000002</v>
      </c>
    </row>
    <row r="23" spans="2:29" s="228" customFormat="1" ht="18" customHeight="1">
      <c r="B23" s="1372" t="s">
        <v>1243</v>
      </c>
      <c r="C23" s="1628"/>
      <c r="D23" s="1732"/>
      <c r="E23" s="1244">
        <v>1000</v>
      </c>
      <c r="F23" s="1268">
        <f>E23*D24</f>
        <v>1600</v>
      </c>
      <c r="G23" s="1268">
        <f t="shared" ref="G23" si="22">F23*120%</f>
        <v>1920</v>
      </c>
      <c r="H23" s="1268">
        <f>F23*24%*7</f>
        <v>2688</v>
      </c>
      <c r="I23" s="1234">
        <f>F23*12.5%*12</f>
        <v>2400</v>
      </c>
      <c r="J23" s="1268">
        <f>F23*10%*12</f>
        <v>1920</v>
      </c>
      <c r="K23" s="1268">
        <f>F23*$K$6</f>
        <v>4468.8</v>
      </c>
      <c r="L23" s="463">
        <f>G23+K23</f>
        <v>6388.8</v>
      </c>
      <c r="M23" s="1013">
        <f>G23+H23+K23</f>
        <v>9076.7999999999993</v>
      </c>
      <c r="N23" s="1014">
        <f>G23+H23+I23+J23+K23</f>
        <v>13396.8</v>
      </c>
      <c r="O23" s="470">
        <f>L23*$Q$5</f>
        <v>5941.5840000000007</v>
      </c>
      <c r="P23" s="671">
        <f>M23*$Q$5</f>
        <v>8441.4239999999991</v>
      </c>
      <c r="Q23" s="569">
        <f>N23*$Q$5</f>
        <v>12459.023999999999</v>
      </c>
      <c r="R23" s="463">
        <f t="shared" ref="R23:T23" si="23">L23*$T$5</f>
        <v>5494.3680000000004</v>
      </c>
      <c r="S23" s="671">
        <f t="shared" si="23"/>
        <v>7806.0479999999989</v>
      </c>
      <c r="T23" s="466">
        <f t="shared" si="23"/>
        <v>11521.248</v>
      </c>
      <c r="U23" s="463">
        <f>L23*$W$5</f>
        <v>5302.7039999999997</v>
      </c>
      <c r="V23" s="671">
        <f>M23*$W$5</f>
        <v>7533.7439999999988</v>
      </c>
      <c r="W23" s="466">
        <f>N23*$W$5</f>
        <v>11119.343999999999</v>
      </c>
      <c r="X23" s="465">
        <f>L23*$Z$5</f>
        <v>4791.6000000000004</v>
      </c>
      <c r="Y23" s="671">
        <f>M23*$Z$5</f>
        <v>6807.5999999999995</v>
      </c>
      <c r="Z23" s="569">
        <f>N23*$Z$5</f>
        <v>10047.599999999999</v>
      </c>
      <c r="AA23" s="463">
        <f>L23*$AC$5</f>
        <v>4472.16</v>
      </c>
      <c r="AB23" s="569">
        <f>M23*$AC$5</f>
        <v>6353.7599999999993</v>
      </c>
      <c r="AC23" s="466">
        <f>N23*$AC$5</f>
        <v>9377.7599999999984</v>
      </c>
    </row>
    <row r="24" spans="2:29" s="228" customFormat="1" ht="18" customHeight="1">
      <c r="B24" s="2064" t="s">
        <v>1244</v>
      </c>
      <c r="C24" s="2065"/>
      <c r="D24" s="445">
        <v>1.6</v>
      </c>
      <c r="E24" s="1244"/>
      <c r="F24" s="1232"/>
      <c r="G24" s="1232"/>
      <c r="H24" s="1232"/>
      <c r="I24" s="1232"/>
      <c r="J24" s="1232"/>
      <c r="K24" s="1232"/>
      <c r="L24" s="186">
        <f t="shared" ref="L24:AC24" si="24">L23/$E23</f>
        <v>6.3887999999999998</v>
      </c>
      <c r="M24" s="189">
        <f t="shared" si="24"/>
        <v>9.0767999999999986</v>
      </c>
      <c r="N24" s="188">
        <f t="shared" si="24"/>
        <v>13.396799999999999</v>
      </c>
      <c r="O24" s="187">
        <f t="shared" si="24"/>
        <v>5.9415840000000006</v>
      </c>
      <c r="P24" s="189">
        <f t="shared" si="24"/>
        <v>8.4414239999999996</v>
      </c>
      <c r="Q24" s="190">
        <f t="shared" si="24"/>
        <v>12.459023999999999</v>
      </c>
      <c r="R24" s="186">
        <f t="shared" si="24"/>
        <v>5.4943680000000006</v>
      </c>
      <c r="S24" s="189">
        <f t="shared" si="24"/>
        <v>7.8060479999999988</v>
      </c>
      <c r="T24" s="188">
        <f t="shared" si="24"/>
        <v>11.521248</v>
      </c>
      <c r="U24" s="186">
        <f t="shared" si="24"/>
        <v>5.3027039999999994</v>
      </c>
      <c r="V24" s="189">
        <f t="shared" si="24"/>
        <v>7.5337439999999987</v>
      </c>
      <c r="W24" s="188">
        <f t="shared" si="24"/>
        <v>11.119344</v>
      </c>
      <c r="X24" s="187">
        <f t="shared" si="24"/>
        <v>4.7916000000000007</v>
      </c>
      <c r="Y24" s="189">
        <f t="shared" si="24"/>
        <v>6.8075999999999999</v>
      </c>
      <c r="Z24" s="190">
        <f t="shared" si="24"/>
        <v>10.047599999999999</v>
      </c>
      <c r="AA24" s="186">
        <f t="shared" si="24"/>
        <v>4.4721599999999997</v>
      </c>
      <c r="AB24" s="190">
        <f t="shared" si="24"/>
        <v>6.3537599999999994</v>
      </c>
      <c r="AC24" s="188">
        <f t="shared" si="24"/>
        <v>9.3777599999999985</v>
      </c>
    </row>
    <row r="25" spans="2:29" s="228" customFormat="1" ht="18" customHeight="1">
      <c r="B25" s="1372" t="s">
        <v>1245</v>
      </c>
      <c r="C25" s="1628"/>
      <c r="D25" s="1732"/>
      <c r="E25" s="1244">
        <v>1000</v>
      </c>
      <c r="F25" s="1268">
        <f>E25*D26</f>
        <v>2300</v>
      </c>
      <c r="G25" s="1268">
        <f t="shared" ref="G25" si="25">F25*120%</f>
        <v>2760</v>
      </c>
      <c r="H25" s="1268">
        <f>F25*24%*7</f>
        <v>3864</v>
      </c>
      <c r="I25" s="1234">
        <f>F25*12.5%*12</f>
        <v>3450</v>
      </c>
      <c r="J25" s="1268">
        <f>F25*10%*12</f>
        <v>2760</v>
      </c>
      <c r="K25" s="1268">
        <f>F25*$K$6</f>
        <v>6423.9000000000005</v>
      </c>
      <c r="L25" s="463">
        <f>G25+K25</f>
        <v>9183.9000000000015</v>
      </c>
      <c r="M25" s="1013">
        <f>G25+H25+K25</f>
        <v>13047.900000000001</v>
      </c>
      <c r="N25" s="1014">
        <f>G25+H25+I25+J25+K25</f>
        <v>19257.900000000001</v>
      </c>
      <c r="O25" s="470">
        <f>L25*$Q$5</f>
        <v>8541.0270000000019</v>
      </c>
      <c r="P25" s="671">
        <f>M25*$Q$5</f>
        <v>12134.547000000002</v>
      </c>
      <c r="Q25" s="569">
        <f>N25*$Q$5</f>
        <v>17909.847000000002</v>
      </c>
      <c r="R25" s="463">
        <f t="shared" ref="R25:T25" si="26">L25*$T$5</f>
        <v>7898.1540000000014</v>
      </c>
      <c r="S25" s="671">
        <f t="shared" si="26"/>
        <v>11221.194000000001</v>
      </c>
      <c r="T25" s="466">
        <f t="shared" si="26"/>
        <v>16561.794000000002</v>
      </c>
      <c r="U25" s="463">
        <f>L25*$W$5</f>
        <v>7622.6370000000006</v>
      </c>
      <c r="V25" s="671">
        <f>M25*$W$5</f>
        <v>10829.757000000001</v>
      </c>
      <c r="W25" s="466">
        <f>N25*$W$5</f>
        <v>15984.057000000001</v>
      </c>
      <c r="X25" s="465">
        <f>L25*$Z$5</f>
        <v>6887.9250000000011</v>
      </c>
      <c r="Y25" s="671">
        <f>M25*$Z$5</f>
        <v>9785.9250000000011</v>
      </c>
      <c r="Z25" s="569">
        <f>N25*$Z$5</f>
        <v>14443.425000000001</v>
      </c>
      <c r="AA25" s="463">
        <f>L25*$AC$5</f>
        <v>6428.7300000000005</v>
      </c>
      <c r="AB25" s="569">
        <f>M25*$AC$5</f>
        <v>9133.5300000000007</v>
      </c>
      <c r="AC25" s="466">
        <f>N25*$AC$5</f>
        <v>13480.53</v>
      </c>
    </row>
    <row r="26" spans="2:29" s="228" customFormat="1" ht="18" customHeight="1">
      <c r="B26" s="2064" t="s">
        <v>1246</v>
      </c>
      <c r="C26" s="2065"/>
      <c r="D26" s="445">
        <v>2.2999999999999998</v>
      </c>
      <c r="E26" s="1244"/>
      <c r="F26" s="1232"/>
      <c r="G26" s="1232"/>
      <c r="H26" s="1232"/>
      <c r="I26" s="1232"/>
      <c r="J26" s="1232"/>
      <c r="K26" s="1232"/>
      <c r="L26" s="186">
        <f t="shared" ref="L26:AC26" si="27">L25/$E25</f>
        <v>9.1839000000000013</v>
      </c>
      <c r="M26" s="189">
        <f t="shared" si="27"/>
        <v>13.047900000000002</v>
      </c>
      <c r="N26" s="188">
        <f t="shared" si="27"/>
        <v>19.257900000000003</v>
      </c>
      <c r="O26" s="187">
        <f t="shared" si="27"/>
        <v>8.5410270000000015</v>
      </c>
      <c r="P26" s="189">
        <f t="shared" si="27"/>
        <v>12.134547000000003</v>
      </c>
      <c r="Q26" s="190">
        <f t="shared" si="27"/>
        <v>17.909847000000003</v>
      </c>
      <c r="R26" s="186">
        <f t="shared" si="27"/>
        <v>7.8981540000000017</v>
      </c>
      <c r="S26" s="189">
        <f t="shared" si="27"/>
        <v>11.221194000000001</v>
      </c>
      <c r="T26" s="188">
        <f t="shared" si="27"/>
        <v>16.561794000000003</v>
      </c>
      <c r="U26" s="186">
        <f t="shared" si="27"/>
        <v>7.622637000000001</v>
      </c>
      <c r="V26" s="189">
        <f t="shared" si="27"/>
        <v>10.829757000000001</v>
      </c>
      <c r="W26" s="188">
        <f t="shared" si="27"/>
        <v>15.984057</v>
      </c>
      <c r="X26" s="187">
        <f t="shared" si="27"/>
        <v>6.887925000000001</v>
      </c>
      <c r="Y26" s="189">
        <f t="shared" si="27"/>
        <v>9.7859250000000007</v>
      </c>
      <c r="Z26" s="190">
        <f t="shared" si="27"/>
        <v>14.443425000000001</v>
      </c>
      <c r="AA26" s="186">
        <f t="shared" si="27"/>
        <v>6.4287300000000007</v>
      </c>
      <c r="AB26" s="190">
        <f t="shared" si="27"/>
        <v>9.1335300000000004</v>
      </c>
      <c r="AC26" s="188">
        <f t="shared" si="27"/>
        <v>13.48053</v>
      </c>
    </row>
    <row r="27" spans="2:29" s="228" customFormat="1" ht="18" customHeight="1">
      <c r="B27" s="1372" t="s">
        <v>1247</v>
      </c>
      <c r="C27" s="1628"/>
      <c r="D27" s="1732"/>
      <c r="E27" s="1244">
        <v>100000</v>
      </c>
      <c r="F27" s="1268">
        <f>E27*D28</f>
        <v>400</v>
      </c>
      <c r="G27" s="2063">
        <f>E27*C28</f>
        <v>2000</v>
      </c>
      <c r="H27" s="1268" t="s">
        <v>1248</v>
      </c>
      <c r="I27" s="1268" t="s">
        <v>1248</v>
      </c>
      <c r="J27" s="1268" t="s">
        <v>1248</v>
      </c>
      <c r="K27" s="1268">
        <f>F27*$K$6</f>
        <v>1117.2</v>
      </c>
      <c r="L27" s="463">
        <f>G27+K27</f>
        <v>3117.2</v>
      </c>
      <c r="M27" s="671">
        <f>G27+K27</f>
        <v>3117.2</v>
      </c>
      <c r="N27" s="466">
        <f>G27+K27</f>
        <v>3117.2</v>
      </c>
      <c r="O27" s="470">
        <f>L27*$Q$5</f>
        <v>2898.9960000000001</v>
      </c>
      <c r="P27" s="671">
        <f>M27*$Q$5</f>
        <v>2898.9960000000001</v>
      </c>
      <c r="Q27" s="569">
        <f>N27*$Q$5</f>
        <v>2898.9960000000001</v>
      </c>
      <c r="R27" s="463">
        <f t="shared" ref="R27:T27" si="28">L27*$T$5</f>
        <v>2680.7919999999999</v>
      </c>
      <c r="S27" s="671">
        <f t="shared" si="28"/>
        <v>2680.7919999999999</v>
      </c>
      <c r="T27" s="466">
        <f t="shared" si="28"/>
        <v>2680.7919999999999</v>
      </c>
      <c r="U27" s="463">
        <f>L27*$W$5</f>
        <v>2587.2759999999998</v>
      </c>
      <c r="V27" s="671">
        <f>M27*$W$5</f>
        <v>2587.2759999999998</v>
      </c>
      <c r="W27" s="466">
        <f>N27*$W$5</f>
        <v>2587.2759999999998</v>
      </c>
      <c r="X27" s="465">
        <f>L27*$Z$5</f>
        <v>2337.8999999999996</v>
      </c>
      <c r="Y27" s="671">
        <f>M27*$Z$5</f>
        <v>2337.8999999999996</v>
      </c>
      <c r="Z27" s="569">
        <f>N27*$Z$5</f>
        <v>2337.8999999999996</v>
      </c>
      <c r="AA27" s="463">
        <f>L27*$AC$5</f>
        <v>2182.0399999999995</v>
      </c>
      <c r="AB27" s="569">
        <f>M27*$AC$5</f>
        <v>2182.0399999999995</v>
      </c>
      <c r="AC27" s="466">
        <f>N27*$AC$5</f>
        <v>2182.0399999999995</v>
      </c>
    </row>
    <row r="28" spans="2:29" s="228" customFormat="1" ht="18" customHeight="1">
      <c r="B28" s="321" t="s">
        <v>1249</v>
      </c>
      <c r="C28" s="1032">
        <v>0.02</v>
      </c>
      <c r="D28" s="236">
        <v>4.0000000000000001E-3</v>
      </c>
      <c r="E28" s="1244"/>
      <c r="F28" s="1232"/>
      <c r="G28" s="1622"/>
      <c r="H28" s="1232"/>
      <c r="I28" s="1232"/>
      <c r="J28" s="1232"/>
      <c r="K28" s="1232"/>
      <c r="L28" s="186">
        <f t="shared" ref="L28:AC28" si="29">L27/$E27</f>
        <v>3.1171999999999998E-2</v>
      </c>
      <c r="M28" s="189">
        <f t="shared" si="29"/>
        <v>3.1171999999999998E-2</v>
      </c>
      <c r="N28" s="188">
        <f t="shared" si="29"/>
        <v>3.1171999999999998E-2</v>
      </c>
      <c r="O28" s="187">
        <f t="shared" si="29"/>
        <v>2.8989960000000002E-2</v>
      </c>
      <c r="P28" s="189">
        <f t="shared" si="29"/>
        <v>2.8989960000000002E-2</v>
      </c>
      <c r="Q28" s="190">
        <f t="shared" si="29"/>
        <v>2.8989960000000002E-2</v>
      </c>
      <c r="R28" s="186">
        <f t="shared" si="29"/>
        <v>2.6807919999999999E-2</v>
      </c>
      <c r="S28" s="189">
        <f t="shared" si="29"/>
        <v>2.6807919999999999E-2</v>
      </c>
      <c r="T28" s="188">
        <f t="shared" si="29"/>
        <v>2.6807919999999999E-2</v>
      </c>
      <c r="U28" s="186">
        <f t="shared" si="29"/>
        <v>2.5872759999999998E-2</v>
      </c>
      <c r="V28" s="189">
        <f t="shared" si="29"/>
        <v>2.5872759999999998E-2</v>
      </c>
      <c r="W28" s="188">
        <f t="shared" si="29"/>
        <v>2.5872759999999998E-2</v>
      </c>
      <c r="X28" s="187">
        <f t="shared" si="29"/>
        <v>2.3378999999999997E-2</v>
      </c>
      <c r="Y28" s="189">
        <f t="shared" si="29"/>
        <v>2.3378999999999997E-2</v>
      </c>
      <c r="Z28" s="190">
        <f t="shared" si="29"/>
        <v>2.3378999999999997E-2</v>
      </c>
      <c r="AA28" s="186">
        <f t="shared" si="29"/>
        <v>2.1820399999999997E-2</v>
      </c>
      <c r="AB28" s="190">
        <f t="shared" si="29"/>
        <v>2.1820399999999997E-2</v>
      </c>
      <c r="AC28" s="188">
        <f t="shared" si="29"/>
        <v>2.1820399999999997E-2</v>
      </c>
    </row>
    <row r="29" spans="2:29" s="228" customFormat="1" ht="18" customHeight="1">
      <c r="B29" s="2058" t="s">
        <v>1236</v>
      </c>
      <c r="C29" s="2059"/>
      <c r="D29" s="2060"/>
      <c r="E29" s="1230">
        <v>100000</v>
      </c>
      <c r="F29" s="1234">
        <f>E29*D30</f>
        <v>300</v>
      </c>
      <c r="G29" s="2061">
        <f>E29*C30</f>
        <v>1500</v>
      </c>
      <c r="H29" s="1234" t="s">
        <v>1248</v>
      </c>
      <c r="I29" s="1234" t="s">
        <v>1248</v>
      </c>
      <c r="J29" s="1234" t="s">
        <v>1248</v>
      </c>
      <c r="K29" s="1234">
        <f>F29*$K$6</f>
        <v>837.90000000000009</v>
      </c>
      <c r="L29" s="463">
        <f>G29+K29</f>
        <v>2337.9</v>
      </c>
      <c r="M29" s="671">
        <f>G29+K29</f>
        <v>2337.9</v>
      </c>
      <c r="N29" s="466">
        <f>G29+K29</f>
        <v>2337.9</v>
      </c>
      <c r="O29" s="470">
        <f>L29*$Q$5</f>
        <v>2174.2470000000003</v>
      </c>
      <c r="P29" s="1013">
        <f>M29*$Q$5</f>
        <v>2174.2470000000003</v>
      </c>
      <c r="Q29" s="568">
        <f>N29*$Q$5</f>
        <v>2174.2470000000003</v>
      </c>
      <c r="R29" s="463">
        <f t="shared" ref="R29:T29" si="30">L29*$T$5</f>
        <v>2010.5940000000001</v>
      </c>
      <c r="S29" s="671">
        <f t="shared" si="30"/>
        <v>2010.5940000000001</v>
      </c>
      <c r="T29" s="466">
        <f t="shared" si="30"/>
        <v>2010.5940000000001</v>
      </c>
      <c r="U29" s="469">
        <f>L29*$W$5</f>
        <v>1940.4569999999999</v>
      </c>
      <c r="V29" s="1013">
        <f>M29*$W$5</f>
        <v>1940.4569999999999</v>
      </c>
      <c r="W29" s="1014">
        <f>N29*$W$5</f>
        <v>1940.4569999999999</v>
      </c>
      <c r="X29" s="470">
        <f>L29*$Z$5</f>
        <v>1753.4250000000002</v>
      </c>
      <c r="Y29" s="1013">
        <f>M29*$Z$5</f>
        <v>1753.4250000000002</v>
      </c>
      <c r="Z29" s="568">
        <f>N29*$Z$5</f>
        <v>1753.4250000000002</v>
      </c>
      <c r="AA29" s="469">
        <f>L29*$AC$5</f>
        <v>1636.53</v>
      </c>
      <c r="AB29" s="568">
        <f>M29*$AC$5</f>
        <v>1636.53</v>
      </c>
      <c r="AC29" s="1014">
        <f>N29*$AC$5</f>
        <v>1636.53</v>
      </c>
    </row>
    <row r="30" spans="2:29" s="228" customFormat="1" ht="18" customHeight="1" thickBot="1">
      <c r="B30" s="322" t="s">
        <v>1249</v>
      </c>
      <c r="C30" s="1031">
        <v>1.4999999999999999E-2</v>
      </c>
      <c r="D30" s="270">
        <v>3.0000000000000001E-3</v>
      </c>
      <c r="E30" s="1231"/>
      <c r="F30" s="1235"/>
      <c r="G30" s="2062"/>
      <c r="H30" s="1235"/>
      <c r="I30" s="1235"/>
      <c r="J30" s="1235"/>
      <c r="K30" s="1235"/>
      <c r="L30" s="174">
        <f t="shared" ref="L30:AC30" si="31">L29/$E29</f>
        <v>2.3379E-2</v>
      </c>
      <c r="M30" s="175">
        <f t="shared" si="31"/>
        <v>2.3379E-2</v>
      </c>
      <c r="N30" s="176">
        <f t="shared" si="31"/>
        <v>2.3379E-2</v>
      </c>
      <c r="O30" s="193">
        <f t="shared" si="31"/>
        <v>2.1742470000000003E-2</v>
      </c>
      <c r="P30" s="175">
        <f t="shared" si="31"/>
        <v>2.1742470000000003E-2</v>
      </c>
      <c r="Q30" s="194">
        <f t="shared" si="31"/>
        <v>2.1742470000000003E-2</v>
      </c>
      <c r="R30" s="174">
        <f t="shared" si="31"/>
        <v>2.0105939999999999E-2</v>
      </c>
      <c r="S30" s="175">
        <f t="shared" si="31"/>
        <v>2.0105939999999999E-2</v>
      </c>
      <c r="T30" s="176">
        <f t="shared" si="31"/>
        <v>2.0105939999999999E-2</v>
      </c>
      <c r="U30" s="174">
        <f t="shared" si="31"/>
        <v>1.9404569999999999E-2</v>
      </c>
      <c r="V30" s="175">
        <f t="shared" si="31"/>
        <v>1.9404569999999999E-2</v>
      </c>
      <c r="W30" s="176">
        <f t="shared" si="31"/>
        <v>1.9404569999999999E-2</v>
      </c>
      <c r="X30" s="193">
        <f t="shared" si="31"/>
        <v>1.7534250000000001E-2</v>
      </c>
      <c r="Y30" s="175">
        <f t="shared" si="31"/>
        <v>1.7534250000000001E-2</v>
      </c>
      <c r="Z30" s="194">
        <f t="shared" si="31"/>
        <v>1.7534250000000001E-2</v>
      </c>
      <c r="AA30" s="174">
        <f t="shared" si="31"/>
        <v>1.6365299999999999E-2</v>
      </c>
      <c r="AB30" s="194">
        <f t="shared" si="31"/>
        <v>1.6365299999999999E-2</v>
      </c>
      <c r="AC30" s="176">
        <f t="shared" si="31"/>
        <v>1.6365299999999999E-2</v>
      </c>
    </row>
    <row r="31" spans="2:29" s="228" customFormat="1" ht="18" customHeight="1">
      <c r="B31" s="28"/>
      <c r="C31" s="28"/>
      <c r="D31" s="28"/>
      <c r="E31" s="28"/>
      <c r="F31" s="28"/>
      <c r="G31" s="28"/>
      <c r="H31" s="28"/>
      <c r="I31" s="28"/>
      <c r="J31" s="28"/>
      <c r="K31" s="28"/>
      <c r="L31" s="29"/>
      <c r="M31" s="29"/>
      <c r="N31" s="29"/>
      <c r="O31" s="29"/>
      <c r="P31" s="29"/>
      <c r="Q31" s="29"/>
      <c r="R31" s="29"/>
      <c r="S31" s="29"/>
      <c r="T31" s="29"/>
      <c r="U31" s="29"/>
      <c r="V31" s="29"/>
      <c r="W31" s="29"/>
      <c r="X31" s="29"/>
      <c r="Y31" s="29"/>
      <c r="Z31" s="29"/>
      <c r="AA31" s="29"/>
      <c r="AB31" s="29"/>
      <c r="AC31" s="29"/>
    </row>
    <row r="32" spans="2:29" s="228" customFormat="1" ht="18" customHeight="1">
      <c r="B32" s="4" t="s">
        <v>1250</v>
      </c>
      <c r="C32" s="5"/>
      <c r="D32" s="5"/>
      <c r="E32" s="5"/>
      <c r="F32" s="5"/>
      <c r="G32" s="5"/>
      <c r="H32" s="5"/>
      <c r="I32" s="5"/>
      <c r="J32" s="5"/>
      <c r="K32" s="5"/>
      <c r="L32" s="6"/>
      <c r="M32" s="6"/>
      <c r="N32" s="6"/>
      <c r="O32" s="6"/>
      <c r="P32" s="6"/>
      <c r="Q32" s="6"/>
      <c r="R32" s="6"/>
      <c r="S32" s="6"/>
      <c r="T32" s="6"/>
      <c r="U32" s="6"/>
      <c r="V32" s="6"/>
      <c r="W32" s="6"/>
      <c r="X32" s="6"/>
      <c r="Y32" s="6"/>
      <c r="Z32" s="6"/>
      <c r="AA32" s="6"/>
      <c r="AB32" s="6"/>
      <c r="AC32" s="6"/>
    </row>
    <row r="33" spans="2:29" s="228" customFormat="1" ht="18" customHeight="1">
      <c r="B33" s="6" t="s">
        <v>1251</v>
      </c>
      <c r="C33" s="4"/>
      <c r="D33" s="4"/>
      <c r="E33" s="5"/>
      <c r="F33" s="5"/>
      <c r="G33" s="5"/>
      <c r="H33" s="5"/>
      <c r="I33" s="5"/>
      <c r="J33" s="5"/>
      <c r="K33" s="5"/>
      <c r="L33" s="6"/>
      <c r="M33" s="6"/>
      <c r="N33" s="6"/>
      <c r="O33" s="6"/>
      <c r="P33" s="6"/>
      <c r="Q33" s="6"/>
      <c r="R33" s="6"/>
      <c r="S33" s="6"/>
      <c r="T33" s="6"/>
      <c r="U33" s="6"/>
      <c r="V33" s="6"/>
      <c r="W33" s="6"/>
      <c r="X33" s="6"/>
      <c r="Y33" s="6"/>
      <c r="Z33" s="6"/>
      <c r="AA33" s="6"/>
      <c r="AB33" s="6"/>
      <c r="AC33" s="6"/>
    </row>
    <row r="34" spans="2:29" s="228" customFormat="1" ht="18" customHeight="1">
      <c r="B34" s="157" t="s">
        <v>1252</v>
      </c>
      <c r="C34" s="157"/>
      <c r="D34" s="157"/>
      <c r="E34" s="158"/>
      <c r="F34" s="158"/>
      <c r="G34" s="158"/>
      <c r="H34" s="158"/>
      <c r="I34" s="158"/>
      <c r="J34" s="158"/>
      <c r="K34" s="158"/>
      <c r="L34" s="157"/>
      <c r="M34" s="157"/>
      <c r="N34" s="32"/>
      <c r="O34" s="32"/>
      <c r="P34" s="32"/>
      <c r="Q34" s="32"/>
      <c r="R34" s="32"/>
      <c r="S34" s="32"/>
      <c r="T34" s="32"/>
      <c r="U34" s="32"/>
      <c r="V34" s="32"/>
      <c r="W34" s="32"/>
      <c r="X34" s="32"/>
      <c r="Y34" s="32"/>
      <c r="Z34" s="32"/>
      <c r="AA34" s="32"/>
      <c r="AB34" s="32"/>
      <c r="AC34" s="32"/>
    </row>
    <row r="35" spans="2:29" s="228" customFormat="1" ht="18" customHeight="1">
      <c r="B35" s="31" t="s">
        <v>1253</v>
      </c>
      <c r="C35" s="33"/>
      <c r="D35" s="33"/>
      <c r="E35" s="33"/>
      <c r="F35" s="33"/>
      <c r="G35" s="33"/>
      <c r="H35" s="33"/>
      <c r="I35" s="33"/>
      <c r="J35" s="33"/>
      <c r="K35" s="33"/>
      <c r="L35" s="31"/>
      <c r="M35" s="31"/>
      <c r="N35" s="31"/>
      <c r="O35" s="31"/>
      <c r="P35" s="31"/>
      <c r="Q35" s="31"/>
      <c r="R35" s="31"/>
      <c r="S35" s="31"/>
      <c r="T35" s="31"/>
      <c r="U35" s="31"/>
      <c r="V35" s="31"/>
      <c r="W35" s="31"/>
      <c r="X35" s="31"/>
      <c r="Y35" s="31"/>
      <c r="Z35" s="31"/>
      <c r="AA35" s="31"/>
      <c r="AB35" s="31"/>
      <c r="AC35" s="31"/>
    </row>
    <row r="36" spans="2:29" s="228" customFormat="1" ht="18" customHeight="1">
      <c r="B36" s="31" t="s">
        <v>1722</v>
      </c>
      <c r="C36" s="33"/>
      <c r="D36" s="33"/>
      <c r="E36" s="33"/>
      <c r="F36" s="33"/>
      <c r="G36" s="33"/>
      <c r="H36" s="33"/>
      <c r="I36" s="33"/>
      <c r="J36" s="33"/>
      <c r="K36" s="33"/>
      <c r="L36" s="31"/>
      <c r="M36" s="31"/>
      <c r="N36" s="31"/>
      <c r="O36" s="31"/>
      <c r="P36" s="31"/>
      <c r="Q36" s="31"/>
      <c r="R36" s="31"/>
      <c r="S36" s="31"/>
      <c r="T36" s="31"/>
      <c r="U36" s="31"/>
      <c r="V36" s="31"/>
      <c r="W36" s="31"/>
      <c r="X36" s="31"/>
      <c r="Y36" s="31"/>
      <c r="Z36" s="31"/>
      <c r="AA36" s="31"/>
      <c r="AB36" s="31"/>
      <c r="AC36" s="31"/>
    </row>
    <row r="37" spans="2:29" s="228" customFormat="1" ht="18" customHeight="1">
      <c r="B37" s="6" t="s">
        <v>1254</v>
      </c>
      <c r="C37" s="5"/>
      <c r="D37" s="5"/>
      <c r="E37" s="5"/>
      <c r="F37" s="5"/>
      <c r="G37" s="5"/>
      <c r="H37" s="5"/>
      <c r="I37" s="5"/>
      <c r="J37" s="5"/>
      <c r="K37" s="5"/>
      <c r="L37" s="6"/>
      <c r="M37" s="6"/>
      <c r="N37" s="6"/>
      <c r="O37" s="6"/>
      <c r="P37" s="6"/>
      <c r="Q37" s="6"/>
      <c r="R37" s="6"/>
      <c r="S37" s="6"/>
      <c r="T37" s="6"/>
      <c r="U37" s="6"/>
      <c r="V37" s="6"/>
      <c r="W37" s="6"/>
      <c r="X37" s="6"/>
      <c r="Y37" s="6"/>
      <c r="Z37" s="6"/>
      <c r="AA37" s="6"/>
      <c r="AB37" s="6"/>
      <c r="AC37" s="6"/>
    </row>
    <row r="38" spans="2:29" s="228" customFormat="1" ht="18" customHeight="1">
      <c r="B38" s="6" t="s">
        <v>1255</v>
      </c>
      <c r="C38" s="5"/>
      <c r="D38" s="5"/>
      <c r="E38" s="5"/>
      <c r="F38" s="5"/>
      <c r="G38" s="5"/>
      <c r="H38" s="5"/>
      <c r="I38" s="5"/>
      <c r="J38" s="5"/>
      <c r="K38" s="5"/>
      <c r="L38" s="6"/>
      <c r="M38" s="6"/>
      <c r="N38" s="6"/>
      <c r="O38" s="6"/>
      <c r="P38" s="6"/>
      <c r="Q38" s="6"/>
      <c r="R38" s="6"/>
      <c r="S38" s="6"/>
      <c r="T38" s="6"/>
      <c r="U38" s="6"/>
      <c r="V38" s="6"/>
      <c r="W38" s="6"/>
      <c r="X38" s="6"/>
      <c r="Y38" s="6"/>
      <c r="Z38" s="6"/>
      <c r="AA38" s="6"/>
      <c r="AB38" s="6"/>
      <c r="AC38" s="6"/>
    </row>
    <row r="39" spans="2:29" s="228" customFormat="1" ht="18" customHeight="1">
      <c r="B39" s="6" t="s">
        <v>1256</v>
      </c>
      <c r="C39" s="5"/>
      <c r="D39" s="5"/>
      <c r="E39" s="5"/>
      <c r="F39" s="5"/>
      <c r="G39" s="5"/>
      <c r="H39" s="5"/>
      <c r="I39" s="5"/>
      <c r="J39" s="5"/>
      <c r="K39" s="5"/>
      <c r="L39" s="6"/>
      <c r="M39" s="6"/>
      <c r="N39" s="6"/>
      <c r="O39" s="6"/>
      <c r="P39" s="6"/>
      <c r="Q39" s="6"/>
      <c r="R39" s="6"/>
      <c r="S39" s="6"/>
      <c r="T39" s="6"/>
      <c r="U39" s="6"/>
      <c r="V39" s="6"/>
      <c r="W39" s="6"/>
      <c r="X39" s="6"/>
      <c r="Y39" s="6"/>
      <c r="Z39" s="6"/>
      <c r="AA39" s="6"/>
      <c r="AB39" s="6"/>
      <c r="AC39" s="6"/>
    </row>
    <row r="40" spans="2:29" s="228" customFormat="1" ht="18" customHeight="1">
      <c r="B40" s="32" t="s">
        <v>1257</v>
      </c>
      <c r="C40" s="5"/>
      <c r="D40" s="5"/>
      <c r="E40" s="5"/>
      <c r="F40" s="5"/>
      <c r="G40" s="5"/>
      <c r="H40" s="5"/>
      <c r="I40" s="5"/>
      <c r="J40" s="5"/>
      <c r="K40" s="5"/>
      <c r="L40" s="6"/>
      <c r="M40" s="6"/>
      <c r="N40" s="6"/>
      <c r="O40" s="6"/>
      <c r="P40" s="6"/>
      <c r="Q40" s="6"/>
      <c r="R40" s="6"/>
      <c r="S40" s="6"/>
      <c r="T40" s="6"/>
      <c r="U40" s="6"/>
      <c r="V40" s="6"/>
      <c r="W40" s="6"/>
      <c r="X40" s="6"/>
      <c r="Y40" s="6"/>
      <c r="Z40" s="6"/>
      <c r="AA40" s="6"/>
      <c r="AB40" s="6"/>
      <c r="AC40" s="6"/>
    </row>
    <row r="41" spans="2:29" ht="18" customHeight="1"/>
    <row r="42" spans="2:29" ht="18" customHeight="1"/>
    <row r="43" spans="2:29" ht="18" customHeight="1"/>
  </sheetData>
  <mergeCells count="119">
    <mergeCell ref="B1:AC1"/>
    <mergeCell ref="B5:D5"/>
    <mergeCell ref="E5:E6"/>
    <mergeCell ref="F5:F6"/>
    <mergeCell ref="G5:H5"/>
    <mergeCell ref="I5:J5"/>
    <mergeCell ref="L5:N5"/>
    <mergeCell ref="O5:P5"/>
    <mergeCell ref="R5:S5"/>
    <mergeCell ref="U5:V5"/>
    <mergeCell ref="X5:Y5"/>
    <mergeCell ref="AA5:AB5"/>
    <mergeCell ref="B6:C6"/>
    <mergeCell ref="K7:K8"/>
    <mergeCell ref="B8:C8"/>
    <mergeCell ref="B9:D9"/>
    <mergeCell ref="E9:E10"/>
    <mergeCell ref="F9:F10"/>
    <mergeCell ref="G9:G10"/>
    <mergeCell ref="H9:H10"/>
    <mergeCell ref="I9:I10"/>
    <mergeCell ref="J9:J10"/>
    <mergeCell ref="K9:K10"/>
    <mergeCell ref="B7:D7"/>
    <mergeCell ref="E7:E8"/>
    <mergeCell ref="F7:F8"/>
    <mergeCell ref="G7:G8"/>
    <mergeCell ref="H7:H8"/>
    <mergeCell ref="I7:I8"/>
    <mergeCell ref="J7:J8"/>
    <mergeCell ref="B10:C10"/>
    <mergeCell ref="K11:K12"/>
    <mergeCell ref="B12:C12"/>
    <mergeCell ref="B13:D13"/>
    <mergeCell ref="E13:E14"/>
    <mergeCell ref="F13:F14"/>
    <mergeCell ref="G13:G14"/>
    <mergeCell ref="H13:H14"/>
    <mergeCell ref="I13:I14"/>
    <mergeCell ref="J13:J14"/>
    <mergeCell ref="K13:K14"/>
    <mergeCell ref="B14:C14"/>
    <mergeCell ref="B11:D11"/>
    <mergeCell ref="E11:E12"/>
    <mergeCell ref="F11:F12"/>
    <mergeCell ref="G11:G12"/>
    <mergeCell ref="H11:H12"/>
    <mergeCell ref="I11:I12"/>
    <mergeCell ref="J11:J12"/>
    <mergeCell ref="K15:K16"/>
    <mergeCell ref="B16:C16"/>
    <mergeCell ref="B17:D17"/>
    <mergeCell ref="E17:E18"/>
    <mergeCell ref="F17:F18"/>
    <mergeCell ref="G17:G18"/>
    <mergeCell ref="H17:H18"/>
    <mergeCell ref="I17:I18"/>
    <mergeCell ref="J17:J18"/>
    <mergeCell ref="K17:K18"/>
    <mergeCell ref="B15:D15"/>
    <mergeCell ref="E15:E16"/>
    <mergeCell ref="F15:F16"/>
    <mergeCell ref="G15:G16"/>
    <mergeCell ref="H15:H16"/>
    <mergeCell ref="I15:I16"/>
    <mergeCell ref="J15:J16"/>
    <mergeCell ref="B18:C18"/>
    <mergeCell ref="K19:K20"/>
    <mergeCell ref="B20:C20"/>
    <mergeCell ref="B21:D21"/>
    <mergeCell ref="E21:E22"/>
    <mergeCell ref="F21:F22"/>
    <mergeCell ref="G21:G22"/>
    <mergeCell ref="H21:H22"/>
    <mergeCell ref="I21:I22"/>
    <mergeCell ref="J21:J22"/>
    <mergeCell ref="K21:K22"/>
    <mergeCell ref="B22:C22"/>
    <mergeCell ref="B19:D19"/>
    <mergeCell ref="E19:E20"/>
    <mergeCell ref="F19:F20"/>
    <mergeCell ref="G19:G20"/>
    <mergeCell ref="H19:H20"/>
    <mergeCell ref="I19:I20"/>
    <mergeCell ref="J19:J20"/>
    <mergeCell ref="K23:K24"/>
    <mergeCell ref="B24:C24"/>
    <mergeCell ref="B25:D25"/>
    <mergeCell ref="E25:E26"/>
    <mergeCell ref="F25:F26"/>
    <mergeCell ref="G25:G26"/>
    <mergeCell ref="H25:H26"/>
    <mergeCell ref="I25:I26"/>
    <mergeCell ref="J25:J26"/>
    <mergeCell ref="K25:K26"/>
    <mergeCell ref="B23:D23"/>
    <mergeCell ref="E23:E24"/>
    <mergeCell ref="F23:F24"/>
    <mergeCell ref="G23:G24"/>
    <mergeCell ref="H23:H24"/>
    <mergeCell ref="I23:I24"/>
    <mergeCell ref="J23:J24"/>
    <mergeCell ref="B26:C26"/>
    <mergeCell ref="K29:K30"/>
    <mergeCell ref="I27:I28"/>
    <mergeCell ref="J27:J28"/>
    <mergeCell ref="K27:K28"/>
    <mergeCell ref="B29:D29"/>
    <mergeCell ref="E29:E30"/>
    <mergeCell ref="F29:F30"/>
    <mergeCell ref="G29:G30"/>
    <mergeCell ref="H29:H30"/>
    <mergeCell ref="I29:I30"/>
    <mergeCell ref="J29:J30"/>
    <mergeCell ref="B27:D27"/>
    <mergeCell ref="E27:E28"/>
    <mergeCell ref="F27:F28"/>
    <mergeCell ref="G27:G28"/>
    <mergeCell ref="H27:H28"/>
  </mergeCells>
  <phoneticPr fontId="99" type="noConversion"/>
  <printOptions horizontalCentered="1"/>
  <pageMargins left="0.31496062992125984" right="0.31496062992125984" top="0.31496062992125984" bottom="0.31496062992125984" header="0" footer="0"/>
  <pageSetup paperSize="9" scale="56"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Q47"/>
  <sheetViews>
    <sheetView zoomScaleNormal="100" workbookViewId="0"/>
  </sheetViews>
  <sheetFormatPr defaultRowHeight="18" customHeight="1"/>
  <cols>
    <col min="1" max="1" width="1" style="3" customWidth="1"/>
    <col min="2" max="2" width="11.125" style="3" customWidth="1"/>
    <col min="3" max="3" width="11.125" style="2" customWidth="1"/>
    <col min="4" max="6" width="10.625" style="2" customWidth="1"/>
    <col min="7" max="9" width="10.625" style="3" customWidth="1"/>
    <col min="10" max="10" width="8.875" style="3" customWidth="1"/>
    <col min="11" max="11" width="10.75" style="3" customWidth="1"/>
    <col min="12" max="12" width="12" style="3" customWidth="1"/>
    <col min="13" max="16" width="10.75" style="3" customWidth="1"/>
    <col min="17" max="17" width="9.125" style="3" customWidth="1"/>
    <col min="18" max="18" width="8.625" style="3" customWidth="1"/>
    <col min="19" max="25" width="9" style="3"/>
    <col min="26" max="26" width="11.5" style="3" bestFit="1" customWidth="1"/>
    <col min="27" max="16384" width="9" style="3"/>
  </cols>
  <sheetData>
    <row r="1" spans="1:17" s="132" customFormat="1" ht="30" customHeight="1" thickBot="1">
      <c r="A1" s="328"/>
      <c r="B1" s="1139" t="s">
        <v>1734</v>
      </c>
      <c r="C1" s="1139"/>
      <c r="D1" s="1139"/>
      <c r="E1" s="1139"/>
      <c r="F1" s="1139"/>
      <c r="G1" s="1139"/>
      <c r="H1" s="1139"/>
      <c r="I1" s="1139"/>
      <c r="J1" s="1139"/>
      <c r="K1" s="1139"/>
      <c r="L1" s="1139"/>
      <c r="M1" s="1139"/>
      <c r="N1" s="1139"/>
      <c r="O1" s="1139"/>
      <c r="P1" s="1139"/>
    </row>
    <row r="2" spans="1:17" s="2" customFormat="1" ht="18" customHeight="1" thickTop="1">
      <c r="B2" s="1"/>
      <c r="C2" s="1"/>
      <c r="F2" s="3"/>
      <c r="G2" s="3"/>
      <c r="H2" s="3"/>
      <c r="I2" s="3"/>
      <c r="J2" s="3"/>
    </row>
    <row r="3" spans="1:17" s="6" customFormat="1" ht="18" customHeight="1" thickBot="1">
      <c r="B3" s="4" t="s">
        <v>1152</v>
      </c>
      <c r="C3" s="5"/>
      <c r="D3" s="5"/>
      <c r="E3" s="5"/>
    </row>
    <row r="4" spans="1:17" s="9" customFormat="1" ht="18" customHeight="1">
      <c r="B4" s="1915" t="s">
        <v>1153</v>
      </c>
      <c r="C4" s="1916"/>
      <c r="D4" s="1917" t="s">
        <v>1154</v>
      </c>
      <c r="E4" s="1918"/>
      <c r="F4" s="1918"/>
      <c r="G4" s="1918"/>
      <c r="H4" s="1918"/>
      <c r="I4" s="1918"/>
      <c r="J4" s="1918"/>
      <c r="K4" s="1918"/>
      <c r="L4" s="1918"/>
      <c r="M4" s="1918"/>
      <c r="N4" s="1918"/>
      <c r="O4" s="1918"/>
      <c r="P4" s="2052"/>
    </row>
    <row r="5" spans="1:17" s="9" customFormat="1" ht="18" customHeight="1">
      <c r="B5" s="1933" t="s">
        <v>1258</v>
      </c>
      <c r="C5" s="1934"/>
      <c r="D5" s="2148" t="s">
        <v>1259</v>
      </c>
      <c r="E5" s="2149"/>
      <c r="F5" s="2149"/>
      <c r="G5" s="2149"/>
      <c r="H5" s="2149"/>
      <c r="I5" s="2149"/>
      <c r="J5" s="2149"/>
      <c r="K5" s="2149"/>
      <c r="L5" s="2149"/>
      <c r="M5" s="2149"/>
      <c r="N5" s="2149"/>
      <c r="O5" s="2149"/>
      <c r="P5" s="2150"/>
    </row>
    <row r="6" spans="1:17" s="9" customFormat="1" ht="18" customHeight="1">
      <c r="B6" s="1947" t="s">
        <v>1260</v>
      </c>
      <c r="C6" s="1885"/>
      <c r="D6" s="1949" t="s">
        <v>1261</v>
      </c>
      <c r="E6" s="1879"/>
      <c r="F6" s="1879"/>
      <c r="G6" s="1879"/>
      <c r="H6" s="1879"/>
      <c r="I6" s="1879"/>
      <c r="J6" s="1879"/>
      <c r="K6" s="1879"/>
      <c r="L6" s="1879"/>
      <c r="M6" s="1879"/>
      <c r="N6" s="1879"/>
      <c r="O6" s="1879"/>
      <c r="P6" s="2147"/>
    </row>
    <row r="7" spans="1:17" s="9" customFormat="1" ht="18" customHeight="1" thickBot="1">
      <c r="B7" s="1962" t="s">
        <v>1262</v>
      </c>
      <c r="C7" s="1963"/>
      <c r="D7" s="1964" t="s">
        <v>1263</v>
      </c>
      <c r="E7" s="1965"/>
      <c r="F7" s="1965"/>
      <c r="G7" s="1965"/>
      <c r="H7" s="1965"/>
      <c r="I7" s="1965"/>
      <c r="J7" s="1965"/>
      <c r="K7" s="1965"/>
      <c r="L7" s="1965"/>
      <c r="M7" s="1965"/>
      <c r="N7" s="1965"/>
      <c r="O7" s="1965"/>
      <c r="P7" s="2125"/>
    </row>
    <row r="8" spans="1:17" s="6" customFormat="1" ht="18" customHeight="1">
      <c r="C8" s="5"/>
      <c r="D8" s="5"/>
      <c r="E8" s="9"/>
      <c r="F8" s="9"/>
      <c r="G8" s="9"/>
      <c r="H8" s="9"/>
      <c r="I8" s="9"/>
      <c r="J8" s="9"/>
      <c r="K8" s="9"/>
      <c r="L8" s="9"/>
      <c r="M8" s="9"/>
      <c r="N8" s="9"/>
      <c r="O8" s="9"/>
      <c r="P8" s="9"/>
      <c r="Q8" s="9"/>
    </row>
    <row r="9" spans="1:17" s="6" customFormat="1" ht="18" customHeight="1" thickBot="1">
      <c r="B9" s="4" t="s">
        <v>1167</v>
      </c>
      <c r="C9" s="5"/>
      <c r="D9" s="5"/>
      <c r="E9" s="5"/>
    </row>
    <row r="10" spans="1:17" s="9" customFormat="1" ht="18" customHeight="1">
      <c r="B10" s="1915" t="s">
        <v>1168</v>
      </c>
      <c r="C10" s="1916"/>
      <c r="D10" s="1917" t="s">
        <v>1169</v>
      </c>
      <c r="E10" s="1918"/>
      <c r="F10" s="1918"/>
      <c r="G10" s="1918"/>
      <c r="H10" s="1918"/>
      <c r="I10" s="1918"/>
      <c r="J10" s="1918"/>
      <c r="K10" s="1918"/>
      <c r="L10" s="1918"/>
      <c r="M10" s="1918"/>
      <c r="N10" s="1918"/>
      <c r="O10" s="1918"/>
      <c r="P10" s="2052"/>
    </row>
    <row r="11" spans="1:17" s="9" customFormat="1" ht="18" customHeight="1">
      <c r="B11" s="2114" t="s">
        <v>1264</v>
      </c>
      <c r="C11" s="1934"/>
      <c r="D11" s="2126" t="s">
        <v>1265</v>
      </c>
      <c r="E11" s="2127"/>
      <c r="F11" s="2127"/>
      <c r="G11" s="2127"/>
      <c r="H11" s="2127"/>
      <c r="I11" s="2127"/>
      <c r="J11" s="2127"/>
      <c r="K11" s="2127"/>
      <c r="L11" s="2127"/>
      <c r="M11" s="2127"/>
      <c r="N11" s="2127"/>
      <c r="O11" s="2127"/>
      <c r="P11" s="2128"/>
    </row>
    <row r="12" spans="1:17" s="9" customFormat="1" ht="18" customHeight="1">
      <c r="B12" s="1933"/>
      <c r="C12" s="1934"/>
      <c r="D12" s="2129"/>
      <c r="E12" s="2130"/>
      <c r="F12" s="2130"/>
      <c r="G12" s="2130"/>
      <c r="H12" s="2130"/>
      <c r="I12" s="2130"/>
      <c r="J12" s="2130"/>
      <c r="K12" s="2130"/>
      <c r="L12" s="2130"/>
      <c r="M12" s="2130"/>
      <c r="N12" s="2130"/>
      <c r="O12" s="2130"/>
      <c r="P12" s="2131"/>
    </row>
    <row r="13" spans="1:17" s="9" customFormat="1" ht="18" customHeight="1">
      <c r="B13" s="2132" t="s">
        <v>1266</v>
      </c>
      <c r="C13" s="2133"/>
      <c r="D13" s="2138" t="s">
        <v>1267</v>
      </c>
      <c r="E13" s="2139"/>
      <c r="F13" s="2139"/>
      <c r="G13" s="2139"/>
      <c r="H13" s="2139"/>
      <c r="I13" s="2139"/>
      <c r="J13" s="2139"/>
      <c r="K13" s="2139"/>
      <c r="L13" s="2139"/>
      <c r="M13" s="2139"/>
      <c r="N13" s="2139"/>
      <c r="O13" s="2139"/>
      <c r="P13" s="2140"/>
    </row>
    <row r="14" spans="1:17" s="9" customFormat="1" ht="18" customHeight="1">
      <c r="B14" s="2134"/>
      <c r="C14" s="2135"/>
      <c r="D14" s="2141"/>
      <c r="E14" s="2142"/>
      <c r="F14" s="2142"/>
      <c r="G14" s="2142"/>
      <c r="H14" s="2142"/>
      <c r="I14" s="2142"/>
      <c r="J14" s="2142"/>
      <c r="K14" s="2142"/>
      <c r="L14" s="2142"/>
      <c r="M14" s="2142"/>
      <c r="N14" s="2142"/>
      <c r="O14" s="2142"/>
      <c r="P14" s="2143"/>
    </row>
    <row r="15" spans="1:17" s="9" customFormat="1" ht="18" customHeight="1" thickBot="1">
      <c r="B15" s="2136"/>
      <c r="C15" s="2137"/>
      <c r="D15" s="2144"/>
      <c r="E15" s="2145"/>
      <c r="F15" s="2145"/>
      <c r="G15" s="2145"/>
      <c r="H15" s="2145"/>
      <c r="I15" s="2145"/>
      <c r="J15" s="2145"/>
      <c r="K15" s="2145"/>
      <c r="L15" s="2145"/>
      <c r="M15" s="2145"/>
      <c r="N15" s="2145"/>
      <c r="O15" s="2145"/>
      <c r="P15" s="2146"/>
    </row>
    <row r="16" spans="1:17" s="6" customFormat="1" ht="18" customHeight="1">
      <c r="B16" s="1016"/>
      <c r="C16" s="1029"/>
      <c r="D16" s="1029"/>
      <c r="E16" s="5"/>
    </row>
    <row r="17" spans="2:16" s="5" customFormat="1" ht="18" customHeight="1" thickBot="1">
      <c r="B17" s="4" t="s">
        <v>1188</v>
      </c>
      <c r="E17" s="11"/>
      <c r="F17" s="6"/>
      <c r="G17" s="6"/>
      <c r="H17" s="6"/>
      <c r="I17" s="6"/>
      <c r="J17" s="6"/>
    </row>
    <row r="18" spans="2:16" s="9" customFormat="1" ht="18" customHeight="1">
      <c r="B18" s="1915" t="s">
        <v>1168</v>
      </c>
      <c r="C18" s="1916"/>
      <c r="D18" s="1917" t="s">
        <v>1189</v>
      </c>
      <c r="E18" s="1918"/>
      <c r="F18" s="1918"/>
      <c r="G18" s="1918"/>
      <c r="H18" s="1918"/>
      <c r="I18" s="1918"/>
      <c r="J18" s="1916" t="s">
        <v>1190</v>
      </c>
      <c r="K18" s="1916"/>
      <c r="L18" s="1916"/>
      <c r="M18" s="1916"/>
      <c r="N18" s="1916"/>
      <c r="O18" s="1916"/>
      <c r="P18" s="1946"/>
    </row>
    <row r="19" spans="2:16" s="9" customFormat="1" ht="18" customHeight="1">
      <c r="B19" s="1933" t="s">
        <v>1268</v>
      </c>
      <c r="C19" s="1905"/>
      <c r="D19" s="2115" t="s">
        <v>1269</v>
      </c>
      <c r="E19" s="2047"/>
      <c r="F19" s="2047"/>
      <c r="G19" s="2047"/>
      <c r="H19" s="2047"/>
      <c r="I19" s="2047"/>
      <c r="J19" s="2118"/>
      <c r="K19" s="2118"/>
      <c r="L19" s="2118"/>
      <c r="M19" s="2118"/>
      <c r="N19" s="2118"/>
      <c r="O19" s="2118"/>
      <c r="P19" s="2119"/>
    </row>
    <row r="20" spans="2:16" s="9" customFormat="1" ht="18" customHeight="1">
      <c r="B20" s="1933"/>
      <c r="C20" s="1905"/>
      <c r="D20" s="2116"/>
      <c r="E20" s="2117"/>
      <c r="F20" s="2117"/>
      <c r="G20" s="2117"/>
      <c r="H20" s="2117"/>
      <c r="I20" s="2117"/>
      <c r="J20" s="2118"/>
      <c r="K20" s="2118"/>
      <c r="L20" s="2118"/>
      <c r="M20" s="2120"/>
      <c r="N20" s="2120"/>
      <c r="O20" s="2120"/>
      <c r="P20" s="2119"/>
    </row>
    <row r="21" spans="2:16" s="9" customFormat="1" ht="18" customHeight="1">
      <c r="B21" s="2114" t="s">
        <v>1270</v>
      </c>
      <c r="C21" s="1905"/>
      <c r="D21" s="2115" t="s">
        <v>1271</v>
      </c>
      <c r="E21" s="2047"/>
      <c r="F21" s="2047"/>
      <c r="G21" s="2047"/>
      <c r="H21" s="2047"/>
      <c r="I21" s="2047"/>
      <c r="J21" s="2118"/>
      <c r="K21" s="2118"/>
      <c r="L21" s="2118"/>
      <c r="M21" s="2118"/>
      <c r="N21" s="2118"/>
      <c r="O21" s="2118"/>
      <c r="P21" s="2119"/>
    </row>
    <row r="22" spans="2:16" s="9" customFormat="1" ht="18" customHeight="1" thickBot="1">
      <c r="B22" s="1933"/>
      <c r="C22" s="1905"/>
      <c r="D22" s="2116"/>
      <c r="E22" s="2117"/>
      <c r="F22" s="2117"/>
      <c r="G22" s="2117"/>
      <c r="H22" s="2117"/>
      <c r="I22" s="2117"/>
      <c r="J22" s="2118"/>
      <c r="K22" s="2118"/>
      <c r="L22" s="2118"/>
      <c r="M22" s="2120"/>
      <c r="N22" s="2120"/>
      <c r="O22" s="2120"/>
      <c r="P22" s="2119"/>
    </row>
    <row r="23" spans="2:16" s="9" customFormat="1" ht="18" customHeight="1">
      <c r="B23" s="1947" t="s">
        <v>1272</v>
      </c>
      <c r="C23" s="1885"/>
      <c r="D23" s="2003" t="s">
        <v>1273</v>
      </c>
      <c r="E23" s="2004"/>
      <c r="F23" s="2004"/>
      <c r="G23" s="2004"/>
      <c r="H23" s="2004"/>
      <c r="I23" s="2004"/>
      <c r="J23" s="2121" t="s">
        <v>1274</v>
      </c>
      <c r="K23" s="2122"/>
      <c r="L23" s="1017" t="s">
        <v>1275</v>
      </c>
      <c r="M23" s="234" t="s">
        <v>1276</v>
      </c>
      <c r="N23" s="1018" t="s">
        <v>1277</v>
      </c>
      <c r="O23" s="1018" t="s">
        <v>1278</v>
      </c>
      <c r="P23" s="247" t="s">
        <v>1279</v>
      </c>
    </row>
    <row r="24" spans="2:16" s="9" customFormat="1" ht="18" customHeight="1" thickBot="1">
      <c r="B24" s="1886"/>
      <c r="C24" s="1887"/>
      <c r="D24" s="2009"/>
      <c r="E24" s="2010"/>
      <c r="F24" s="2010"/>
      <c r="G24" s="2010"/>
      <c r="H24" s="2010"/>
      <c r="I24" s="2010"/>
      <c r="J24" s="2123"/>
      <c r="K24" s="2124"/>
      <c r="L24" s="622" t="s">
        <v>41</v>
      </c>
      <c r="M24" s="235">
        <v>0.32</v>
      </c>
      <c r="N24" s="423">
        <v>0.3</v>
      </c>
      <c r="O24" s="423">
        <v>0.27</v>
      </c>
      <c r="P24" s="166">
        <v>0.24</v>
      </c>
    </row>
    <row r="25" spans="2:16" s="9" customFormat="1" ht="18" customHeight="1">
      <c r="B25" s="1933" t="s">
        <v>1280</v>
      </c>
      <c r="C25" s="1934"/>
      <c r="D25" s="2106" t="s">
        <v>1281</v>
      </c>
      <c r="E25" s="2107"/>
      <c r="F25" s="2107"/>
      <c r="G25" s="2107"/>
      <c r="H25" s="2107"/>
      <c r="I25" s="2107"/>
      <c r="J25" s="1017" t="s">
        <v>1282</v>
      </c>
      <c r="K25" s="962" t="s">
        <v>1283</v>
      </c>
      <c r="L25" s="963" t="s">
        <v>1284</v>
      </c>
      <c r="M25" s="523" t="s">
        <v>1285</v>
      </c>
      <c r="N25" s="134" t="s">
        <v>1286</v>
      </c>
      <c r="O25" s="134" t="s">
        <v>1287</v>
      </c>
      <c r="P25" s="248" t="s">
        <v>1288</v>
      </c>
    </row>
    <row r="26" spans="2:16" s="9" customFormat="1" ht="18" customHeight="1" thickBot="1">
      <c r="B26" s="1933"/>
      <c r="C26" s="1934"/>
      <c r="D26" s="2108"/>
      <c r="E26" s="2109"/>
      <c r="F26" s="2109"/>
      <c r="G26" s="2109"/>
      <c r="H26" s="2109"/>
      <c r="I26" s="2109"/>
      <c r="J26" s="1017" t="s">
        <v>41</v>
      </c>
      <c r="K26" s="1052">
        <v>0.15</v>
      </c>
      <c r="L26" s="1053">
        <v>0.125</v>
      </c>
      <c r="M26" s="520">
        <v>0.1</v>
      </c>
      <c r="N26" s="520">
        <v>7.4999999999999997E-2</v>
      </c>
      <c r="O26" s="521">
        <v>0.05</v>
      </c>
      <c r="P26" s="522">
        <v>0</v>
      </c>
    </row>
    <row r="27" spans="2:16" s="9" customFormat="1" ht="18" customHeight="1">
      <c r="B27" s="1884" t="s">
        <v>1289</v>
      </c>
      <c r="C27" s="1885"/>
      <c r="D27" s="2106" t="s">
        <v>1290</v>
      </c>
      <c r="E27" s="2107"/>
      <c r="F27" s="2107"/>
      <c r="G27" s="2107"/>
      <c r="H27" s="2107"/>
      <c r="I27" s="2110"/>
      <c r="J27" s="1017" t="s">
        <v>1291</v>
      </c>
      <c r="K27" s="2112" t="s">
        <v>1292</v>
      </c>
      <c r="L27" s="2113"/>
      <c r="M27" s="2104" t="s">
        <v>1293</v>
      </c>
      <c r="N27" s="2105"/>
      <c r="O27" s="2083" t="s">
        <v>1294</v>
      </c>
      <c r="P27" s="2084"/>
    </row>
    <row r="28" spans="2:16" s="9" customFormat="1" ht="18" customHeight="1" thickBot="1">
      <c r="B28" s="1925"/>
      <c r="C28" s="1948"/>
      <c r="D28" s="2108"/>
      <c r="E28" s="2109"/>
      <c r="F28" s="2109"/>
      <c r="G28" s="2109"/>
      <c r="H28" s="2109"/>
      <c r="I28" s="2111"/>
      <c r="J28" s="1017" t="s">
        <v>1295</v>
      </c>
      <c r="K28" s="2085" t="s">
        <v>1296</v>
      </c>
      <c r="L28" s="2086"/>
      <c r="M28" s="2087" t="s">
        <v>1297</v>
      </c>
      <c r="N28" s="2088"/>
      <c r="O28" s="2089" t="s">
        <v>1298</v>
      </c>
      <c r="P28" s="2090"/>
    </row>
    <row r="29" spans="2:16" s="9" customFormat="1" ht="18" customHeight="1">
      <c r="B29" s="2091" t="s">
        <v>1299</v>
      </c>
      <c r="C29" s="2092"/>
      <c r="D29" s="2039" t="s">
        <v>1300</v>
      </c>
      <c r="E29" s="2097"/>
      <c r="F29" s="2097"/>
      <c r="G29" s="2097"/>
      <c r="H29" s="2097"/>
      <c r="I29" s="2097"/>
      <c r="J29" s="2098" t="s">
        <v>1301</v>
      </c>
      <c r="K29" s="2098"/>
      <c r="L29" s="2098"/>
      <c r="M29" s="2098"/>
      <c r="N29" s="2098"/>
      <c r="O29" s="2098"/>
      <c r="P29" s="2099"/>
    </row>
    <row r="30" spans="2:16" s="9" customFormat="1" ht="18" customHeight="1">
      <c r="B30" s="2093"/>
      <c r="C30" s="2094"/>
      <c r="D30" s="2039"/>
      <c r="E30" s="2097"/>
      <c r="F30" s="2097"/>
      <c r="G30" s="2097"/>
      <c r="H30" s="2097"/>
      <c r="I30" s="2097"/>
      <c r="J30" s="2100"/>
      <c r="K30" s="2100"/>
      <c r="L30" s="2100"/>
      <c r="M30" s="2100"/>
      <c r="N30" s="2100"/>
      <c r="O30" s="2100"/>
      <c r="P30" s="2101"/>
    </row>
    <row r="31" spans="2:16" s="9" customFormat="1" ht="18" customHeight="1" thickBot="1">
      <c r="B31" s="2095"/>
      <c r="C31" s="2096"/>
      <c r="D31" s="2049"/>
      <c r="E31" s="2050"/>
      <c r="F31" s="2050"/>
      <c r="G31" s="2050"/>
      <c r="H31" s="2050"/>
      <c r="I31" s="2050"/>
      <c r="J31" s="2102"/>
      <c r="K31" s="2102"/>
      <c r="L31" s="2102"/>
      <c r="M31" s="2102"/>
      <c r="N31" s="2102"/>
      <c r="O31" s="2102"/>
      <c r="P31" s="2103"/>
    </row>
    <row r="32" spans="2:16" s="6" customFormat="1" ht="18" customHeight="1">
      <c r="B32" s="519"/>
      <c r="D32" s="5"/>
      <c r="E32" s="5"/>
      <c r="F32" s="5"/>
    </row>
    <row r="33" spans="2:16" s="6" customFormat="1" ht="18" customHeight="1">
      <c r="B33" s="519"/>
      <c r="C33" s="5"/>
      <c r="D33" s="5"/>
      <c r="E33" s="5"/>
      <c r="F33" s="5"/>
      <c r="K33" s="3"/>
      <c r="L33" s="3"/>
      <c r="M33" s="3"/>
      <c r="N33" s="3"/>
      <c r="O33" s="3"/>
      <c r="P33" s="3"/>
    </row>
    <row r="47" spans="2:16" ht="18" customHeight="1">
      <c r="B47" s="135"/>
      <c r="C47" s="136"/>
      <c r="D47" s="3"/>
      <c r="E47" s="3"/>
      <c r="F47" s="3"/>
    </row>
  </sheetData>
  <mergeCells count="40">
    <mergeCell ref="B6:C6"/>
    <mergeCell ref="D6:P6"/>
    <mergeCell ref="B1:P1"/>
    <mergeCell ref="B4:C4"/>
    <mergeCell ref="D4:P4"/>
    <mergeCell ref="B5:C5"/>
    <mergeCell ref="D5:P5"/>
    <mergeCell ref="B19:C20"/>
    <mergeCell ref="D19:I20"/>
    <mergeCell ref="J19:P20"/>
    <mergeCell ref="B7:C7"/>
    <mergeCell ref="D7:P7"/>
    <mergeCell ref="B10:C10"/>
    <mergeCell ref="D10:P10"/>
    <mergeCell ref="B11:C12"/>
    <mergeCell ref="D11:P12"/>
    <mergeCell ref="B13:C15"/>
    <mergeCell ref="D13:P15"/>
    <mergeCell ref="B18:C18"/>
    <mergeCell ref="D18:I18"/>
    <mergeCell ref="J18:P18"/>
    <mergeCell ref="B21:C22"/>
    <mergeCell ref="D21:I22"/>
    <mergeCell ref="J21:P22"/>
    <mergeCell ref="B23:C24"/>
    <mergeCell ref="D23:I24"/>
    <mergeCell ref="J23:K24"/>
    <mergeCell ref="B25:C26"/>
    <mergeCell ref="D25:I26"/>
    <mergeCell ref="B27:C28"/>
    <mergeCell ref="D27:I28"/>
    <mergeCell ref="K27:L27"/>
    <mergeCell ref="O27:P27"/>
    <mergeCell ref="K28:L28"/>
    <mergeCell ref="M28:N28"/>
    <mergeCell ref="O28:P28"/>
    <mergeCell ref="B29:C31"/>
    <mergeCell ref="D29:I31"/>
    <mergeCell ref="J29:P31"/>
    <mergeCell ref="M27:N27"/>
  </mergeCells>
  <phoneticPr fontId="99" type="noConversion"/>
  <pageMargins left="0.31496062992125984" right="0.31496062992125984" top="0.31496062992125984" bottom="0.31496062992125984" header="0" footer="0"/>
  <pageSetup paperSize="9" scale="8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zoomScaleNormal="100" workbookViewId="0"/>
  </sheetViews>
  <sheetFormatPr defaultRowHeight="18" customHeight="1"/>
  <cols>
    <col min="1" max="1" width="1" style="3" customWidth="1"/>
    <col min="2" max="2" width="8.125" style="3" customWidth="1"/>
    <col min="3" max="4" width="8.125" style="646" customWidth="1"/>
    <col min="5" max="5" width="8.125" style="647" customWidth="1"/>
    <col min="6" max="7" width="7.625" style="2" customWidth="1"/>
    <col min="8" max="32" width="7.625" style="3" customWidth="1"/>
    <col min="33" max="16384" width="9" style="3"/>
  </cols>
  <sheetData>
    <row r="1" spans="1:32" ht="30" customHeight="1" thickBot="1">
      <c r="B1" s="1139" t="s">
        <v>1735</v>
      </c>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c r="AF1" s="1139"/>
    </row>
    <row r="2" spans="1:32" s="2" customFormat="1" ht="18" customHeight="1" thickTop="1" thickBot="1">
      <c r="A2" s="5"/>
      <c r="B2" s="37"/>
      <c r="C2" s="628"/>
      <c r="D2" s="628"/>
      <c r="E2" s="628"/>
      <c r="F2" s="37"/>
      <c r="G2" s="37"/>
      <c r="H2" s="37"/>
      <c r="I2" s="37"/>
      <c r="J2" s="37"/>
      <c r="K2" s="37"/>
      <c r="L2" s="5"/>
      <c r="M2" s="5"/>
      <c r="N2" s="5"/>
      <c r="O2" s="5"/>
      <c r="P2" s="5"/>
      <c r="Q2" s="6"/>
      <c r="R2" s="6"/>
      <c r="S2" s="6"/>
      <c r="T2" s="6"/>
      <c r="U2" s="6"/>
      <c r="V2" s="6"/>
      <c r="W2" s="6"/>
      <c r="X2" s="5"/>
      <c r="Y2" s="5"/>
      <c r="Z2" s="5"/>
      <c r="AA2" s="5"/>
      <c r="AB2" s="5"/>
      <c r="AC2" s="5"/>
      <c r="AD2" s="5"/>
      <c r="AE2" s="5"/>
      <c r="AF2" s="5"/>
    </row>
    <row r="3" spans="1:32" s="6" customFormat="1" ht="18" customHeight="1">
      <c r="A3" s="1025"/>
      <c r="B3" s="2168" t="s">
        <v>1302</v>
      </c>
      <c r="C3" s="2169"/>
      <c r="D3" s="2169"/>
      <c r="E3" s="2170"/>
      <c r="F3" s="2171" t="s">
        <v>1303</v>
      </c>
      <c r="G3" s="1987" t="s">
        <v>1304</v>
      </c>
      <c r="H3" s="1985"/>
      <c r="I3" s="1023" t="s">
        <v>1305</v>
      </c>
      <c r="J3" s="1023" t="s">
        <v>1306</v>
      </c>
      <c r="K3" s="1987" t="s">
        <v>1307</v>
      </c>
      <c r="L3" s="1985"/>
      <c r="M3" s="1054">
        <v>0.15</v>
      </c>
      <c r="N3" s="1055" t="s">
        <v>1308</v>
      </c>
      <c r="O3" s="1984" t="s">
        <v>1309</v>
      </c>
      <c r="P3" s="1985"/>
      <c r="Q3" s="2173"/>
      <c r="R3" s="1991" t="s">
        <v>1310</v>
      </c>
      <c r="S3" s="1990"/>
      <c r="T3" s="1024">
        <v>0.93</v>
      </c>
      <c r="U3" s="1991" t="s">
        <v>1311</v>
      </c>
      <c r="V3" s="1990"/>
      <c r="W3" s="1030">
        <v>0.86</v>
      </c>
      <c r="X3" s="1991" t="s">
        <v>312</v>
      </c>
      <c r="Y3" s="1990"/>
      <c r="Z3" s="1030">
        <v>0.83</v>
      </c>
      <c r="AA3" s="1991" t="s">
        <v>1312</v>
      </c>
      <c r="AB3" s="1990"/>
      <c r="AC3" s="1024">
        <v>0.75</v>
      </c>
      <c r="AD3" s="1992" t="s">
        <v>1313</v>
      </c>
      <c r="AE3" s="1993"/>
      <c r="AF3" s="1030">
        <v>0.7</v>
      </c>
    </row>
    <row r="4" spans="1:32" s="6" customFormat="1" ht="24.95" customHeight="1" thickBot="1">
      <c r="A4" s="1025"/>
      <c r="B4" s="555" t="s">
        <v>1161</v>
      </c>
      <c r="C4" s="629" t="s">
        <v>1314</v>
      </c>
      <c r="D4" s="630" t="s">
        <v>1315</v>
      </c>
      <c r="E4" s="631" t="s">
        <v>1316</v>
      </c>
      <c r="F4" s="2172"/>
      <c r="G4" s="514" t="s">
        <v>1317</v>
      </c>
      <c r="H4" s="632" t="s">
        <v>1318</v>
      </c>
      <c r="I4" s="570" t="s">
        <v>1319</v>
      </c>
      <c r="J4" s="571">
        <v>0.32</v>
      </c>
      <c r="K4" s="572" t="s">
        <v>1320</v>
      </c>
      <c r="L4" s="570" t="s">
        <v>1318</v>
      </c>
      <c r="M4" s="632" t="s">
        <v>1321</v>
      </c>
      <c r="N4" s="632" t="s">
        <v>1322</v>
      </c>
      <c r="O4" s="19" t="s">
        <v>1226</v>
      </c>
      <c r="P4" s="1050" t="s">
        <v>1227</v>
      </c>
      <c r="Q4" s="21" t="s">
        <v>1228</v>
      </c>
      <c r="R4" s="1026" t="s">
        <v>1226</v>
      </c>
      <c r="S4" s="1050" t="s">
        <v>1227</v>
      </c>
      <c r="T4" s="117" t="s">
        <v>1228</v>
      </c>
      <c r="U4" s="19" t="s">
        <v>1226</v>
      </c>
      <c r="V4" s="1050" t="s">
        <v>1227</v>
      </c>
      <c r="W4" s="21" t="s">
        <v>1228</v>
      </c>
      <c r="X4" s="19" t="s">
        <v>1226</v>
      </c>
      <c r="Y4" s="1050" t="s">
        <v>1227</v>
      </c>
      <c r="Z4" s="21" t="s">
        <v>1228</v>
      </c>
      <c r="AA4" s="1026" t="s">
        <v>1226</v>
      </c>
      <c r="AB4" s="1050" t="s">
        <v>1227</v>
      </c>
      <c r="AC4" s="117" t="s">
        <v>1228</v>
      </c>
      <c r="AD4" s="19" t="s">
        <v>1226</v>
      </c>
      <c r="AE4" s="1050" t="s">
        <v>1227</v>
      </c>
      <c r="AF4" s="21" t="s">
        <v>1228</v>
      </c>
    </row>
    <row r="5" spans="1:32" s="6" customFormat="1" ht="18" customHeight="1">
      <c r="A5" s="1025"/>
      <c r="B5" s="2164" t="s">
        <v>1323</v>
      </c>
      <c r="C5" s="2165"/>
      <c r="D5" s="2165"/>
      <c r="E5" s="2166"/>
      <c r="F5" s="2156">
        <v>1000</v>
      </c>
      <c r="G5" s="1979">
        <f>F5*C6*E6</f>
        <v>315</v>
      </c>
      <c r="H5" s="1979">
        <f>G5*11</f>
        <v>3465</v>
      </c>
      <c r="I5" s="1979">
        <f>F5*D6*E6*12</f>
        <v>0</v>
      </c>
      <c r="J5" s="1979">
        <f>(F5*12)*E6*$J$4</f>
        <v>4032</v>
      </c>
      <c r="K5" s="1979">
        <f>G5*$M$3</f>
        <v>47.25</v>
      </c>
      <c r="L5" s="1979">
        <f>H5*$M$3</f>
        <v>519.75</v>
      </c>
      <c r="M5" s="2158">
        <f>I5*$M$3</f>
        <v>0</v>
      </c>
      <c r="N5" s="1974" t="s">
        <v>1324</v>
      </c>
      <c r="O5" s="118">
        <f>G5+J5+K5</f>
        <v>4394.25</v>
      </c>
      <c r="P5" s="195">
        <f>SUM(G5:H6,J5:L6)</f>
        <v>8379</v>
      </c>
      <c r="Q5" s="128">
        <f>SUM(G5:M6)</f>
        <v>8379</v>
      </c>
      <c r="R5" s="168">
        <f>O5*$T$3</f>
        <v>4086.6525000000001</v>
      </c>
      <c r="S5" s="195">
        <f>P5*$T$3</f>
        <v>7792.47</v>
      </c>
      <c r="T5" s="121">
        <f>Q5*$T$3</f>
        <v>7792.47</v>
      </c>
      <c r="U5" s="118">
        <f>O5*$W$3</f>
        <v>3779.0549999999998</v>
      </c>
      <c r="V5" s="195">
        <f>P5*$W$3</f>
        <v>7205.94</v>
      </c>
      <c r="W5" s="120">
        <f>Q5*$W$3</f>
        <v>7205.94</v>
      </c>
      <c r="X5" s="118">
        <f>O5*$Z$3</f>
        <v>3647.2275</v>
      </c>
      <c r="Y5" s="195">
        <f>P5*$Z$3</f>
        <v>6954.57</v>
      </c>
      <c r="Z5" s="120">
        <f>Q5*$Z$3</f>
        <v>6954.57</v>
      </c>
      <c r="AA5" s="168">
        <f>O5*$AC$3</f>
        <v>3295.6875</v>
      </c>
      <c r="AB5" s="195">
        <f>P5*$AC$3</f>
        <v>6284.25</v>
      </c>
      <c r="AC5" s="121">
        <f>Q5*$AC$3</f>
        <v>6284.25</v>
      </c>
      <c r="AD5" s="118">
        <f>O5*$AF$3</f>
        <v>3075.9749999999999</v>
      </c>
      <c r="AE5" s="195">
        <f>P5*$AF$3</f>
        <v>5865.2999999999993</v>
      </c>
      <c r="AF5" s="120">
        <f>Q5*$AF$3</f>
        <v>5865.2999999999993</v>
      </c>
    </row>
    <row r="6" spans="1:32" s="6" customFormat="1" ht="18" customHeight="1">
      <c r="A6" s="1025"/>
      <c r="B6" s="573" t="s">
        <v>1248</v>
      </c>
      <c r="C6" s="633">
        <v>0.3</v>
      </c>
      <c r="D6" s="634">
        <v>0</v>
      </c>
      <c r="E6" s="635">
        <v>1.05</v>
      </c>
      <c r="F6" s="2167"/>
      <c r="G6" s="1971"/>
      <c r="H6" s="1971"/>
      <c r="I6" s="1971"/>
      <c r="J6" s="1971"/>
      <c r="K6" s="1971"/>
      <c r="L6" s="1971"/>
      <c r="M6" s="1973"/>
      <c r="N6" s="1975"/>
      <c r="O6" s="301">
        <f t="shared" ref="O6:AF6" si="0">O5/$F5</f>
        <v>4.3942500000000004</v>
      </c>
      <c r="P6" s="515">
        <f t="shared" si="0"/>
        <v>8.3789999999999996</v>
      </c>
      <c r="Q6" s="574">
        <f t="shared" si="0"/>
        <v>8.3789999999999996</v>
      </c>
      <c r="R6" s="301">
        <f t="shared" si="0"/>
        <v>4.0866525000000005</v>
      </c>
      <c r="S6" s="515">
        <f t="shared" si="0"/>
        <v>7.7924700000000007</v>
      </c>
      <c r="T6" s="574">
        <f t="shared" si="0"/>
        <v>7.7924700000000007</v>
      </c>
      <c r="U6" s="301">
        <f>U5/$F5</f>
        <v>3.7790550000000001</v>
      </c>
      <c r="V6" s="515">
        <f>V5/$F5</f>
        <v>7.20594</v>
      </c>
      <c r="W6" s="574">
        <f>W5/$F5</f>
        <v>7.20594</v>
      </c>
      <c r="X6" s="301">
        <f t="shared" si="0"/>
        <v>3.6472275000000001</v>
      </c>
      <c r="Y6" s="515">
        <f t="shared" si="0"/>
        <v>6.9545699999999995</v>
      </c>
      <c r="Z6" s="574">
        <f t="shared" si="0"/>
        <v>6.9545699999999995</v>
      </c>
      <c r="AA6" s="301">
        <f t="shared" si="0"/>
        <v>3.2956875000000001</v>
      </c>
      <c r="AB6" s="515">
        <f t="shared" si="0"/>
        <v>6.2842500000000001</v>
      </c>
      <c r="AC6" s="574">
        <f t="shared" si="0"/>
        <v>6.2842500000000001</v>
      </c>
      <c r="AD6" s="301">
        <f t="shared" si="0"/>
        <v>3.0759750000000001</v>
      </c>
      <c r="AE6" s="515">
        <f t="shared" si="0"/>
        <v>5.8652999999999995</v>
      </c>
      <c r="AF6" s="574">
        <f t="shared" si="0"/>
        <v>5.8652999999999995</v>
      </c>
    </row>
    <row r="7" spans="1:32" s="6" customFormat="1" ht="18" customHeight="1">
      <c r="A7" s="1025"/>
      <c r="B7" s="2153" t="s">
        <v>1325</v>
      </c>
      <c r="C7" s="2154"/>
      <c r="D7" s="2154"/>
      <c r="E7" s="2155"/>
      <c r="F7" s="2160">
        <v>1000</v>
      </c>
      <c r="G7" s="1979">
        <f>F7*C8*E8</f>
        <v>360</v>
      </c>
      <c r="H7" s="1979">
        <f>G7*11</f>
        <v>3960</v>
      </c>
      <c r="I7" s="1979">
        <f>F7*D8*E8*12</f>
        <v>3312</v>
      </c>
      <c r="J7" s="1979">
        <f t="shared" ref="J7" si="1">(F7*12)*E8*$J$4</f>
        <v>4608</v>
      </c>
      <c r="K7" s="1979">
        <f>G7*$M$3</f>
        <v>54</v>
      </c>
      <c r="L7" s="1979">
        <f>H7*$M$3</f>
        <v>594</v>
      </c>
      <c r="M7" s="2158">
        <f>I7*$M$3</f>
        <v>496.79999999999995</v>
      </c>
      <c r="N7" s="2151" t="s">
        <v>1324</v>
      </c>
      <c r="O7" s="118">
        <f>G7+J7+K7</f>
        <v>5022</v>
      </c>
      <c r="P7" s="195">
        <f>SUM(G7:H8,J7:L8)</f>
        <v>9576</v>
      </c>
      <c r="Q7" s="128">
        <f>SUM(G7:M8)</f>
        <v>13384.8</v>
      </c>
      <c r="R7" s="168">
        <f>O7*$T$3</f>
        <v>4670.46</v>
      </c>
      <c r="S7" s="195">
        <f>P7*$T$3</f>
        <v>8905.68</v>
      </c>
      <c r="T7" s="121">
        <f>Q7*$T$3</f>
        <v>12447.864</v>
      </c>
      <c r="U7" s="118">
        <f t="shared" ref="U7:W7" si="2">O7*$W$3</f>
        <v>4318.92</v>
      </c>
      <c r="V7" s="195">
        <f t="shared" si="2"/>
        <v>8235.36</v>
      </c>
      <c r="W7" s="120">
        <f t="shared" si="2"/>
        <v>11510.928</v>
      </c>
      <c r="X7" s="118">
        <f>O7*$Z$3</f>
        <v>4168.26</v>
      </c>
      <c r="Y7" s="195">
        <f>P7*$Z$3</f>
        <v>7948.08</v>
      </c>
      <c r="Z7" s="120">
        <f>Q7*$Z$3</f>
        <v>11109.383999999998</v>
      </c>
      <c r="AA7" s="168">
        <f>O7*$AC$3</f>
        <v>3766.5</v>
      </c>
      <c r="AB7" s="195">
        <f>P7*$AC$3</f>
        <v>7182</v>
      </c>
      <c r="AC7" s="121">
        <f>Q7*$AC$3</f>
        <v>10038.599999999999</v>
      </c>
      <c r="AD7" s="118">
        <f>O7*$AF$3</f>
        <v>3515.3999999999996</v>
      </c>
      <c r="AE7" s="195">
        <f>P7*$AF$3</f>
        <v>6703.2</v>
      </c>
      <c r="AF7" s="120">
        <f>Q7*$AF$3</f>
        <v>9369.3599999999988</v>
      </c>
    </row>
    <row r="8" spans="1:32" s="6" customFormat="1" ht="18" customHeight="1">
      <c r="A8" s="1025"/>
      <c r="B8" s="573" t="s">
        <v>1248</v>
      </c>
      <c r="C8" s="633">
        <v>0.3</v>
      </c>
      <c r="D8" s="761">
        <v>0.23</v>
      </c>
      <c r="E8" s="635">
        <v>1.2</v>
      </c>
      <c r="F8" s="2161"/>
      <c r="G8" s="1971"/>
      <c r="H8" s="1971"/>
      <c r="I8" s="1971"/>
      <c r="J8" s="1971"/>
      <c r="K8" s="1971"/>
      <c r="L8" s="1971"/>
      <c r="M8" s="1973"/>
      <c r="N8" s="1975"/>
      <c r="O8" s="301">
        <f t="shared" ref="O8:AF8" si="3">O7/$F7</f>
        <v>5.0220000000000002</v>
      </c>
      <c r="P8" s="515">
        <f t="shared" si="3"/>
        <v>9.5760000000000005</v>
      </c>
      <c r="Q8" s="574">
        <f t="shared" si="3"/>
        <v>13.384799999999998</v>
      </c>
      <c r="R8" s="301">
        <f t="shared" si="3"/>
        <v>4.6704600000000003</v>
      </c>
      <c r="S8" s="515">
        <f t="shared" si="3"/>
        <v>8.9056800000000003</v>
      </c>
      <c r="T8" s="574">
        <f t="shared" si="3"/>
        <v>12.447863999999999</v>
      </c>
      <c r="U8" s="301">
        <f t="shared" si="3"/>
        <v>4.3189200000000003</v>
      </c>
      <c r="V8" s="515">
        <f t="shared" si="3"/>
        <v>8.23536</v>
      </c>
      <c r="W8" s="574">
        <f t="shared" si="3"/>
        <v>11.510928</v>
      </c>
      <c r="X8" s="301">
        <f t="shared" si="3"/>
        <v>4.1682600000000001</v>
      </c>
      <c r="Y8" s="515">
        <f t="shared" si="3"/>
        <v>7.94808</v>
      </c>
      <c r="Z8" s="574">
        <f t="shared" si="3"/>
        <v>11.109383999999999</v>
      </c>
      <c r="AA8" s="301">
        <f t="shared" si="3"/>
        <v>3.7665000000000002</v>
      </c>
      <c r="AB8" s="515">
        <f t="shared" si="3"/>
        <v>7.1820000000000004</v>
      </c>
      <c r="AC8" s="574">
        <f t="shared" si="3"/>
        <v>10.038599999999999</v>
      </c>
      <c r="AD8" s="301">
        <f t="shared" si="3"/>
        <v>3.5153999999999996</v>
      </c>
      <c r="AE8" s="515">
        <f t="shared" si="3"/>
        <v>6.7031999999999998</v>
      </c>
      <c r="AF8" s="574">
        <f t="shared" si="3"/>
        <v>9.3693599999999986</v>
      </c>
    </row>
    <row r="9" spans="1:32" s="6" customFormat="1" ht="18" customHeight="1">
      <c r="A9" s="1025"/>
      <c r="B9" s="2153" t="s">
        <v>1326</v>
      </c>
      <c r="C9" s="2154"/>
      <c r="D9" s="2154"/>
      <c r="E9" s="2155"/>
      <c r="F9" s="2160">
        <v>1000</v>
      </c>
      <c r="G9" s="1979">
        <f>F9*C10*E10</f>
        <v>330</v>
      </c>
      <c r="H9" s="1979">
        <f>G9*11</f>
        <v>3630</v>
      </c>
      <c r="I9" s="1979">
        <f>F9*D10*E10*12</f>
        <v>0</v>
      </c>
      <c r="J9" s="1979">
        <f t="shared" ref="J9" si="4">(F9*12)*E10*$J$4</f>
        <v>4224.0000000000009</v>
      </c>
      <c r="K9" s="1979">
        <f>G9*$M$3</f>
        <v>49.5</v>
      </c>
      <c r="L9" s="1979">
        <f>H9*$M$3</f>
        <v>544.5</v>
      </c>
      <c r="M9" s="2158">
        <f>I9*$M$3</f>
        <v>0</v>
      </c>
      <c r="N9" s="2151" t="s">
        <v>1327</v>
      </c>
      <c r="O9" s="118">
        <f>G9+J9+K9</f>
        <v>4603.5000000000009</v>
      </c>
      <c r="P9" s="195">
        <f>SUM(G9:H10,J9:L10)</f>
        <v>8778</v>
      </c>
      <c r="Q9" s="128">
        <f>SUM(G9:M10)</f>
        <v>8778</v>
      </c>
      <c r="R9" s="168">
        <f>O9*$T$3</f>
        <v>4281.255000000001</v>
      </c>
      <c r="S9" s="195">
        <f>P9*$T$3</f>
        <v>8163.5400000000009</v>
      </c>
      <c r="T9" s="121">
        <f>Q9*$T$3</f>
        <v>8163.5400000000009</v>
      </c>
      <c r="U9" s="118">
        <f t="shared" ref="U9:W9" si="5">O9*$W$3</f>
        <v>3959.0100000000007</v>
      </c>
      <c r="V9" s="195">
        <f t="shared" si="5"/>
        <v>7549.08</v>
      </c>
      <c r="W9" s="120">
        <f t="shared" si="5"/>
        <v>7549.08</v>
      </c>
      <c r="X9" s="118">
        <f>O9*$Z$3</f>
        <v>3820.9050000000007</v>
      </c>
      <c r="Y9" s="195">
        <f>P9*$Z$3</f>
        <v>7285.74</v>
      </c>
      <c r="Z9" s="120">
        <f>Q9*$Z$3</f>
        <v>7285.74</v>
      </c>
      <c r="AA9" s="168">
        <f>O9*$AC$3</f>
        <v>3452.6250000000009</v>
      </c>
      <c r="AB9" s="195">
        <f>P9*$AC$3</f>
        <v>6583.5</v>
      </c>
      <c r="AC9" s="121">
        <f>Q9*$AC$3</f>
        <v>6583.5</v>
      </c>
      <c r="AD9" s="118">
        <f>O9*$AF$3</f>
        <v>3222.4500000000003</v>
      </c>
      <c r="AE9" s="195">
        <f>P9*$AF$3</f>
        <v>6144.5999999999995</v>
      </c>
      <c r="AF9" s="120">
        <f>Q9*$AF$3</f>
        <v>6144.5999999999995</v>
      </c>
    </row>
    <row r="10" spans="1:32" s="6" customFormat="1" ht="18" customHeight="1">
      <c r="A10" s="1025"/>
      <c r="B10" s="573" t="s">
        <v>32</v>
      </c>
      <c r="C10" s="633">
        <v>0.3</v>
      </c>
      <c r="D10" s="634">
        <v>0</v>
      </c>
      <c r="E10" s="635">
        <v>1.1000000000000001</v>
      </c>
      <c r="F10" s="2161"/>
      <c r="G10" s="1971"/>
      <c r="H10" s="1971"/>
      <c r="I10" s="1971"/>
      <c r="J10" s="1971"/>
      <c r="K10" s="1971"/>
      <c r="L10" s="1971"/>
      <c r="M10" s="1973"/>
      <c r="N10" s="1975"/>
      <c r="O10" s="301">
        <f t="shared" ref="O10:AF10" si="6">O9/$F9</f>
        <v>4.6035000000000013</v>
      </c>
      <c r="P10" s="515">
        <f t="shared" si="6"/>
        <v>8.7780000000000005</v>
      </c>
      <c r="Q10" s="574">
        <f t="shared" si="6"/>
        <v>8.7780000000000005</v>
      </c>
      <c r="R10" s="301">
        <f t="shared" si="6"/>
        <v>4.2812550000000007</v>
      </c>
      <c r="S10" s="515">
        <f t="shared" si="6"/>
        <v>8.1635400000000011</v>
      </c>
      <c r="T10" s="574">
        <f t="shared" si="6"/>
        <v>8.1635400000000011</v>
      </c>
      <c r="U10" s="301">
        <f t="shared" si="6"/>
        <v>3.9590100000000006</v>
      </c>
      <c r="V10" s="515">
        <f t="shared" si="6"/>
        <v>7.54908</v>
      </c>
      <c r="W10" s="574">
        <f t="shared" si="6"/>
        <v>7.54908</v>
      </c>
      <c r="X10" s="301">
        <f t="shared" si="6"/>
        <v>3.8209050000000007</v>
      </c>
      <c r="Y10" s="515">
        <f t="shared" si="6"/>
        <v>7.2857399999999997</v>
      </c>
      <c r="Z10" s="574">
        <f t="shared" si="6"/>
        <v>7.2857399999999997</v>
      </c>
      <c r="AA10" s="301">
        <f t="shared" si="6"/>
        <v>3.4526250000000007</v>
      </c>
      <c r="AB10" s="515">
        <f t="shared" si="6"/>
        <v>6.5834999999999999</v>
      </c>
      <c r="AC10" s="574">
        <f t="shared" si="6"/>
        <v>6.5834999999999999</v>
      </c>
      <c r="AD10" s="301">
        <f t="shared" si="6"/>
        <v>3.2224500000000003</v>
      </c>
      <c r="AE10" s="515">
        <f t="shared" si="6"/>
        <v>6.1445999999999996</v>
      </c>
      <c r="AF10" s="574">
        <f t="shared" si="6"/>
        <v>6.1445999999999996</v>
      </c>
    </row>
    <row r="11" spans="1:32" s="6" customFormat="1" ht="18" customHeight="1">
      <c r="A11" s="1025"/>
      <c r="B11" s="2153" t="s">
        <v>1328</v>
      </c>
      <c r="C11" s="2154"/>
      <c r="D11" s="2154"/>
      <c r="E11" s="2155"/>
      <c r="F11" s="2160">
        <v>1000</v>
      </c>
      <c r="G11" s="1979">
        <f>F11*C12*E12</f>
        <v>270</v>
      </c>
      <c r="H11" s="1979">
        <f>G11*11</f>
        <v>2970</v>
      </c>
      <c r="I11" s="1979">
        <f>F11*D12*E12*12</f>
        <v>0</v>
      </c>
      <c r="J11" s="2162">
        <f t="shared" ref="J11" si="7">(F11*12)*E12*$J$4</f>
        <v>3456</v>
      </c>
      <c r="K11" s="1979">
        <f>G11*$M$3</f>
        <v>40.5</v>
      </c>
      <c r="L11" s="1979">
        <f>H11*$M$3</f>
        <v>445.5</v>
      </c>
      <c r="M11" s="2158">
        <f>I11*$M$3</f>
        <v>0</v>
      </c>
      <c r="N11" s="2151" t="s">
        <v>1327</v>
      </c>
      <c r="O11" s="118">
        <f>G11+J11+K11</f>
        <v>3766.5</v>
      </c>
      <c r="P11" s="195">
        <f>SUM(G11:H12,J11:L12)</f>
        <v>7182</v>
      </c>
      <c r="Q11" s="128">
        <f>SUM(G11:M12)</f>
        <v>7182</v>
      </c>
      <c r="R11" s="168">
        <f>O11*$T$3</f>
        <v>3502.8450000000003</v>
      </c>
      <c r="S11" s="195">
        <f>P11*$T$3</f>
        <v>6679.26</v>
      </c>
      <c r="T11" s="121">
        <f>Q11*$T$3</f>
        <v>6679.26</v>
      </c>
      <c r="U11" s="118">
        <f t="shared" ref="U11:W11" si="8">O11*$W$3</f>
        <v>3239.19</v>
      </c>
      <c r="V11" s="195">
        <f t="shared" si="8"/>
        <v>6176.5199999999995</v>
      </c>
      <c r="W11" s="120">
        <f t="shared" si="8"/>
        <v>6176.5199999999995</v>
      </c>
      <c r="X11" s="118">
        <f>O11*$Z$3</f>
        <v>3126.1949999999997</v>
      </c>
      <c r="Y11" s="195">
        <f>P11*$Z$3</f>
        <v>5961.0599999999995</v>
      </c>
      <c r="Z11" s="120">
        <f>Q11*$Z$3</f>
        <v>5961.0599999999995</v>
      </c>
      <c r="AA11" s="168">
        <f>O11*$AC$3</f>
        <v>2824.875</v>
      </c>
      <c r="AB11" s="195">
        <f>P11*$AC$3</f>
        <v>5386.5</v>
      </c>
      <c r="AC11" s="121">
        <f>Q11*$AC$3</f>
        <v>5386.5</v>
      </c>
      <c r="AD11" s="118">
        <f>O11*$AF$3</f>
        <v>2636.5499999999997</v>
      </c>
      <c r="AE11" s="195">
        <f>P11*$AF$3</f>
        <v>5027.3999999999996</v>
      </c>
      <c r="AF11" s="120">
        <f>Q11*$AF$3</f>
        <v>5027.3999999999996</v>
      </c>
    </row>
    <row r="12" spans="1:32" s="6" customFormat="1" ht="18" customHeight="1">
      <c r="A12" s="1025"/>
      <c r="B12" s="573" t="s">
        <v>32</v>
      </c>
      <c r="C12" s="633">
        <v>0.3</v>
      </c>
      <c r="D12" s="634">
        <v>0</v>
      </c>
      <c r="E12" s="635">
        <v>0.9</v>
      </c>
      <c r="F12" s="2161"/>
      <c r="G12" s="1971"/>
      <c r="H12" s="1971"/>
      <c r="I12" s="1971"/>
      <c r="J12" s="2163"/>
      <c r="K12" s="1971"/>
      <c r="L12" s="1971"/>
      <c r="M12" s="1973"/>
      <c r="N12" s="1975"/>
      <c r="O12" s="301">
        <f t="shared" ref="O12:AF12" si="9">O11/$F11</f>
        <v>3.7665000000000002</v>
      </c>
      <c r="P12" s="515">
        <f t="shared" si="9"/>
        <v>7.1820000000000004</v>
      </c>
      <c r="Q12" s="574">
        <f t="shared" si="9"/>
        <v>7.1820000000000004</v>
      </c>
      <c r="R12" s="301">
        <f t="shared" si="9"/>
        <v>3.5028450000000002</v>
      </c>
      <c r="S12" s="515">
        <f t="shared" si="9"/>
        <v>6.6792600000000002</v>
      </c>
      <c r="T12" s="574">
        <f t="shared" si="9"/>
        <v>6.6792600000000002</v>
      </c>
      <c r="U12" s="301">
        <f t="shared" si="9"/>
        <v>3.2391900000000002</v>
      </c>
      <c r="V12" s="515">
        <f t="shared" si="9"/>
        <v>6.1765199999999991</v>
      </c>
      <c r="W12" s="574">
        <f t="shared" si="9"/>
        <v>6.1765199999999991</v>
      </c>
      <c r="X12" s="301">
        <f t="shared" si="9"/>
        <v>3.1261949999999996</v>
      </c>
      <c r="Y12" s="515">
        <f t="shared" si="9"/>
        <v>5.9610599999999998</v>
      </c>
      <c r="Z12" s="574">
        <f t="shared" si="9"/>
        <v>5.9610599999999998</v>
      </c>
      <c r="AA12" s="301">
        <f t="shared" si="9"/>
        <v>2.824875</v>
      </c>
      <c r="AB12" s="515">
        <f t="shared" si="9"/>
        <v>5.3864999999999998</v>
      </c>
      <c r="AC12" s="574">
        <f t="shared" si="9"/>
        <v>5.3864999999999998</v>
      </c>
      <c r="AD12" s="301">
        <f t="shared" si="9"/>
        <v>2.6365499999999997</v>
      </c>
      <c r="AE12" s="515">
        <f t="shared" si="9"/>
        <v>5.0273999999999992</v>
      </c>
      <c r="AF12" s="574">
        <f t="shared" si="9"/>
        <v>5.0273999999999992</v>
      </c>
    </row>
    <row r="13" spans="1:32" s="6" customFormat="1" ht="18" customHeight="1">
      <c r="A13" s="1025"/>
      <c r="B13" s="2153" t="s">
        <v>1329</v>
      </c>
      <c r="C13" s="2154"/>
      <c r="D13" s="2154"/>
      <c r="E13" s="2155"/>
      <c r="F13" s="2160">
        <v>1000</v>
      </c>
      <c r="G13" s="1979">
        <f>F13*C14*E14</f>
        <v>330</v>
      </c>
      <c r="H13" s="1979">
        <f>G13*11</f>
        <v>3630</v>
      </c>
      <c r="I13" s="1979">
        <f>F13*D14*E14*12</f>
        <v>0</v>
      </c>
      <c r="J13" s="2162">
        <f t="shared" ref="J13" si="10">(F13*12)*E14*$J$4</f>
        <v>4224.0000000000009</v>
      </c>
      <c r="K13" s="1979">
        <f>G13*$M$3</f>
        <v>49.5</v>
      </c>
      <c r="L13" s="1979">
        <f>H13*$M$3</f>
        <v>544.5</v>
      </c>
      <c r="M13" s="2158">
        <f>I13*$M$3</f>
        <v>0</v>
      </c>
      <c r="N13" s="2151" t="s">
        <v>1327</v>
      </c>
      <c r="O13" s="118">
        <f>G13+J13+K13</f>
        <v>4603.5000000000009</v>
      </c>
      <c r="P13" s="195">
        <f>SUM(G13:H14,J13:L14)</f>
        <v>8778</v>
      </c>
      <c r="Q13" s="128">
        <f>SUM(G13:M14)</f>
        <v>8778</v>
      </c>
      <c r="R13" s="168">
        <f>O13*$T$3</f>
        <v>4281.255000000001</v>
      </c>
      <c r="S13" s="195">
        <f>P13*$T$3</f>
        <v>8163.5400000000009</v>
      </c>
      <c r="T13" s="121">
        <f>Q13*$T$3</f>
        <v>8163.5400000000009</v>
      </c>
      <c r="U13" s="118">
        <f t="shared" ref="U13:W13" si="11">O13*$W$3</f>
        <v>3959.0100000000007</v>
      </c>
      <c r="V13" s="195">
        <f t="shared" si="11"/>
        <v>7549.08</v>
      </c>
      <c r="W13" s="120">
        <f t="shared" si="11"/>
        <v>7549.08</v>
      </c>
      <c r="X13" s="118">
        <f>O13*$Z$3</f>
        <v>3820.9050000000007</v>
      </c>
      <c r="Y13" s="195">
        <f>P13*$Z$3</f>
        <v>7285.74</v>
      </c>
      <c r="Z13" s="120">
        <f>Q13*$Z$3</f>
        <v>7285.74</v>
      </c>
      <c r="AA13" s="168">
        <f>O13*$AC$3</f>
        <v>3452.6250000000009</v>
      </c>
      <c r="AB13" s="195">
        <f>P13*$AC$3</f>
        <v>6583.5</v>
      </c>
      <c r="AC13" s="121">
        <f>Q13*$AC$3</f>
        <v>6583.5</v>
      </c>
      <c r="AD13" s="118">
        <f>O13*$AF$3</f>
        <v>3222.4500000000003</v>
      </c>
      <c r="AE13" s="195">
        <f>P13*$AF$3</f>
        <v>6144.5999999999995</v>
      </c>
      <c r="AF13" s="120">
        <f>Q13*$AF$3</f>
        <v>6144.5999999999995</v>
      </c>
    </row>
    <row r="14" spans="1:32" s="6" customFormat="1" ht="18" customHeight="1">
      <c r="A14" s="1025"/>
      <c r="B14" s="573" t="s">
        <v>32</v>
      </c>
      <c r="C14" s="633">
        <v>0.3</v>
      </c>
      <c r="D14" s="634">
        <v>0</v>
      </c>
      <c r="E14" s="635">
        <v>1.1000000000000001</v>
      </c>
      <c r="F14" s="2161"/>
      <c r="G14" s="1971"/>
      <c r="H14" s="1971"/>
      <c r="I14" s="1971"/>
      <c r="J14" s="2163"/>
      <c r="K14" s="1971"/>
      <c r="L14" s="1971"/>
      <c r="M14" s="1973"/>
      <c r="N14" s="1975"/>
      <c r="O14" s="301">
        <f t="shared" ref="O14:AF14" si="12">O13/$F13</f>
        <v>4.6035000000000013</v>
      </c>
      <c r="P14" s="515">
        <f t="shared" si="12"/>
        <v>8.7780000000000005</v>
      </c>
      <c r="Q14" s="574">
        <f t="shared" si="12"/>
        <v>8.7780000000000005</v>
      </c>
      <c r="R14" s="301">
        <f t="shared" si="12"/>
        <v>4.2812550000000007</v>
      </c>
      <c r="S14" s="515">
        <f t="shared" si="12"/>
        <v>8.1635400000000011</v>
      </c>
      <c r="T14" s="574">
        <f t="shared" si="12"/>
        <v>8.1635400000000011</v>
      </c>
      <c r="U14" s="301">
        <f t="shared" si="12"/>
        <v>3.9590100000000006</v>
      </c>
      <c r="V14" s="515">
        <f t="shared" si="12"/>
        <v>7.54908</v>
      </c>
      <c r="W14" s="574">
        <f t="shared" si="12"/>
        <v>7.54908</v>
      </c>
      <c r="X14" s="301">
        <f t="shared" si="12"/>
        <v>3.8209050000000007</v>
      </c>
      <c r="Y14" s="515">
        <f t="shared" si="12"/>
        <v>7.2857399999999997</v>
      </c>
      <c r="Z14" s="574">
        <f t="shared" si="12"/>
        <v>7.2857399999999997</v>
      </c>
      <c r="AA14" s="301">
        <f t="shared" si="12"/>
        <v>3.4526250000000007</v>
      </c>
      <c r="AB14" s="515">
        <f t="shared" si="12"/>
        <v>6.5834999999999999</v>
      </c>
      <c r="AC14" s="574">
        <f t="shared" si="12"/>
        <v>6.5834999999999999</v>
      </c>
      <c r="AD14" s="301">
        <f t="shared" si="12"/>
        <v>3.2224500000000003</v>
      </c>
      <c r="AE14" s="515">
        <f t="shared" si="12"/>
        <v>6.1445999999999996</v>
      </c>
      <c r="AF14" s="574">
        <f t="shared" si="12"/>
        <v>6.1445999999999996</v>
      </c>
    </row>
    <row r="15" spans="1:32" s="6" customFormat="1" ht="18" customHeight="1">
      <c r="A15" s="1025"/>
      <c r="B15" s="2153" t="s">
        <v>1330</v>
      </c>
      <c r="C15" s="2154"/>
      <c r="D15" s="2154"/>
      <c r="E15" s="2155"/>
      <c r="F15" s="2160">
        <v>1000</v>
      </c>
      <c r="G15" s="1979">
        <f>F15*C16*E16</f>
        <v>300</v>
      </c>
      <c r="H15" s="1979">
        <f>G15*11</f>
        <v>3300</v>
      </c>
      <c r="I15" s="1979">
        <f>F15*D16*E16*12</f>
        <v>0</v>
      </c>
      <c r="J15" s="1979">
        <f t="shared" ref="J15" si="13">(F15*12)*E16*$J$4</f>
        <v>3840</v>
      </c>
      <c r="K15" s="1979">
        <f>G15*$M$3</f>
        <v>45</v>
      </c>
      <c r="L15" s="1979">
        <f>H15*$M$3</f>
        <v>495</v>
      </c>
      <c r="M15" s="2158">
        <f>I15*$M$3</f>
        <v>0</v>
      </c>
      <c r="N15" s="2151" t="s">
        <v>1324</v>
      </c>
      <c r="O15" s="118">
        <f>G15+J15+K15</f>
        <v>4185</v>
      </c>
      <c r="P15" s="195">
        <f>SUM(G15:H16,J15:L16)</f>
        <v>7980</v>
      </c>
      <c r="Q15" s="128">
        <f>SUM(G15:M16)</f>
        <v>7980</v>
      </c>
      <c r="R15" s="168">
        <f>O15*$T$3</f>
        <v>3892.05</v>
      </c>
      <c r="S15" s="195">
        <f>P15*$T$3</f>
        <v>7421.4000000000005</v>
      </c>
      <c r="T15" s="121">
        <f>Q15*$T$3</f>
        <v>7421.4000000000005</v>
      </c>
      <c r="U15" s="118">
        <f t="shared" ref="U15:W15" si="14">O15*$W$3</f>
        <v>3599.1</v>
      </c>
      <c r="V15" s="195">
        <f t="shared" si="14"/>
        <v>6862.8</v>
      </c>
      <c r="W15" s="120">
        <f t="shared" si="14"/>
        <v>6862.8</v>
      </c>
      <c r="X15" s="118">
        <f>O15*$Z$3</f>
        <v>3473.5499999999997</v>
      </c>
      <c r="Y15" s="195">
        <f>P15*$Z$3</f>
        <v>6623.4</v>
      </c>
      <c r="Z15" s="120">
        <f>Q15*$Z$3</f>
        <v>6623.4</v>
      </c>
      <c r="AA15" s="168">
        <f>O15*$AC$3</f>
        <v>3138.75</v>
      </c>
      <c r="AB15" s="195">
        <f>P15*$AC$3</f>
        <v>5985</v>
      </c>
      <c r="AC15" s="121">
        <f>Q15*$AC$3</f>
        <v>5985</v>
      </c>
      <c r="AD15" s="118">
        <f>O15*$AF$3</f>
        <v>2929.5</v>
      </c>
      <c r="AE15" s="195">
        <f>P15*$AF$3</f>
        <v>5586</v>
      </c>
      <c r="AF15" s="120">
        <f>Q15*$AF$3</f>
        <v>5586</v>
      </c>
    </row>
    <row r="16" spans="1:32" s="6" customFormat="1" ht="18" customHeight="1">
      <c r="A16" s="1025"/>
      <c r="B16" s="573" t="s">
        <v>1248</v>
      </c>
      <c r="C16" s="633">
        <v>0.3</v>
      </c>
      <c r="D16" s="634">
        <v>0</v>
      </c>
      <c r="E16" s="635">
        <v>1</v>
      </c>
      <c r="F16" s="2161"/>
      <c r="G16" s="1971"/>
      <c r="H16" s="1971"/>
      <c r="I16" s="1971"/>
      <c r="J16" s="1971"/>
      <c r="K16" s="1971"/>
      <c r="L16" s="1971"/>
      <c r="M16" s="1973"/>
      <c r="N16" s="1975"/>
      <c r="O16" s="301">
        <f t="shared" ref="O16:AF16" si="15">O15/$F15</f>
        <v>4.1849999999999996</v>
      </c>
      <c r="P16" s="515">
        <f t="shared" si="15"/>
        <v>7.98</v>
      </c>
      <c r="Q16" s="574">
        <f t="shared" si="15"/>
        <v>7.98</v>
      </c>
      <c r="R16" s="301">
        <f t="shared" si="15"/>
        <v>3.8920500000000002</v>
      </c>
      <c r="S16" s="515">
        <f t="shared" si="15"/>
        <v>7.4214000000000002</v>
      </c>
      <c r="T16" s="574">
        <f t="shared" si="15"/>
        <v>7.4214000000000002</v>
      </c>
      <c r="U16" s="301">
        <f t="shared" si="15"/>
        <v>3.5991</v>
      </c>
      <c r="V16" s="515">
        <f t="shared" si="15"/>
        <v>6.8628</v>
      </c>
      <c r="W16" s="574">
        <f t="shared" si="15"/>
        <v>6.8628</v>
      </c>
      <c r="X16" s="301">
        <f t="shared" si="15"/>
        <v>3.4735499999999999</v>
      </c>
      <c r="Y16" s="515">
        <f t="shared" si="15"/>
        <v>6.6233999999999993</v>
      </c>
      <c r="Z16" s="574">
        <f t="shared" si="15"/>
        <v>6.6233999999999993</v>
      </c>
      <c r="AA16" s="301">
        <f t="shared" si="15"/>
        <v>3.1387499999999999</v>
      </c>
      <c r="AB16" s="515">
        <f t="shared" si="15"/>
        <v>5.9850000000000003</v>
      </c>
      <c r="AC16" s="574">
        <f t="shared" si="15"/>
        <v>5.9850000000000003</v>
      </c>
      <c r="AD16" s="301">
        <f t="shared" si="15"/>
        <v>2.9295</v>
      </c>
      <c r="AE16" s="515">
        <f t="shared" si="15"/>
        <v>5.5860000000000003</v>
      </c>
      <c r="AF16" s="574">
        <f t="shared" si="15"/>
        <v>5.5860000000000003</v>
      </c>
    </row>
    <row r="17" spans="1:32" s="6" customFormat="1" ht="18" customHeight="1">
      <c r="A17" s="1025"/>
      <c r="B17" s="2153" t="s">
        <v>1331</v>
      </c>
      <c r="C17" s="2154"/>
      <c r="D17" s="2154"/>
      <c r="E17" s="2155"/>
      <c r="F17" s="2160">
        <v>1000</v>
      </c>
      <c r="G17" s="1979">
        <f>F17*C18*E18</f>
        <v>375</v>
      </c>
      <c r="H17" s="1979">
        <f>G17*11</f>
        <v>4125</v>
      </c>
      <c r="I17" s="1979">
        <f>F17*D18*E18*12</f>
        <v>0</v>
      </c>
      <c r="J17" s="1979">
        <f t="shared" ref="J17" si="16">(F17*12)*E18*$J$4</f>
        <v>4800</v>
      </c>
      <c r="K17" s="1979">
        <f>G17*$M$3</f>
        <v>56.25</v>
      </c>
      <c r="L17" s="1979">
        <f>H17*$M$3</f>
        <v>618.75</v>
      </c>
      <c r="M17" s="2158">
        <f>I17*$M$3</f>
        <v>0</v>
      </c>
      <c r="N17" s="2151" t="s">
        <v>1324</v>
      </c>
      <c r="O17" s="118">
        <f>G17+J17+K17</f>
        <v>5231.25</v>
      </c>
      <c r="P17" s="195">
        <f>SUM(G17:H18,J17:L18)</f>
        <v>9975</v>
      </c>
      <c r="Q17" s="128">
        <f>SUM(G17:M18)</f>
        <v>9975</v>
      </c>
      <c r="R17" s="168">
        <f>O17*$T$3</f>
        <v>4865.0625</v>
      </c>
      <c r="S17" s="195">
        <f>P17*$T$3</f>
        <v>9276.75</v>
      </c>
      <c r="T17" s="121">
        <f>Q17*$T$3</f>
        <v>9276.75</v>
      </c>
      <c r="U17" s="118">
        <f t="shared" ref="U17:W17" si="17">O17*$W$3</f>
        <v>4498.875</v>
      </c>
      <c r="V17" s="195">
        <f t="shared" si="17"/>
        <v>8578.5</v>
      </c>
      <c r="W17" s="120">
        <f t="shared" si="17"/>
        <v>8578.5</v>
      </c>
      <c r="X17" s="118">
        <f>O17*$Z$3</f>
        <v>4341.9375</v>
      </c>
      <c r="Y17" s="195">
        <f>P17*$Z$3</f>
        <v>8279.25</v>
      </c>
      <c r="Z17" s="120">
        <f>Q17*$Z$3</f>
        <v>8279.25</v>
      </c>
      <c r="AA17" s="168">
        <f>O17*$AC$3</f>
        <v>3923.4375</v>
      </c>
      <c r="AB17" s="195">
        <f>P17*$AC$3</f>
        <v>7481.25</v>
      </c>
      <c r="AC17" s="121">
        <f>Q17*$AC$3</f>
        <v>7481.25</v>
      </c>
      <c r="AD17" s="118">
        <f>O17*$AF$3</f>
        <v>3661.8749999999995</v>
      </c>
      <c r="AE17" s="195">
        <f>P17*$AF$3</f>
        <v>6982.5</v>
      </c>
      <c r="AF17" s="120">
        <f>Q17*$AF$3</f>
        <v>6982.5</v>
      </c>
    </row>
    <row r="18" spans="1:32" s="6" customFormat="1" ht="18" customHeight="1">
      <c r="A18" s="1025"/>
      <c r="B18" s="573" t="s">
        <v>1248</v>
      </c>
      <c r="C18" s="633">
        <v>0.3</v>
      </c>
      <c r="D18" s="634">
        <v>0</v>
      </c>
      <c r="E18" s="635">
        <v>1.25</v>
      </c>
      <c r="F18" s="2161"/>
      <c r="G18" s="1971"/>
      <c r="H18" s="1971"/>
      <c r="I18" s="1971"/>
      <c r="J18" s="1971"/>
      <c r="K18" s="1971"/>
      <c r="L18" s="1971"/>
      <c r="M18" s="1973"/>
      <c r="N18" s="1975"/>
      <c r="O18" s="301">
        <f t="shared" ref="O18:AF18" si="18">O17/$F17</f>
        <v>5.2312500000000002</v>
      </c>
      <c r="P18" s="515">
        <f t="shared" si="18"/>
        <v>9.9749999999999996</v>
      </c>
      <c r="Q18" s="574">
        <f t="shared" si="18"/>
        <v>9.9749999999999996</v>
      </c>
      <c r="R18" s="301">
        <f t="shared" si="18"/>
        <v>4.8650624999999996</v>
      </c>
      <c r="S18" s="515">
        <f t="shared" si="18"/>
        <v>9.2767499999999998</v>
      </c>
      <c r="T18" s="574">
        <f t="shared" si="18"/>
        <v>9.2767499999999998</v>
      </c>
      <c r="U18" s="301">
        <f t="shared" si="18"/>
        <v>4.498875</v>
      </c>
      <c r="V18" s="515">
        <f t="shared" si="18"/>
        <v>8.5785</v>
      </c>
      <c r="W18" s="574">
        <f t="shared" si="18"/>
        <v>8.5785</v>
      </c>
      <c r="X18" s="301">
        <f t="shared" si="18"/>
        <v>4.3419375000000002</v>
      </c>
      <c r="Y18" s="515">
        <f t="shared" si="18"/>
        <v>8.2792499999999993</v>
      </c>
      <c r="Z18" s="574">
        <f t="shared" si="18"/>
        <v>8.2792499999999993</v>
      </c>
      <c r="AA18" s="301">
        <f t="shared" si="18"/>
        <v>3.9234374999999999</v>
      </c>
      <c r="AB18" s="515">
        <f t="shared" si="18"/>
        <v>7.4812500000000002</v>
      </c>
      <c r="AC18" s="574">
        <f t="shared" si="18"/>
        <v>7.4812500000000002</v>
      </c>
      <c r="AD18" s="301">
        <f t="shared" si="18"/>
        <v>3.6618749999999993</v>
      </c>
      <c r="AE18" s="515">
        <f t="shared" si="18"/>
        <v>6.9824999999999999</v>
      </c>
      <c r="AF18" s="574">
        <f t="shared" si="18"/>
        <v>6.9824999999999999</v>
      </c>
    </row>
    <row r="19" spans="1:32" s="6" customFormat="1" ht="18" customHeight="1">
      <c r="A19" s="1025"/>
      <c r="B19" s="2153" t="s">
        <v>1332</v>
      </c>
      <c r="C19" s="2154"/>
      <c r="D19" s="2154"/>
      <c r="E19" s="2155"/>
      <c r="F19" s="2160">
        <v>1000</v>
      </c>
      <c r="G19" s="1979">
        <f>F19*C20*E20</f>
        <v>375</v>
      </c>
      <c r="H19" s="1979">
        <f>G19*11</f>
        <v>4125</v>
      </c>
      <c r="I19" s="1979">
        <f>F19*D20*E20*12</f>
        <v>1800</v>
      </c>
      <c r="J19" s="1979">
        <f t="shared" ref="J19" si="19">(F19*12)*E20*$J$4</f>
        <v>4800</v>
      </c>
      <c r="K19" s="1979">
        <f>G19*$M$3</f>
        <v>56.25</v>
      </c>
      <c r="L19" s="1979">
        <f>H19*$M$3</f>
        <v>618.75</v>
      </c>
      <c r="M19" s="2158">
        <f>I19*$M$3</f>
        <v>270</v>
      </c>
      <c r="N19" s="2151" t="s">
        <v>1324</v>
      </c>
      <c r="O19" s="118">
        <f>G19+J19+K19</f>
        <v>5231.25</v>
      </c>
      <c r="P19" s="195">
        <f>SUM(G19:H20,J19:L20)</f>
        <v>9975</v>
      </c>
      <c r="Q19" s="128">
        <f>SUM(G19:M20)</f>
        <v>12045</v>
      </c>
      <c r="R19" s="168">
        <f>O19*$T$3</f>
        <v>4865.0625</v>
      </c>
      <c r="S19" s="195">
        <f>P19*$T$3</f>
        <v>9276.75</v>
      </c>
      <c r="T19" s="121">
        <f>Q19*$T$3</f>
        <v>11201.85</v>
      </c>
      <c r="U19" s="118">
        <f t="shared" ref="U19:W19" si="20">O19*$W$3</f>
        <v>4498.875</v>
      </c>
      <c r="V19" s="195">
        <f t="shared" si="20"/>
        <v>8578.5</v>
      </c>
      <c r="W19" s="120">
        <f t="shared" si="20"/>
        <v>10358.700000000001</v>
      </c>
      <c r="X19" s="118">
        <f>O19*$Z$3</f>
        <v>4341.9375</v>
      </c>
      <c r="Y19" s="195">
        <f>P19*$Z$3</f>
        <v>8279.25</v>
      </c>
      <c r="Z19" s="120">
        <f>Q19*$Z$3</f>
        <v>9997.35</v>
      </c>
      <c r="AA19" s="168">
        <f>O19*$AC$3</f>
        <v>3923.4375</v>
      </c>
      <c r="AB19" s="195">
        <f>P19*$AC$3</f>
        <v>7481.25</v>
      </c>
      <c r="AC19" s="121">
        <f>Q19*$AC$3</f>
        <v>9033.75</v>
      </c>
      <c r="AD19" s="118">
        <f>O19*$AF$3</f>
        <v>3661.8749999999995</v>
      </c>
      <c r="AE19" s="195">
        <f>P19*$AF$3</f>
        <v>6982.5</v>
      </c>
      <c r="AF19" s="120">
        <f>Q19*$AF$3</f>
        <v>8431.5</v>
      </c>
    </row>
    <row r="20" spans="1:32" s="6" customFormat="1" ht="18" customHeight="1">
      <c r="A20" s="1025"/>
      <c r="B20" s="575" t="s">
        <v>1333</v>
      </c>
      <c r="C20" s="633">
        <v>0.3</v>
      </c>
      <c r="D20" s="634">
        <v>0.12</v>
      </c>
      <c r="E20" s="635">
        <v>1.25</v>
      </c>
      <c r="F20" s="2161"/>
      <c r="G20" s="1971"/>
      <c r="H20" s="1971"/>
      <c r="I20" s="1971"/>
      <c r="J20" s="1971"/>
      <c r="K20" s="1971"/>
      <c r="L20" s="1971"/>
      <c r="M20" s="1973"/>
      <c r="N20" s="1975"/>
      <c r="O20" s="301">
        <f t="shared" ref="O20:AF20" si="21">O19/$F19</f>
        <v>5.2312500000000002</v>
      </c>
      <c r="P20" s="515">
        <f t="shared" si="21"/>
        <v>9.9749999999999996</v>
      </c>
      <c r="Q20" s="574">
        <f t="shared" si="21"/>
        <v>12.045</v>
      </c>
      <c r="R20" s="301">
        <f t="shared" si="21"/>
        <v>4.8650624999999996</v>
      </c>
      <c r="S20" s="515">
        <f t="shared" si="21"/>
        <v>9.2767499999999998</v>
      </c>
      <c r="T20" s="574">
        <f t="shared" si="21"/>
        <v>11.20185</v>
      </c>
      <c r="U20" s="301">
        <f t="shared" si="21"/>
        <v>4.498875</v>
      </c>
      <c r="V20" s="515">
        <f t="shared" si="21"/>
        <v>8.5785</v>
      </c>
      <c r="W20" s="574">
        <f t="shared" si="21"/>
        <v>10.358700000000001</v>
      </c>
      <c r="X20" s="301">
        <f t="shared" si="21"/>
        <v>4.3419375000000002</v>
      </c>
      <c r="Y20" s="515">
        <f t="shared" si="21"/>
        <v>8.2792499999999993</v>
      </c>
      <c r="Z20" s="574">
        <f t="shared" si="21"/>
        <v>9.9973500000000008</v>
      </c>
      <c r="AA20" s="301">
        <f t="shared" si="21"/>
        <v>3.9234374999999999</v>
      </c>
      <c r="AB20" s="515">
        <f t="shared" si="21"/>
        <v>7.4812500000000002</v>
      </c>
      <c r="AC20" s="574">
        <f t="shared" si="21"/>
        <v>9.0337499999999995</v>
      </c>
      <c r="AD20" s="301">
        <f t="shared" si="21"/>
        <v>3.6618749999999993</v>
      </c>
      <c r="AE20" s="515">
        <f t="shared" si="21"/>
        <v>6.9824999999999999</v>
      </c>
      <c r="AF20" s="574">
        <f t="shared" si="21"/>
        <v>8.4314999999999998</v>
      </c>
    </row>
    <row r="21" spans="1:32" s="6" customFormat="1" ht="18" customHeight="1">
      <c r="A21" s="1025"/>
      <c r="B21" s="2153" t="s">
        <v>1332</v>
      </c>
      <c r="C21" s="2154"/>
      <c r="D21" s="2154"/>
      <c r="E21" s="2155"/>
      <c r="F21" s="2160">
        <v>1000</v>
      </c>
      <c r="G21" s="1979">
        <f>F21*C22*E22</f>
        <v>375</v>
      </c>
      <c r="H21" s="1979">
        <f>G21*11</f>
        <v>4125</v>
      </c>
      <c r="I21" s="1979">
        <f>F21*D22*E22*12</f>
        <v>0</v>
      </c>
      <c r="J21" s="1979">
        <f t="shared" ref="J21" si="22">(F21*12)*E22*$J$4</f>
        <v>4800</v>
      </c>
      <c r="K21" s="1979">
        <f>G21*$M$3</f>
        <v>56.25</v>
      </c>
      <c r="L21" s="1979">
        <f>H21*$M$3</f>
        <v>618.75</v>
      </c>
      <c r="M21" s="2158">
        <f>I21*$M$3</f>
        <v>0</v>
      </c>
      <c r="N21" s="2151" t="s">
        <v>1324</v>
      </c>
      <c r="O21" s="118">
        <f>G21+J21+K21</f>
        <v>5231.25</v>
      </c>
      <c r="P21" s="195">
        <f>SUM(G21:H22,J21:L22)</f>
        <v>9975</v>
      </c>
      <c r="Q21" s="128">
        <f>SUM(G21:M22)</f>
        <v>9975</v>
      </c>
      <c r="R21" s="168">
        <f>O21*$T$3</f>
        <v>4865.0625</v>
      </c>
      <c r="S21" s="195">
        <f>P21*$T$3</f>
        <v>9276.75</v>
      </c>
      <c r="T21" s="121">
        <f>Q21*$T$3</f>
        <v>9276.75</v>
      </c>
      <c r="U21" s="118">
        <f t="shared" ref="U21:W21" si="23">O21*$W$3</f>
        <v>4498.875</v>
      </c>
      <c r="V21" s="195">
        <f t="shared" si="23"/>
        <v>8578.5</v>
      </c>
      <c r="W21" s="120">
        <f t="shared" si="23"/>
        <v>8578.5</v>
      </c>
      <c r="X21" s="118">
        <f>O21*$Z$3</f>
        <v>4341.9375</v>
      </c>
      <c r="Y21" s="195">
        <f>P21*$Z$3</f>
        <v>8279.25</v>
      </c>
      <c r="Z21" s="120">
        <f>Q21*$Z$3</f>
        <v>8279.25</v>
      </c>
      <c r="AA21" s="168">
        <f>O21*$AC$3</f>
        <v>3923.4375</v>
      </c>
      <c r="AB21" s="195">
        <f>P21*$AC$3</f>
        <v>7481.25</v>
      </c>
      <c r="AC21" s="121">
        <f>Q21*$AC$3</f>
        <v>7481.25</v>
      </c>
      <c r="AD21" s="118">
        <f>O21*$AF$3</f>
        <v>3661.8749999999995</v>
      </c>
      <c r="AE21" s="195">
        <f>P21*$AF$3</f>
        <v>6982.5</v>
      </c>
      <c r="AF21" s="120">
        <f>Q21*$AF$3</f>
        <v>6982.5</v>
      </c>
    </row>
    <row r="22" spans="1:32" s="6" customFormat="1" ht="18" customHeight="1">
      <c r="A22" s="1025"/>
      <c r="B22" s="575" t="s">
        <v>1334</v>
      </c>
      <c r="C22" s="633">
        <v>0.3</v>
      </c>
      <c r="D22" s="634">
        <v>0</v>
      </c>
      <c r="E22" s="635">
        <v>1.25</v>
      </c>
      <c r="F22" s="2161"/>
      <c r="G22" s="1971"/>
      <c r="H22" s="1971"/>
      <c r="I22" s="1971"/>
      <c r="J22" s="1971"/>
      <c r="K22" s="1971"/>
      <c r="L22" s="1971"/>
      <c r="M22" s="1973"/>
      <c r="N22" s="1975"/>
      <c r="O22" s="301">
        <f t="shared" ref="O22:AF22" si="24">O21/$F21</f>
        <v>5.2312500000000002</v>
      </c>
      <c r="P22" s="515">
        <f t="shared" si="24"/>
        <v>9.9749999999999996</v>
      </c>
      <c r="Q22" s="574">
        <f t="shared" si="24"/>
        <v>9.9749999999999996</v>
      </c>
      <c r="R22" s="301">
        <f t="shared" si="24"/>
        <v>4.8650624999999996</v>
      </c>
      <c r="S22" s="515">
        <f t="shared" si="24"/>
        <v>9.2767499999999998</v>
      </c>
      <c r="T22" s="574">
        <f t="shared" si="24"/>
        <v>9.2767499999999998</v>
      </c>
      <c r="U22" s="301">
        <f t="shared" si="24"/>
        <v>4.498875</v>
      </c>
      <c r="V22" s="515">
        <f t="shared" si="24"/>
        <v>8.5785</v>
      </c>
      <c r="W22" s="574">
        <f t="shared" si="24"/>
        <v>8.5785</v>
      </c>
      <c r="X22" s="301">
        <f t="shared" si="24"/>
        <v>4.3419375000000002</v>
      </c>
      <c r="Y22" s="515">
        <f t="shared" si="24"/>
        <v>8.2792499999999993</v>
      </c>
      <c r="Z22" s="574">
        <f t="shared" si="24"/>
        <v>8.2792499999999993</v>
      </c>
      <c r="AA22" s="301">
        <f t="shared" si="24"/>
        <v>3.9234374999999999</v>
      </c>
      <c r="AB22" s="515">
        <f t="shared" si="24"/>
        <v>7.4812500000000002</v>
      </c>
      <c r="AC22" s="574">
        <f t="shared" si="24"/>
        <v>7.4812500000000002</v>
      </c>
      <c r="AD22" s="301">
        <f t="shared" si="24"/>
        <v>3.6618749999999993</v>
      </c>
      <c r="AE22" s="515">
        <f t="shared" si="24"/>
        <v>6.9824999999999999</v>
      </c>
      <c r="AF22" s="574">
        <f t="shared" si="24"/>
        <v>6.9824999999999999</v>
      </c>
    </row>
    <row r="23" spans="1:32" s="6" customFormat="1" ht="18" customHeight="1">
      <c r="A23" s="1025"/>
      <c r="B23" s="2153" t="s">
        <v>1335</v>
      </c>
      <c r="C23" s="2154"/>
      <c r="D23" s="2154"/>
      <c r="E23" s="2155"/>
      <c r="F23" s="2160">
        <v>1000</v>
      </c>
      <c r="G23" s="1979">
        <f>F23*C24*E24</f>
        <v>375</v>
      </c>
      <c r="H23" s="1979">
        <f>G23*11</f>
        <v>4125</v>
      </c>
      <c r="I23" s="1979">
        <f>F23*D24*E24*12</f>
        <v>2580</v>
      </c>
      <c r="J23" s="1979">
        <f t="shared" ref="J23" si="25">(F23*12)*E24*$J$4</f>
        <v>4800</v>
      </c>
      <c r="K23" s="1979">
        <f>G23*$M$3</f>
        <v>56.25</v>
      </c>
      <c r="L23" s="1979">
        <f>H23*$M$3</f>
        <v>618.75</v>
      </c>
      <c r="M23" s="2158">
        <f>I23*$M$3</f>
        <v>387</v>
      </c>
      <c r="N23" s="2151" t="s">
        <v>1324</v>
      </c>
      <c r="O23" s="118">
        <f>G23+J23+K23</f>
        <v>5231.25</v>
      </c>
      <c r="P23" s="195">
        <f>SUM(G23:H24,J23:L24)</f>
        <v>9975</v>
      </c>
      <c r="Q23" s="128">
        <f>SUM(G23:M24)</f>
        <v>12942</v>
      </c>
      <c r="R23" s="168">
        <f>O23*$T$3</f>
        <v>4865.0625</v>
      </c>
      <c r="S23" s="195">
        <f>P23*$T$3</f>
        <v>9276.75</v>
      </c>
      <c r="T23" s="121">
        <f>Q23*$T$3</f>
        <v>12036.060000000001</v>
      </c>
      <c r="U23" s="118">
        <f t="shared" ref="U23:W23" si="26">O23*$W$3</f>
        <v>4498.875</v>
      </c>
      <c r="V23" s="195">
        <f t="shared" si="26"/>
        <v>8578.5</v>
      </c>
      <c r="W23" s="120">
        <f t="shared" si="26"/>
        <v>11130.119999999999</v>
      </c>
      <c r="X23" s="118">
        <f>O23*$Z$3</f>
        <v>4341.9375</v>
      </c>
      <c r="Y23" s="195">
        <f>P23*$Z$3</f>
        <v>8279.25</v>
      </c>
      <c r="Z23" s="120">
        <f>Q23*$Z$3</f>
        <v>10741.859999999999</v>
      </c>
      <c r="AA23" s="168">
        <f>O23*$AC$3</f>
        <v>3923.4375</v>
      </c>
      <c r="AB23" s="195">
        <f>P23*$AC$3</f>
        <v>7481.25</v>
      </c>
      <c r="AC23" s="121">
        <f>Q23*$AC$3</f>
        <v>9706.5</v>
      </c>
      <c r="AD23" s="118">
        <f>O23*$AF$3</f>
        <v>3661.8749999999995</v>
      </c>
      <c r="AE23" s="195">
        <f>P23*$AF$3</f>
        <v>6982.5</v>
      </c>
      <c r="AF23" s="120">
        <f>Q23*$AF$3</f>
        <v>9059.4</v>
      </c>
    </row>
    <row r="24" spans="1:32" s="6" customFormat="1" ht="18" customHeight="1">
      <c r="A24" s="1025"/>
      <c r="B24" s="573" t="s">
        <v>1248</v>
      </c>
      <c r="C24" s="633">
        <v>0.3</v>
      </c>
      <c r="D24" s="636">
        <v>0.17199999999999999</v>
      </c>
      <c r="E24" s="635">
        <v>1.25</v>
      </c>
      <c r="F24" s="2161"/>
      <c r="G24" s="1971"/>
      <c r="H24" s="1971"/>
      <c r="I24" s="1971"/>
      <c r="J24" s="1971"/>
      <c r="K24" s="1971"/>
      <c r="L24" s="1971"/>
      <c r="M24" s="1973"/>
      <c r="N24" s="1975"/>
      <c r="O24" s="301">
        <f t="shared" ref="O24:AF24" si="27">O23/$F23</f>
        <v>5.2312500000000002</v>
      </c>
      <c r="P24" s="515">
        <f t="shared" si="27"/>
        <v>9.9749999999999996</v>
      </c>
      <c r="Q24" s="574">
        <f t="shared" si="27"/>
        <v>12.942</v>
      </c>
      <c r="R24" s="301">
        <f t="shared" si="27"/>
        <v>4.8650624999999996</v>
      </c>
      <c r="S24" s="515">
        <f t="shared" si="27"/>
        <v>9.2767499999999998</v>
      </c>
      <c r="T24" s="574">
        <f t="shared" si="27"/>
        <v>12.036060000000001</v>
      </c>
      <c r="U24" s="301">
        <f t="shared" si="27"/>
        <v>4.498875</v>
      </c>
      <c r="V24" s="515">
        <f t="shared" si="27"/>
        <v>8.5785</v>
      </c>
      <c r="W24" s="574">
        <f t="shared" si="27"/>
        <v>11.13012</v>
      </c>
      <c r="X24" s="301">
        <f t="shared" si="27"/>
        <v>4.3419375000000002</v>
      </c>
      <c r="Y24" s="515">
        <f t="shared" si="27"/>
        <v>8.2792499999999993</v>
      </c>
      <c r="Z24" s="574">
        <f t="shared" si="27"/>
        <v>10.741859999999999</v>
      </c>
      <c r="AA24" s="301">
        <f t="shared" si="27"/>
        <v>3.9234374999999999</v>
      </c>
      <c r="AB24" s="515">
        <f t="shared" si="27"/>
        <v>7.4812500000000002</v>
      </c>
      <c r="AC24" s="574">
        <f t="shared" si="27"/>
        <v>9.7065000000000001</v>
      </c>
      <c r="AD24" s="301">
        <f t="shared" si="27"/>
        <v>3.6618749999999993</v>
      </c>
      <c r="AE24" s="515">
        <f t="shared" si="27"/>
        <v>6.9824999999999999</v>
      </c>
      <c r="AF24" s="574">
        <f t="shared" si="27"/>
        <v>9.0594000000000001</v>
      </c>
    </row>
    <row r="25" spans="1:32" s="6" customFormat="1" ht="18" customHeight="1">
      <c r="A25" s="1025"/>
      <c r="B25" s="2153" t="s">
        <v>1336</v>
      </c>
      <c r="C25" s="2154"/>
      <c r="D25" s="2154"/>
      <c r="E25" s="2155"/>
      <c r="F25" s="2160">
        <v>1000</v>
      </c>
      <c r="G25" s="1979">
        <f>F25*C26*E26</f>
        <v>131.25</v>
      </c>
      <c r="H25" s="1979">
        <f>G25*11</f>
        <v>1443.75</v>
      </c>
      <c r="I25" s="1979">
        <f>F25*D26*E26*12</f>
        <v>900</v>
      </c>
      <c r="J25" s="1979">
        <f t="shared" ref="J25" si="28">(F25*12)*E26*$J$4</f>
        <v>2880</v>
      </c>
      <c r="K25" s="1979">
        <f>G25*$M$3</f>
        <v>19.6875</v>
      </c>
      <c r="L25" s="1979">
        <f>H25*$M$3</f>
        <v>216.5625</v>
      </c>
      <c r="M25" s="2158">
        <f>I25*$M$3</f>
        <v>135</v>
      </c>
      <c r="N25" s="2151">
        <f>F25*(90%/12*100%)*12</f>
        <v>900</v>
      </c>
      <c r="O25" s="118">
        <f>G25+J25+K25</f>
        <v>3030.9375</v>
      </c>
      <c r="P25" s="195">
        <f>SUM(G25:H26,J25:L26)</f>
        <v>4691.25</v>
      </c>
      <c r="Q25" s="128">
        <f>SUM(G25:M26)</f>
        <v>5726.25</v>
      </c>
      <c r="R25" s="168">
        <f>O25*$T$3</f>
        <v>2818.7718750000004</v>
      </c>
      <c r="S25" s="195">
        <f>P25*$T$3</f>
        <v>4362.8625000000002</v>
      </c>
      <c r="T25" s="121">
        <f>Q25*$T$3</f>
        <v>5325.4125000000004</v>
      </c>
      <c r="U25" s="118">
        <f t="shared" ref="U25:W25" si="29">O25*$W$3</f>
        <v>2606.6062499999998</v>
      </c>
      <c r="V25" s="195">
        <f t="shared" si="29"/>
        <v>4034.4749999999999</v>
      </c>
      <c r="W25" s="120">
        <f t="shared" si="29"/>
        <v>4924.5749999999998</v>
      </c>
      <c r="X25" s="118">
        <f>O25*$Z$3</f>
        <v>2515.6781249999999</v>
      </c>
      <c r="Y25" s="195">
        <f>P25*$Z$3</f>
        <v>3893.7374999999997</v>
      </c>
      <c r="Z25" s="120">
        <f>Q25*$Z$3</f>
        <v>4752.7874999999995</v>
      </c>
      <c r="AA25" s="168">
        <f>O25*$AC$3</f>
        <v>2273.203125</v>
      </c>
      <c r="AB25" s="195">
        <f>P25*$AC$3</f>
        <v>3518.4375</v>
      </c>
      <c r="AC25" s="121">
        <f>Q25*$AC$3</f>
        <v>4294.6875</v>
      </c>
      <c r="AD25" s="118">
        <f>O25*$AF$3</f>
        <v>2121.65625</v>
      </c>
      <c r="AE25" s="195">
        <f>P25*$AF$3</f>
        <v>3283.875</v>
      </c>
      <c r="AF25" s="120">
        <f>Q25*$AF$3</f>
        <v>4008.3749999999995</v>
      </c>
    </row>
    <row r="26" spans="1:32" s="6" customFormat="1" ht="18" customHeight="1">
      <c r="A26" s="1025"/>
      <c r="B26" s="573" t="s">
        <v>1248</v>
      </c>
      <c r="C26" s="1056">
        <v>0.17499999999999999</v>
      </c>
      <c r="D26" s="636">
        <v>0.1</v>
      </c>
      <c r="E26" s="635">
        <v>0.75</v>
      </c>
      <c r="F26" s="2161"/>
      <c r="G26" s="1971"/>
      <c r="H26" s="1971"/>
      <c r="I26" s="1971"/>
      <c r="J26" s="1971"/>
      <c r="K26" s="1971"/>
      <c r="L26" s="1971"/>
      <c r="M26" s="1973"/>
      <c r="N26" s="1975"/>
      <c r="O26" s="301">
        <f t="shared" ref="O26:AF26" si="30">O25/$F25</f>
        <v>3.0309374999999998</v>
      </c>
      <c r="P26" s="515">
        <f t="shared" si="30"/>
        <v>4.6912500000000001</v>
      </c>
      <c r="Q26" s="574">
        <f t="shared" si="30"/>
        <v>5.7262500000000003</v>
      </c>
      <c r="R26" s="301">
        <f t="shared" si="30"/>
        <v>2.8187718750000004</v>
      </c>
      <c r="S26" s="515">
        <f t="shared" si="30"/>
        <v>4.3628625000000003</v>
      </c>
      <c r="T26" s="574">
        <f t="shared" si="30"/>
        <v>5.3254125000000005</v>
      </c>
      <c r="U26" s="301">
        <f t="shared" si="30"/>
        <v>2.60660625</v>
      </c>
      <c r="V26" s="515">
        <f t="shared" si="30"/>
        <v>4.0344749999999996</v>
      </c>
      <c r="W26" s="574">
        <f t="shared" si="30"/>
        <v>4.9245749999999999</v>
      </c>
      <c r="X26" s="301">
        <f t="shared" si="30"/>
        <v>2.515678125</v>
      </c>
      <c r="Y26" s="515">
        <f t="shared" si="30"/>
        <v>3.8937374999999999</v>
      </c>
      <c r="Z26" s="574">
        <f t="shared" si="30"/>
        <v>4.7527874999999993</v>
      </c>
      <c r="AA26" s="301">
        <f t="shared" si="30"/>
        <v>2.2732031250000002</v>
      </c>
      <c r="AB26" s="515">
        <f t="shared" si="30"/>
        <v>3.5184375000000001</v>
      </c>
      <c r="AC26" s="574">
        <f t="shared" si="30"/>
        <v>4.2946875000000002</v>
      </c>
      <c r="AD26" s="301">
        <f t="shared" si="30"/>
        <v>2.12165625</v>
      </c>
      <c r="AE26" s="515">
        <f t="shared" si="30"/>
        <v>3.2838750000000001</v>
      </c>
      <c r="AF26" s="574">
        <f t="shared" si="30"/>
        <v>4.0083749999999991</v>
      </c>
    </row>
    <row r="27" spans="1:32" s="6" customFormat="1" ht="18" customHeight="1">
      <c r="A27" s="1025"/>
      <c r="B27" s="2153" t="s">
        <v>1337</v>
      </c>
      <c r="C27" s="2154"/>
      <c r="D27" s="2154"/>
      <c r="E27" s="2155"/>
      <c r="F27" s="2156">
        <v>1000</v>
      </c>
      <c r="G27" s="1979">
        <v>40</v>
      </c>
      <c r="H27" s="1979" t="s">
        <v>1248</v>
      </c>
      <c r="I27" s="1979" t="s">
        <v>1248</v>
      </c>
      <c r="J27" s="1979" t="s">
        <v>1248</v>
      </c>
      <c r="K27" s="1979" t="s">
        <v>1248</v>
      </c>
      <c r="L27" s="1979" t="s">
        <v>1248</v>
      </c>
      <c r="M27" s="2158" t="s">
        <v>1248</v>
      </c>
      <c r="N27" s="2151" t="s">
        <v>1324</v>
      </c>
      <c r="O27" s="118">
        <v>40</v>
      </c>
      <c r="P27" s="195">
        <v>40</v>
      </c>
      <c r="Q27" s="128">
        <v>40</v>
      </c>
      <c r="R27" s="168">
        <f>O27*$T$3</f>
        <v>37.200000000000003</v>
      </c>
      <c r="S27" s="195">
        <f>P27*$T$3</f>
        <v>37.200000000000003</v>
      </c>
      <c r="T27" s="121">
        <f>Q27*$T$3</f>
        <v>37.200000000000003</v>
      </c>
      <c r="U27" s="118">
        <f t="shared" ref="U27:W27" si="31">O27*$W$3</f>
        <v>34.4</v>
      </c>
      <c r="V27" s="195">
        <f t="shared" si="31"/>
        <v>34.4</v>
      </c>
      <c r="W27" s="120">
        <f t="shared" si="31"/>
        <v>34.4</v>
      </c>
      <c r="X27" s="118">
        <f>O27*$Z$3</f>
        <v>33.199999999999996</v>
      </c>
      <c r="Y27" s="195">
        <f>P27*$Z$3</f>
        <v>33.199999999999996</v>
      </c>
      <c r="Z27" s="120">
        <f>Q27*$Z$3</f>
        <v>33.199999999999996</v>
      </c>
      <c r="AA27" s="168">
        <f>O27*$AC$3</f>
        <v>30</v>
      </c>
      <c r="AB27" s="195">
        <f>P27*$AC$3</f>
        <v>30</v>
      </c>
      <c r="AC27" s="121">
        <f>Q27*$AC$3</f>
        <v>30</v>
      </c>
      <c r="AD27" s="118">
        <f>O27*$AF$3</f>
        <v>28</v>
      </c>
      <c r="AE27" s="195">
        <f>P27*$AF$3</f>
        <v>28</v>
      </c>
      <c r="AF27" s="120">
        <f>Q27*$AF$3</f>
        <v>28</v>
      </c>
    </row>
    <row r="28" spans="1:32" s="6" customFormat="1" ht="18" customHeight="1" thickBot="1">
      <c r="A28" s="1025"/>
      <c r="B28" s="576" t="s">
        <v>1338</v>
      </c>
      <c r="C28" s="637">
        <v>0.04</v>
      </c>
      <c r="D28" s="637" t="s">
        <v>1248</v>
      </c>
      <c r="E28" s="638" t="s">
        <v>1248</v>
      </c>
      <c r="F28" s="2157"/>
      <c r="G28" s="2002"/>
      <c r="H28" s="2002"/>
      <c r="I28" s="2002"/>
      <c r="J28" s="2002"/>
      <c r="K28" s="2002"/>
      <c r="L28" s="2002"/>
      <c r="M28" s="2159"/>
      <c r="N28" s="2152"/>
      <c r="O28" s="304">
        <f t="shared" ref="O28:AF28" si="32">O27/$F27</f>
        <v>0.04</v>
      </c>
      <c r="P28" s="516">
        <f t="shared" si="32"/>
        <v>0.04</v>
      </c>
      <c r="Q28" s="306">
        <f t="shared" si="32"/>
        <v>0.04</v>
      </c>
      <c r="R28" s="304">
        <f t="shared" si="32"/>
        <v>3.7200000000000004E-2</v>
      </c>
      <c r="S28" s="516">
        <f t="shared" si="32"/>
        <v>3.7200000000000004E-2</v>
      </c>
      <c r="T28" s="306">
        <f t="shared" si="32"/>
        <v>3.7200000000000004E-2</v>
      </c>
      <c r="U28" s="304">
        <f t="shared" si="32"/>
        <v>3.44E-2</v>
      </c>
      <c r="V28" s="516">
        <f t="shared" si="32"/>
        <v>3.44E-2</v>
      </c>
      <c r="W28" s="306">
        <f t="shared" si="32"/>
        <v>3.44E-2</v>
      </c>
      <c r="X28" s="304">
        <f t="shared" si="32"/>
        <v>3.3199999999999993E-2</v>
      </c>
      <c r="Y28" s="516">
        <f t="shared" si="32"/>
        <v>3.3199999999999993E-2</v>
      </c>
      <c r="Z28" s="306">
        <f t="shared" si="32"/>
        <v>3.3199999999999993E-2</v>
      </c>
      <c r="AA28" s="304">
        <f t="shared" si="32"/>
        <v>0.03</v>
      </c>
      <c r="AB28" s="516">
        <f t="shared" si="32"/>
        <v>0.03</v>
      </c>
      <c r="AC28" s="306">
        <f t="shared" si="32"/>
        <v>0.03</v>
      </c>
      <c r="AD28" s="304">
        <f t="shared" si="32"/>
        <v>2.8000000000000001E-2</v>
      </c>
      <c r="AE28" s="516">
        <f t="shared" si="32"/>
        <v>2.8000000000000001E-2</v>
      </c>
      <c r="AF28" s="306">
        <f t="shared" si="32"/>
        <v>2.8000000000000001E-2</v>
      </c>
    </row>
    <row r="29" spans="1:32" s="1025" customFormat="1" ht="18" customHeight="1">
      <c r="C29" s="639"/>
      <c r="D29" s="639"/>
      <c r="E29" s="640"/>
      <c r="F29" s="1029"/>
      <c r="G29" s="1029"/>
    </row>
    <row r="30" spans="1:32" s="1025" customFormat="1" ht="18" customHeight="1">
      <c r="B30" s="137" t="s">
        <v>1250</v>
      </c>
      <c r="C30" s="641"/>
      <c r="D30" s="641"/>
      <c r="E30" s="640"/>
      <c r="F30" s="1029"/>
      <c r="G30" s="1029"/>
    </row>
    <row r="31" spans="1:32" s="1025" customFormat="1" ht="18" customHeight="1">
      <c r="B31" s="1025" t="s">
        <v>1251</v>
      </c>
      <c r="C31" s="639"/>
      <c r="D31" s="639"/>
      <c r="E31" s="640"/>
      <c r="F31" s="1029"/>
      <c r="G31" s="1029"/>
    </row>
    <row r="32" spans="1:32" s="138" customFormat="1" ht="18" customHeight="1">
      <c r="B32" s="138" t="s">
        <v>1339</v>
      </c>
      <c r="C32" s="642"/>
      <c r="D32" s="642"/>
      <c r="E32" s="642"/>
    </row>
    <row r="33" spans="2:19" s="6" customFormat="1" ht="18" customHeight="1">
      <c r="B33" s="6" t="s">
        <v>1340</v>
      </c>
      <c r="C33" s="643"/>
      <c r="D33" s="643"/>
      <c r="E33" s="644"/>
      <c r="F33" s="5"/>
      <c r="G33" s="5"/>
    </row>
    <row r="34" spans="2:19" s="6" customFormat="1" ht="18" customHeight="1">
      <c r="B34" s="32" t="s">
        <v>1341</v>
      </c>
      <c r="C34" s="645"/>
      <c r="D34" s="645"/>
      <c r="E34" s="644"/>
      <c r="F34" s="5"/>
      <c r="G34" s="5"/>
    </row>
    <row r="35" spans="2:19" s="6" customFormat="1" ht="18" customHeight="1">
      <c r="C35" s="643"/>
      <c r="D35" s="643"/>
      <c r="E35" s="644"/>
      <c r="F35" s="5"/>
      <c r="G35" s="5"/>
    </row>
    <row r="36" spans="2:19" s="6" customFormat="1" ht="18" customHeight="1">
      <c r="C36" s="643"/>
      <c r="D36" s="643"/>
      <c r="E36" s="644"/>
      <c r="F36" s="5"/>
      <c r="G36" s="5"/>
    </row>
    <row r="37" spans="2:19" s="6" customFormat="1" ht="18" customHeight="1">
      <c r="C37" s="643"/>
      <c r="D37" s="643"/>
      <c r="E37" s="644"/>
      <c r="F37" s="5"/>
      <c r="G37" s="5"/>
    </row>
    <row r="38" spans="2:19" s="6" customFormat="1" ht="18" customHeight="1">
      <c r="C38" s="643"/>
      <c r="D38" s="643"/>
      <c r="E38" s="644"/>
      <c r="F38" s="5"/>
      <c r="G38" s="5"/>
    </row>
    <row r="39" spans="2:19" s="6" customFormat="1" ht="18" customHeight="1">
      <c r="C39" s="643"/>
      <c r="D39" s="643"/>
      <c r="E39" s="644"/>
      <c r="F39" s="5"/>
      <c r="G39" s="5"/>
    </row>
    <row r="40" spans="2:19" s="6" customFormat="1" ht="18" customHeight="1">
      <c r="C40" s="643"/>
      <c r="D40" s="643"/>
      <c r="E40" s="644"/>
      <c r="F40" s="5"/>
      <c r="G40" s="5"/>
    </row>
    <row r="45" spans="2:19" ht="18" customHeight="1">
      <c r="R45" s="139"/>
      <c r="S45" s="139"/>
    </row>
  </sheetData>
  <mergeCells count="131">
    <mergeCell ref="B1:AF1"/>
    <mergeCell ref="B3:E3"/>
    <mergeCell ref="F3:F4"/>
    <mergeCell ref="G3:H3"/>
    <mergeCell ref="K3:L3"/>
    <mergeCell ref="O3:Q3"/>
    <mergeCell ref="R3:S3"/>
    <mergeCell ref="U3:V3"/>
    <mergeCell ref="X3:Y3"/>
    <mergeCell ref="AA3:AB3"/>
    <mergeCell ref="AD3:AE3"/>
    <mergeCell ref="N5:N6"/>
    <mergeCell ref="B7:E7"/>
    <mergeCell ref="F7:F8"/>
    <mergeCell ref="G7:G8"/>
    <mergeCell ref="H7:H8"/>
    <mergeCell ref="I7:I8"/>
    <mergeCell ref="J7:J8"/>
    <mergeCell ref="K7:K8"/>
    <mergeCell ref="L7:L8"/>
    <mergeCell ref="M7:M8"/>
    <mergeCell ref="N7:N8"/>
    <mergeCell ref="B5:E5"/>
    <mergeCell ref="F5:F6"/>
    <mergeCell ref="G5:G6"/>
    <mergeCell ref="H5:H6"/>
    <mergeCell ref="I5:I6"/>
    <mergeCell ref="J5:J6"/>
    <mergeCell ref="K5:K6"/>
    <mergeCell ref="L5:L6"/>
    <mergeCell ref="M5:M6"/>
    <mergeCell ref="N9:N10"/>
    <mergeCell ref="B11:E11"/>
    <mergeCell ref="F11:F12"/>
    <mergeCell ref="G11:G12"/>
    <mergeCell ref="H11:H12"/>
    <mergeCell ref="I11:I12"/>
    <mergeCell ref="J11:J12"/>
    <mergeCell ref="K11:K12"/>
    <mergeCell ref="L11:L12"/>
    <mergeCell ref="M11:M12"/>
    <mergeCell ref="N11:N12"/>
    <mergeCell ref="B9:E9"/>
    <mergeCell ref="F9:F10"/>
    <mergeCell ref="G9:G10"/>
    <mergeCell ref="H9:H10"/>
    <mergeCell ref="I9:I10"/>
    <mergeCell ref="J9:J10"/>
    <mergeCell ref="K9:K10"/>
    <mergeCell ref="L9:L10"/>
    <mergeCell ref="M9:M10"/>
    <mergeCell ref="N13:N14"/>
    <mergeCell ref="B15:E15"/>
    <mergeCell ref="F15:F16"/>
    <mergeCell ref="G15:G16"/>
    <mergeCell ref="H15:H16"/>
    <mergeCell ref="I15:I16"/>
    <mergeCell ref="J15:J16"/>
    <mergeCell ref="K15:K16"/>
    <mergeCell ref="L15:L16"/>
    <mergeCell ref="M15:M16"/>
    <mergeCell ref="N15:N16"/>
    <mergeCell ref="B13:E13"/>
    <mergeCell ref="F13:F14"/>
    <mergeCell ref="G13:G14"/>
    <mergeCell ref="H13:H14"/>
    <mergeCell ref="I13:I14"/>
    <mergeCell ref="J13:J14"/>
    <mergeCell ref="K13:K14"/>
    <mergeCell ref="L13:L14"/>
    <mergeCell ref="M13:M14"/>
    <mergeCell ref="N17:N18"/>
    <mergeCell ref="B19:E19"/>
    <mergeCell ref="F19:F20"/>
    <mergeCell ref="G19:G20"/>
    <mergeCell ref="H19:H20"/>
    <mergeCell ref="I19:I20"/>
    <mergeCell ref="J19:J20"/>
    <mergeCell ref="K19:K20"/>
    <mergeCell ref="L19:L20"/>
    <mergeCell ref="M19:M20"/>
    <mergeCell ref="N19:N20"/>
    <mergeCell ref="B17:E17"/>
    <mergeCell ref="F17:F18"/>
    <mergeCell ref="G17:G18"/>
    <mergeCell ref="H17:H18"/>
    <mergeCell ref="I17:I18"/>
    <mergeCell ref="J17:J18"/>
    <mergeCell ref="K17:K18"/>
    <mergeCell ref="L17:L18"/>
    <mergeCell ref="M17:M18"/>
    <mergeCell ref="N21:N22"/>
    <mergeCell ref="B23:E23"/>
    <mergeCell ref="F23:F24"/>
    <mergeCell ref="G23:G24"/>
    <mergeCell ref="H23:H24"/>
    <mergeCell ref="I23:I24"/>
    <mergeCell ref="J23:J24"/>
    <mergeCell ref="K23:K24"/>
    <mergeCell ref="L23:L24"/>
    <mergeCell ref="M23:M24"/>
    <mergeCell ref="N23:N24"/>
    <mergeCell ref="B21:E21"/>
    <mergeCell ref="F21:F22"/>
    <mergeCell ref="G21:G22"/>
    <mergeCell ref="H21:H22"/>
    <mergeCell ref="I21:I22"/>
    <mergeCell ref="J21:J22"/>
    <mergeCell ref="K21:K22"/>
    <mergeCell ref="L21:L22"/>
    <mergeCell ref="M21:M22"/>
    <mergeCell ref="N27:N28"/>
    <mergeCell ref="N25:N26"/>
    <mergeCell ref="B27:E27"/>
    <mergeCell ref="F27:F28"/>
    <mergeCell ref="G27:G28"/>
    <mergeCell ref="H27:H28"/>
    <mergeCell ref="I27:I28"/>
    <mergeCell ref="J27:J28"/>
    <mergeCell ref="K27:K28"/>
    <mergeCell ref="L27:L28"/>
    <mergeCell ref="M27:M28"/>
    <mergeCell ref="B25:E25"/>
    <mergeCell ref="F25:F26"/>
    <mergeCell ref="G25:G26"/>
    <mergeCell ref="H25:H26"/>
    <mergeCell ref="I25:I26"/>
    <mergeCell ref="J25:J26"/>
    <mergeCell ref="K25:K26"/>
    <mergeCell ref="L25:L26"/>
    <mergeCell ref="M25:M26"/>
  </mergeCells>
  <phoneticPr fontId="99" type="noConversion"/>
  <pageMargins left="0.31496062992125984" right="0.31496062992125984" top="0.31496062992125984" bottom="0.31496062992125984" header="0" footer="0"/>
  <pageSetup paperSize="9" scale="7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P36"/>
  <sheetViews>
    <sheetView zoomScaleNormal="100" workbookViewId="0">
      <pane ySplit="1" topLeftCell="A2" activePane="bottomLeft" state="frozen"/>
      <selection pane="bottomLeft"/>
    </sheetView>
  </sheetViews>
  <sheetFormatPr defaultRowHeight="18" customHeight="1"/>
  <cols>
    <col min="1" max="1" width="1" style="105" customWidth="1"/>
    <col min="2" max="3" width="9" style="105"/>
    <col min="4" max="9" width="8.625" style="105" customWidth="1"/>
    <col min="10" max="10" width="7.875" style="105" customWidth="1"/>
    <col min="11" max="16" width="8.625" style="105" customWidth="1"/>
    <col min="17" max="16384" width="9" style="105"/>
  </cols>
  <sheetData>
    <row r="1" spans="1:16" s="66" customFormat="1" ht="30" customHeight="1" thickBot="1">
      <c r="A1" s="327"/>
      <c r="B1" s="1140" t="s">
        <v>1736</v>
      </c>
      <c r="C1" s="1140"/>
      <c r="D1" s="1140"/>
      <c r="E1" s="1140"/>
      <c r="F1" s="1140"/>
      <c r="G1" s="1140"/>
      <c r="H1" s="1140"/>
      <c r="I1" s="1140"/>
      <c r="J1" s="1140"/>
      <c r="K1" s="1140"/>
      <c r="L1" s="1140"/>
      <c r="M1" s="1140"/>
      <c r="N1" s="1140"/>
      <c r="O1" s="1140"/>
      <c r="P1" s="1140"/>
    </row>
    <row r="2" spans="1:16" s="68" customFormat="1" ht="18" customHeight="1" thickTop="1">
      <c r="B2" s="67"/>
      <c r="C2" s="67"/>
      <c r="D2" s="67"/>
      <c r="G2" s="69"/>
      <c r="H2" s="69"/>
      <c r="I2" s="69"/>
      <c r="J2" s="69"/>
    </row>
    <row r="3" spans="1:16" s="69" customFormat="1" ht="18" customHeight="1" thickBot="1">
      <c r="B3" s="70" t="s">
        <v>308</v>
      </c>
      <c r="C3" s="70"/>
      <c r="D3" s="68"/>
      <c r="F3" s="68"/>
      <c r="K3" s="68"/>
    </row>
    <row r="4" spans="1:16" s="69" customFormat="1" ht="18" customHeight="1">
      <c r="B4" s="1295" t="s">
        <v>309</v>
      </c>
      <c r="C4" s="1306"/>
      <c r="D4" s="1166" t="s">
        <v>310</v>
      </c>
      <c r="E4" s="1166"/>
      <c r="F4" s="1166"/>
      <c r="G4" s="1166"/>
      <c r="H4" s="1166"/>
      <c r="I4" s="1166"/>
      <c r="J4" s="1166"/>
      <c r="K4" s="1166" t="s">
        <v>311</v>
      </c>
      <c r="L4" s="1166"/>
      <c r="M4" s="1166"/>
      <c r="N4" s="1166"/>
      <c r="O4" s="1166"/>
      <c r="P4" s="1167"/>
    </row>
    <row r="5" spans="1:16" s="69" customFormat="1" ht="18" customHeight="1">
      <c r="B5" s="1337" t="s">
        <v>319</v>
      </c>
      <c r="C5" s="1338"/>
      <c r="D5" s="1553" t="s">
        <v>320</v>
      </c>
      <c r="E5" s="1553"/>
      <c r="F5" s="1553"/>
      <c r="G5" s="1553"/>
      <c r="H5" s="1553"/>
      <c r="I5" s="1553"/>
      <c r="J5" s="1553"/>
      <c r="K5" s="1170" t="s">
        <v>321</v>
      </c>
      <c r="L5" s="1170"/>
      <c r="M5" s="1170"/>
      <c r="N5" s="1170"/>
      <c r="O5" s="1170"/>
      <c r="P5" s="1171"/>
    </row>
    <row r="6" spans="1:16" s="69" customFormat="1" ht="18" customHeight="1">
      <c r="B6" s="1312"/>
      <c r="C6" s="1313"/>
      <c r="D6" s="1553" t="s">
        <v>322</v>
      </c>
      <c r="E6" s="1553"/>
      <c r="F6" s="1553"/>
      <c r="G6" s="1553"/>
      <c r="H6" s="1553"/>
      <c r="I6" s="1553"/>
      <c r="J6" s="1553"/>
      <c r="K6" s="1515" t="s">
        <v>323</v>
      </c>
      <c r="L6" s="1516"/>
      <c r="M6" s="1516"/>
      <c r="N6" s="1516"/>
      <c r="O6" s="1516"/>
      <c r="P6" s="1517"/>
    </row>
    <row r="7" spans="1:16" s="69" customFormat="1" ht="18" customHeight="1" thickBot="1">
      <c r="B7" s="1581"/>
      <c r="C7" s="1582"/>
      <c r="D7" s="1527" t="s">
        <v>324</v>
      </c>
      <c r="E7" s="1527"/>
      <c r="F7" s="1527"/>
      <c r="G7" s="1527"/>
      <c r="H7" s="1527"/>
      <c r="I7" s="1527"/>
      <c r="J7" s="1527"/>
      <c r="K7" s="1405" t="s">
        <v>325</v>
      </c>
      <c r="L7" s="1406"/>
      <c r="M7" s="1406"/>
      <c r="N7" s="1406"/>
      <c r="O7" s="1406"/>
      <c r="P7" s="1407"/>
    </row>
    <row r="8" spans="1:16" s="69" customFormat="1" ht="18" customHeight="1">
      <c r="D8" s="68"/>
      <c r="F8" s="68"/>
      <c r="K8" s="68"/>
    </row>
    <row r="9" spans="1:16" s="69" customFormat="1" ht="18" customHeight="1" thickBot="1">
      <c r="B9" s="70" t="s">
        <v>315</v>
      </c>
      <c r="C9" s="70"/>
      <c r="D9" s="68"/>
      <c r="F9" s="68"/>
      <c r="K9" s="68"/>
    </row>
    <row r="10" spans="1:16" s="69" customFormat="1" ht="18" customHeight="1">
      <c r="B10" s="1295" t="s">
        <v>309</v>
      </c>
      <c r="C10" s="1306"/>
      <c r="D10" s="1166" t="s">
        <v>310</v>
      </c>
      <c r="E10" s="1166"/>
      <c r="F10" s="1166"/>
      <c r="G10" s="1166"/>
      <c r="H10" s="1166"/>
      <c r="I10" s="1166"/>
      <c r="J10" s="1166"/>
      <c r="K10" s="1166" t="s">
        <v>311</v>
      </c>
      <c r="L10" s="1166"/>
      <c r="M10" s="1166"/>
      <c r="N10" s="1166"/>
      <c r="O10" s="1166"/>
      <c r="P10" s="1167"/>
    </row>
    <row r="11" spans="1:16" s="69" customFormat="1" ht="18" customHeight="1">
      <c r="B11" s="1290" t="s">
        <v>326</v>
      </c>
      <c r="C11" s="1774"/>
      <c r="D11" s="1515" t="s">
        <v>327</v>
      </c>
      <c r="E11" s="1516"/>
      <c r="F11" s="1516"/>
      <c r="G11" s="1516"/>
      <c r="H11" s="1516"/>
      <c r="I11" s="1516"/>
      <c r="J11" s="1564"/>
      <c r="K11" s="1515"/>
      <c r="L11" s="1516"/>
      <c r="M11" s="1516"/>
      <c r="N11" s="1516"/>
      <c r="O11" s="1516"/>
      <c r="P11" s="1517"/>
    </row>
    <row r="12" spans="1:16" s="69" customFormat="1" ht="18" customHeight="1" thickBot="1">
      <c r="B12" s="1581" t="s">
        <v>328</v>
      </c>
      <c r="C12" s="1582"/>
      <c r="D12" s="1405" t="s">
        <v>329</v>
      </c>
      <c r="E12" s="1406"/>
      <c r="F12" s="1406"/>
      <c r="G12" s="1406"/>
      <c r="H12" s="1406"/>
      <c r="I12" s="1406"/>
      <c r="J12" s="2211"/>
      <c r="K12" s="2212" t="s">
        <v>330</v>
      </c>
      <c r="L12" s="2213"/>
      <c r="M12" s="2213"/>
      <c r="N12" s="2213"/>
      <c r="O12" s="2213"/>
      <c r="P12" s="2214"/>
    </row>
    <row r="13" spans="1:16" s="69" customFormat="1" ht="18" customHeight="1">
      <c r="B13" s="529"/>
      <c r="C13" s="529"/>
      <c r="D13" s="624"/>
      <c r="F13" s="68"/>
      <c r="K13" s="624"/>
    </row>
    <row r="14" spans="1:16" s="69" customFormat="1" ht="18" customHeight="1" thickBot="1">
      <c r="B14" s="70" t="s">
        <v>331</v>
      </c>
      <c r="C14" s="70"/>
      <c r="D14" s="68"/>
      <c r="F14" s="68"/>
      <c r="K14" s="68"/>
    </row>
    <row r="15" spans="1:16" s="69" customFormat="1" ht="18" customHeight="1">
      <c r="B15" s="1295" t="s">
        <v>309</v>
      </c>
      <c r="C15" s="1306"/>
      <c r="D15" s="1166" t="s">
        <v>310</v>
      </c>
      <c r="E15" s="1166"/>
      <c r="F15" s="1166"/>
      <c r="G15" s="1166"/>
      <c r="H15" s="1166"/>
      <c r="I15" s="1166"/>
      <c r="J15" s="1166"/>
      <c r="K15" s="1166" t="s">
        <v>332</v>
      </c>
      <c r="L15" s="1166"/>
      <c r="M15" s="1166"/>
      <c r="N15" s="1166"/>
      <c r="O15" s="1166"/>
      <c r="P15" s="1167"/>
    </row>
    <row r="16" spans="1:16" s="69" customFormat="1" ht="18" customHeight="1">
      <c r="B16" s="1290" t="s">
        <v>333</v>
      </c>
      <c r="C16" s="1774"/>
      <c r="D16" s="1553" t="s">
        <v>334</v>
      </c>
      <c r="E16" s="1553"/>
      <c r="F16" s="1553"/>
      <c r="G16" s="1553"/>
      <c r="H16" s="1553"/>
      <c r="I16" s="1553"/>
      <c r="J16" s="1553"/>
      <c r="K16" s="1170" t="s">
        <v>335</v>
      </c>
      <c r="L16" s="1170"/>
      <c r="M16" s="1170"/>
      <c r="N16" s="1170"/>
      <c r="O16" s="1170"/>
      <c r="P16" s="1171"/>
    </row>
    <row r="17" spans="2:16" s="69" customFormat="1" ht="18" customHeight="1">
      <c r="B17" s="2193" t="s">
        <v>336</v>
      </c>
      <c r="C17" s="2194"/>
      <c r="D17" s="2174" t="s">
        <v>337</v>
      </c>
      <c r="E17" s="2174"/>
      <c r="F17" s="2174"/>
      <c r="G17" s="2174"/>
      <c r="H17" s="2174"/>
      <c r="I17" s="2174"/>
      <c r="J17" s="2174"/>
      <c r="K17" s="2197" t="s">
        <v>338</v>
      </c>
      <c r="L17" s="2198"/>
      <c r="M17" s="2198"/>
      <c r="N17" s="2198"/>
      <c r="O17" s="2198"/>
      <c r="P17" s="2199"/>
    </row>
    <row r="18" spans="2:16" s="69" customFormat="1" ht="18" customHeight="1">
      <c r="B18" s="2195"/>
      <c r="C18" s="2196"/>
      <c r="D18" s="2202" t="s">
        <v>339</v>
      </c>
      <c r="E18" s="2182"/>
      <c r="F18" s="2182"/>
      <c r="G18" s="2182"/>
      <c r="H18" s="2182"/>
      <c r="I18" s="2182"/>
      <c r="J18" s="2182"/>
      <c r="K18" s="2183"/>
      <c r="L18" s="2200"/>
      <c r="M18" s="2200"/>
      <c r="N18" s="2200"/>
      <c r="O18" s="2200"/>
      <c r="P18" s="2201"/>
    </row>
    <row r="19" spans="2:16" s="69" customFormat="1" ht="18" customHeight="1">
      <c r="B19" s="2193" t="s">
        <v>340</v>
      </c>
      <c r="C19" s="2194"/>
      <c r="D19" s="290" t="s">
        <v>341</v>
      </c>
      <c r="E19" s="530"/>
      <c r="F19" s="530"/>
      <c r="G19" s="530"/>
      <c r="H19" s="530"/>
      <c r="I19" s="530"/>
      <c r="J19" s="530"/>
      <c r="K19" s="289"/>
      <c r="L19" s="289"/>
      <c r="M19" s="289"/>
      <c r="N19" s="289"/>
      <c r="O19" s="289"/>
      <c r="P19" s="288"/>
    </row>
    <row r="20" spans="2:16" s="69" customFormat="1" ht="18" customHeight="1">
      <c r="B20" s="2203"/>
      <c r="C20" s="2204"/>
      <c r="D20" s="287" t="s">
        <v>342</v>
      </c>
      <c r="E20" s="286"/>
      <c r="F20" s="286"/>
      <c r="G20" s="286"/>
      <c r="H20" s="286"/>
      <c r="I20" s="286"/>
      <c r="J20" s="286"/>
      <c r="K20" s="285"/>
      <c r="L20" s="285"/>
      <c r="M20" s="285"/>
      <c r="N20" s="285"/>
      <c r="O20" s="285"/>
      <c r="P20" s="284"/>
    </row>
    <row r="21" spans="2:16" s="69" customFormat="1" ht="18" customHeight="1">
      <c r="B21" s="2203"/>
      <c r="C21" s="2204"/>
      <c r="D21" s="287" t="s">
        <v>343</v>
      </c>
      <c r="E21" s="286"/>
      <c r="F21" s="286"/>
      <c r="G21" s="286"/>
      <c r="H21" s="286"/>
      <c r="I21" s="286"/>
      <c r="J21" s="286"/>
      <c r="K21" s="285"/>
      <c r="L21" s="285"/>
      <c r="M21" s="285"/>
      <c r="N21" s="285"/>
      <c r="O21" s="285"/>
      <c r="P21" s="284"/>
    </row>
    <row r="22" spans="2:16" s="69" customFormat="1" ht="18" customHeight="1">
      <c r="B22" s="2203"/>
      <c r="C22" s="2204"/>
      <c r="D22" s="287" t="s">
        <v>344</v>
      </c>
      <c r="E22" s="286"/>
      <c r="F22" s="286"/>
      <c r="G22" s="286"/>
      <c r="H22" s="286"/>
      <c r="I22" s="286"/>
      <c r="J22" s="286"/>
      <c r="K22" s="285"/>
      <c r="L22" s="285"/>
      <c r="M22" s="285"/>
      <c r="N22" s="285"/>
      <c r="O22" s="285"/>
      <c r="P22" s="284"/>
    </row>
    <row r="23" spans="2:16" s="69" customFormat="1" ht="18" customHeight="1">
      <c r="B23" s="2203"/>
      <c r="C23" s="2204"/>
      <c r="D23" s="358" t="s">
        <v>345</v>
      </c>
      <c r="E23" s="531"/>
      <c r="F23" s="531"/>
      <c r="G23" s="531"/>
      <c r="H23" s="531"/>
      <c r="I23" s="531"/>
      <c r="J23" s="531"/>
      <c r="K23" s="359"/>
      <c r="L23" s="359"/>
      <c r="M23" s="359"/>
      <c r="N23" s="359"/>
      <c r="O23" s="359"/>
      <c r="P23" s="360"/>
    </row>
    <row r="24" spans="2:16" s="69" customFormat="1" ht="18" customHeight="1">
      <c r="B24" s="2186" t="s">
        <v>346</v>
      </c>
      <c r="C24" s="2187"/>
      <c r="D24" s="2205" t="s">
        <v>614</v>
      </c>
      <c r="E24" s="2206"/>
      <c r="F24" s="2206"/>
      <c r="G24" s="2206"/>
      <c r="H24" s="2206"/>
      <c r="I24" s="2206"/>
      <c r="J24" s="2206"/>
      <c r="K24" s="2206"/>
      <c r="L24" s="2206"/>
      <c r="M24" s="2206"/>
      <c r="N24" s="2206"/>
      <c r="O24" s="2206"/>
      <c r="P24" s="2207"/>
    </row>
    <row r="25" spans="2:16" s="69" customFormat="1" ht="18" customHeight="1" thickBot="1">
      <c r="B25" s="1781"/>
      <c r="C25" s="1782"/>
      <c r="D25" s="2208"/>
      <c r="E25" s="2209"/>
      <c r="F25" s="2209"/>
      <c r="G25" s="2209"/>
      <c r="H25" s="2209"/>
      <c r="I25" s="2209"/>
      <c r="J25" s="2209"/>
      <c r="K25" s="2209"/>
      <c r="L25" s="2209"/>
      <c r="M25" s="2209"/>
      <c r="N25" s="2209"/>
      <c r="O25" s="2209"/>
      <c r="P25" s="2210"/>
    </row>
    <row r="26" spans="2:16" s="69" customFormat="1" ht="18" customHeight="1">
      <c r="B26" s="529"/>
      <c r="C26" s="529"/>
      <c r="D26" s="624"/>
      <c r="F26" s="68"/>
      <c r="K26" s="624"/>
    </row>
    <row r="27" spans="2:16" s="68" customFormat="1" ht="18" customHeight="1" thickBot="1">
      <c r="B27" s="70" t="s">
        <v>316</v>
      </c>
      <c r="C27" s="70"/>
      <c r="G27" s="69"/>
      <c r="H27" s="69"/>
      <c r="I27" s="69"/>
      <c r="J27" s="69"/>
    </row>
    <row r="28" spans="2:16" s="68" customFormat="1" ht="18" customHeight="1">
      <c r="B28" s="1295" t="s">
        <v>309</v>
      </c>
      <c r="C28" s="1306"/>
      <c r="D28" s="1166" t="s">
        <v>317</v>
      </c>
      <c r="E28" s="1166"/>
      <c r="F28" s="1166"/>
      <c r="G28" s="1166"/>
      <c r="H28" s="1166"/>
      <c r="I28" s="1166"/>
      <c r="J28" s="1166"/>
      <c r="K28" s="1166" t="s">
        <v>318</v>
      </c>
      <c r="L28" s="1166"/>
      <c r="M28" s="1166"/>
      <c r="N28" s="1166"/>
      <c r="O28" s="1166"/>
      <c r="P28" s="1167"/>
    </row>
    <row r="29" spans="2:16" s="68" customFormat="1" ht="18" customHeight="1">
      <c r="B29" s="1290" t="s">
        <v>347</v>
      </c>
      <c r="C29" s="1774"/>
      <c r="D29" s="1292" t="s">
        <v>348</v>
      </c>
      <c r="E29" s="2188"/>
      <c r="F29" s="2188"/>
      <c r="G29" s="2188"/>
      <c r="H29" s="2188"/>
      <c r="I29" s="2188"/>
      <c r="J29" s="2189"/>
      <c r="K29" s="2190" t="s">
        <v>349</v>
      </c>
      <c r="L29" s="2191"/>
      <c r="M29" s="2191"/>
      <c r="N29" s="2191"/>
      <c r="O29" s="2191"/>
      <c r="P29" s="2192"/>
    </row>
    <row r="30" spans="2:16" s="68" customFormat="1" ht="18" customHeight="1">
      <c r="B30" s="1312" t="s">
        <v>350</v>
      </c>
      <c r="C30" s="1313"/>
      <c r="D30" s="2175" t="s">
        <v>52</v>
      </c>
      <c r="E30" s="2175"/>
      <c r="F30" s="2175"/>
      <c r="G30" s="2175"/>
      <c r="H30" s="2175"/>
      <c r="I30" s="2175"/>
      <c r="J30" s="2175"/>
      <c r="K30" s="2175" t="s">
        <v>53</v>
      </c>
      <c r="L30" s="2175"/>
      <c r="M30" s="2175"/>
      <c r="N30" s="2175"/>
      <c r="O30" s="2175"/>
      <c r="P30" s="2176"/>
    </row>
    <row r="31" spans="2:16" s="68" customFormat="1" ht="18" customHeight="1" thickBot="1">
      <c r="B31" s="1312"/>
      <c r="C31" s="1313"/>
      <c r="D31" s="2182" t="s">
        <v>54</v>
      </c>
      <c r="E31" s="2182"/>
      <c r="F31" s="2182"/>
      <c r="G31" s="2182"/>
      <c r="H31" s="2175"/>
      <c r="I31" s="2175"/>
      <c r="J31" s="2182"/>
      <c r="K31" s="2175" t="s">
        <v>351</v>
      </c>
      <c r="L31" s="2175"/>
      <c r="M31" s="2175"/>
      <c r="N31" s="2175"/>
      <c r="O31" s="2175"/>
      <c r="P31" s="2176"/>
    </row>
    <row r="32" spans="2:16" s="68" customFormat="1" ht="18" customHeight="1">
      <c r="B32" s="1312"/>
      <c r="C32" s="1313"/>
      <c r="D32" s="621" t="s">
        <v>352</v>
      </c>
      <c r="E32" s="621" t="s">
        <v>353</v>
      </c>
      <c r="F32" s="621" t="s">
        <v>354</v>
      </c>
      <c r="G32" s="623" t="s">
        <v>355</v>
      </c>
      <c r="H32" s="432" t="s">
        <v>356</v>
      </c>
      <c r="I32" s="201" t="s">
        <v>357</v>
      </c>
      <c r="J32" s="201" t="s">
        <v>358</v>
      </c>
      <c r="K32" s="2175" t="s">
        <v>359</v>
      </c>
      <c r="L32" s="2175"/>
      <c r="M32" s="2175"/>
      <c r="N32" s="2175"/>
      <c r="O32" s="2175"/>
      <c r="P32" s="2176"/>
    </row>
    <row r="33" spans="2:16" s="68" customFormat="1" ht="18" customHeight="1" thickBot="1">
      <c r="B33" s="1533"/>
      <c r="C33" s="1534"/>
      <c r="D33" s="621" t="s">
        <v>360</v>
      </c>
      <c r="E33" s="72">
        <v>1.1000000000000001</v>
      </c>
      <c r="F33" s="72">
        <v>1.06</v>
      </c>
      <c r="G33" s="276">
        <v>1.03</v>
      </c>
      <c r="H33" s="283">
        <v>1</v>
      </c>
      <c r="I33" s="277">
        <v>0.8</v>
      </c>
      <c r="J33" s="277">
        <v>0.6</v>
      </c>
      <c r="K33" s="2183" t="s">
        <v>361</v>
      </c>
      <c r="L33" s="2184"/>
      <c r="M33" s="2184"/>
      <c r="N33" s="2184"/>
      <c r="O33" s="2184"/>
      <c r="P33" s="2185"/>
    </row>
    <row r="34" spans="2:16" s="68" customFormat="1" ht="18" customHeight="1">
      <c r="B34" s="1337" t="s">
        <v>362</v>
      </c>
      <c r="C34" s="1338"/>
      <c r="D34" s="2174" t="s">
        <v>363</v>
      </c>
      <c r="E34" s="2174"/>
      <c r="F34" s="2174"/>
      <c r="G34" s="2174"/>
      <c r="H34" s="2175"/>
      <c r="I34" s="2175"/>
      <c r="J34" s="2174"/>
      <c r="K34" s="2175" t="s">
        <v>364</v>
      </c>
      <c r="L34" s="2175"/>
      <c r="M34" s="2175"/>
      <c r="N34" s="2175"/>
      <c r="O34" s="2175"/>
      <c r="P34" s="2176"/>
    </row>
    <row r="35" spans="2:16" s="68" customFormat="1" ht="18" customHeight="1">
      <c r="B35" s="1312"/>
      <c r="C35" s="1313"/>
      <c r="D35" s="2175" t="s">
        <v>55</v>
      </c>
      <c r="E35" s="2175"/>
      <c r="F35" s="2175"/>
      <c r="G35" s="2175"/>
      <c r="H35" s="2175"/>
      <c r="I35" s="2175"/>
      <c r="J35" s="2175"/>
      <c r="K35" s="2177" t="s">
        <v>365</v>
      </c>
      <c r="L35" s="2177"/>
      <c r="M35" s="2177"/>
      <c r="N35" s="2177"/>
      <c r="O35" s="2177"/>
      <c r="P35" s="2178"/>
    </row>
    <row r="36" spans="2:16" s="68" customFormat="1" ht="18" customHeight="1" thickBot="1">
      <c r="B36" s="1581"/>
      <c r="C36" s="1582"/>
      <c r="D36" s="2179" t="s">
        <v>56</v>
      </c>
      <c r="E36" s="2179"/>
      <c r="F36" s="2179"/>
      <c r="G36" s="2179"/>
      <c r="H36" s="2179"/>
      <c r="I36" s="2179"/>
      <c r="J36" s="2179"/>
      <c r="K36" s="2180"/>
      <c r="L36" s="2180"/>
      <c r="M36" s="2180"/>
      <c r="N36" s="2180"/>
      <c r="O36" s="2180"/>
      <c r="P36" s="2181"/>
    </row>
  </sheetData>
  <mergeCells count="53">
    <mergeCell ref="B1:P1"/>
    <mergeCell ref="B4:C4"/>
    <mergeCell ref="D4:J4"/>
    <mergeCell ref="K4:P4"/>
    <mergeCell ref="B5:C7"/>
    <mergeCell ref="D5:J5"/>
    <mergeCell ref="K5:P5"/>
    <mergeCell ref="D6:J6"/>
    <mergeCell ref="K6:P6"/>
    <mergeCell ref="D7:J7"/>
    <mergeCell ref="K7:P7"/>
    <mergeCell ref="B12:C12"/>
    <mergeCell ref="D12:J12"/>
    <mergeCell ref="K12:P12"/>
    <mergeCell ref="B15:C15"/>
    <mergeCell ref="B10:C10"/>
    <mergeCell ref="D10:J10"/>
    <mergeCell ref="K10:P10"/>
    <mergeCell ref="B11:C11"/>
    <mergeCell ref="D11:J11"/>
    <mergeCell ref="K11:P11"/>
    <mergeCell ref="D15:J15"/>
    <mergeCell ref="K15:P15"/>
    <mergeCell ref="B29:C29"/>
    <mergeCell ref="D29:J29"/>
    <mergeCell ref="K29:P29"/>
    <mergeCell ref="B17:C18"/>
    <mergeCell ref="D17:J17"/>
    <mergeCell ref="K17:P18"/>
    <mergeCell ref="D18:J18"/>
    <mergeCell ref="B19:C23"/>
    <mergeCell ref="D24:P25"/>
    <mergeCell ref="B16:C16"/>
    <mergeCell ref="D16:J16"/>
    <mergeCell ref="K16:P16"/>
    <mergeCell ref="B28:C28"/>
    <mergeCell ref="D28:J28"/>
    <mergeCell ref="K28:P28"/>
    <mergeCell ref="B24:C25"/>
    <mergeCell ref="B30:C33"/>
    <mergeCell ref="D30:J30"/>
    <mergeCell ref="K30:P30"/>
    <mergeCell ref="D31:J31"/>
    <mergeCell ref="K31:P31"/>
    <mergeCell ref="K32:P32"/>
    <mergeCell ref="K33:P33"/>
    <mergeCell ref="B34:C36"/>
    <mergeCell ref="D34:J34"/>
    <mergeCell ref="K34:P34"/>
    <mergeCell ref="D35:J35"/>
    <mergeCell ref="K35:P35"/>
    <mergeCell ref="D36:J36"/>
    <mergeCell ref="K36:P36"/>
  </mergeCells>
  <phoneticPr fontId="99" type="noConversion"/>
  <printOptions horizontalCentered="1" verticalCentered="1"/>
  <pageMargins left="0.31496062992125984" right="0.31496062992125984" top="0.31496062992125984" bottom="0.31496062992125984" header="0" footer="0"/>
  <pageSetup paperSize="9" scale="8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9"/>
  <sheetViews>
    <sheetView zoomScaleNormal="100" workbookViewId="0"/>
  </sheetViews>
  <sheetFormatPr defaultRowHeight="18" customHeight="1"/>
  <cols>
    <col min="1" max="1" width="0.875" style="105" customWidth="1"/>
    <col min="2" max="2" width="21.25" style="105" customWidth="1"/>
    <col min="3" max="5" width="6.125" style="105" customWidth="1"/>
    <col min="6" max="6" width="7.625" style="105" customWidth="1"/>
    <col min="7" max="9" width="6.5" style="105" customWidth="1"/>
    <col min="10" max="10" width="8.25" style="105" bestFit="1" customWidth="1"/>
    <col min="11" max="14" width="7.125" style="105" customWidth="1"/>
    <col min="15" max="16" width="6.5" style="105" customWidth="1"/>
    <col min="17" max="34" width="7.625" style="105" customWidth="1"/>
    <col min="35" max="16384" width="9" style="105"/>
  </cols>
  <sheetData>
    <row r="1" spans="1:38" s="34" customFormat="1" ht="30" customHeight="1" thickBot="1">
      <c r="B1" s="1271" t="s">
        <v>1737</v>
      </c>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row>
    <row r="2" spans="1:38" s="246" customFormat="1" ht="6" customHeight="1" thickTop="1">
      <c r="A2" s="68"/>
      <c r="B2" s="67"/>
      <c r="C2" s="67"/>
      <c r="D2" s="67"/>
      <c r="E2" s="67"/>
      <c r="F2" s="67"/>
      <c r="G2" s="67"/>
      <c r="H2" s="68"/>
      <c r="I2" s="68"/>
      <c r="J2" s="69"/>
      <c r="K2" s="69"/>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row>
    <row r="3" spans="1:38" s="274" customFormat="1" ht="18" customHeight="1">
      <c r="B3" s="364" t="s">
        <v>1746</v>
      </c>
      <c r="C3" s="273"/>
      <c r="D3" s="273"/>
      <c r="E3" s="273"/>
      <c r="F3" s="273"/>
      <c r="G3" s="273"/>
      <c r="M3" s="275"/>
      <c r="N3" s="275"/>
      <c r="O3" s="275"/>
    </row>
    <row r="4" spans="1:38" s="246" customFormat="1" ht="6" customHeight="1" thickBot="1">
      <c r="A4" s="68"/>
      <c r="B4" s="67"/>
      <c r="C4" s="67"/>
      <c r="D4" s="67"/>
      <c r="E4" s="67"/>
      <c r="F4" s="67"/>
      <c r="G4" s="67"/>
      <c r="H4" s="68"/>
      <c r="I4" s="68"/>
      <c r="J4" s="69"/>
      <c r="K4" s="69"/>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row>
    <row r="5" spans="1:38" s="17" customFormat="1" ht="18" customHeight="1">
      <c r="B5" s="1272" t="s">
        <v>736</v>
      </c>
      <c r="C5" s="1273"/>
      <c r="D5" s="1273"/>
      <c r="E5" s="1274"/>
      <c r="F5" s="2215" t="s">
        <v>804</v>
      </c>
      <c r="G5" s="1353" t="s">
        <v>811</v>
      </c>
      <c r="H5" s="1481"/>
      <c r="I5" s="1354"/>
      <c r="J5" s="1356" t="s">
        <v>812</v>
      </c>
      <c r="K5" s="1590"/>
      <c r="L5" s="1590"/>
      <c r="M5" s="1357"/>
      <c r="N5" s="2217" t="s">
        <v>813</v>
      </c>
      <c r="O5" s="1594" t="s">
        <v>814</v>
      </c>
      <c r="P5" s="1595"/>
      <c r="Q5" s="1480" t="s">
        <v>815</v>
      </c>
      <c r="R5" s="1481"/>
      <c r="S5" s="1482"/>
      <c r="T5" s="1483" t="s">
        <v>805</v>
      </c>
      <c r="U5" s="1357"/>
      <c r="V5" s="244">
        <v>0.93</v>
      </c>
      <c r="W5" s="1483" t="s">
        <v>430</v>
      </c>
      <c r="X5" s="1357"/>
      <c r="Y5" s="244">
        <v>0.86</v>
      </c>
      <c r="Z5" s="1483" t="s">
        <v>379</v>
      </c>
      <c r="AA5" s="1357"/>
      <c r="AB5" s="244">
        <v>0.83</v>
      </c>
      <c r="AC5" s="1483" t="s">
        <v>380</v>
      </c>
      <c r="AD5" s="1357"/>
      <c r="AE5" s="244">
        <v>0.75</v>
      </c>
      <c r="AF5" s="1351" t="s">
        <v>816</v>
      </c>
      <c r="AG5" s="1288"/>
      <c r="AH5" s="244">
        <v>0.7</v>
      </c>
    </row>
    <row r="6" spans="1:38" s="17" customFormat="1" ht="24.95" customHeight="1" thickBot="1">
      <c r="B6" s="243" t="s">
        <v>817</v>
      </c>
      <c r="C6" s="182" t="s">
        <v>818</v>
      </c>
      <c r="D6" s="106" t="s">
        <v>819</v>
      </c>
      <c r="E6" s="446" t="s">
        <v>820</v>
      </c>
      <c r="F6" s="2216"/>
      <c r="G6" s="454" t="s">
        <v>821</v>
      </c>
      <c r="H6" s="454" t="s">
        <v>822</v>
      </c>
      <c r="I6" s="454" t="s">
        <v>823</v>
      </c>
      <c r="J6" s="956" t="s">
        <v>824</v>
      </c>
      <c r="K6" s="454" t="s">
        <v>825</v>
      </c>
      <c r="L6" s="454" t="s">
        <v>826</v>
      </c>
      <c r="M6" s="454" t="s">
        <v>827</v>
      </c>
      <c r="N6" s="2218"/>
      <c r="O6" s="454" t="s">
        <v>807</v>
      </c>
      <c r="P6" s="61" t="s">
        <v>828</v>
      </c>
      <c r="Q6" s="957" t="s">
        <v>807</v>
      </c>
      <c r="R6" s="958" t="s">
        <v>829</v>
      </c>
      <c r="S6" s="959" t="s">
        <v>806</v>
      </c>
      <c r="T6" s="957" t="s">
        <v>807</v>
      </c>
      <c r="U6" s="958" t="s">
        <v>829</v>
      </c>
      <c r="V6" s="959" t="s">
        <v>806</v>
      </c>
      <c r="W6" s="957" t="s">
        <v>807</v>
      </c>
      <c r="X6" s="958" t="s">
        <v>829</v>
      </c>
      <c r="Y6" s="959" t="s">
        <v>806</v>
      </c>
      <c r="Z6" s="957" t="s">
        <v>807</v>
      </c>
      <c r="AA6" s="958" t="s">
        <v>829</v>
      </c>
      <c r="AB6" s="959" t="s">
        <v>806</v>
      </c>
      <c r="AC6" s="957" t="s">
        <v>807</v>
      </c>
      <c r="AD6" s="958" t="s">
        <v>829</v>
      </c>
      <c r="AE6" s="959" t="s">
        <v>806</v>
      </c>
      <c r="AF6" s="957" t="s">
        <v>807</v>
      </c>
      <c r="AG6" s="958" t="s">
        <v>829</v>
      </c>
      <c r="AH6" s="959" t="s">
        <v>806</v>
      </c>
    </row>
    <row r="7" spans="1:38" s="17" customFormat="1" ht="18" customHeight="1">
      <c r="B7" s="2220" t="s">
        <v>830</v>
      </c>
      <c r="C7" s="1269"/>
      <c r="D7" s="1269"/>
      <c r="E7" s="1270"/>
      <c r="F7" s="1621">
        <v>1000</v>
      </c>
      <c r="G7" s="1234">
        <f>F7*C8</f>
        <v>6720</v>
      </c>
      <c r="H7" s="1234">
        <f>F7*D8</f>
        <v>1800</v>
      </c>
      <c r="I7" s="1234">
        <f>F7*E8</f>
        <v>1080</v>
      </c>
      <c r="J7" s="1620">
        <f>G7/12*6</f>
        <v>3360</v>
      </c>
      <c r="K7" s="1620">
        <f>G7</f>
        <v>6720</v>
      </c>
      <c r="L7" s="1620">
        <f>H7</f>
        <v>1800</v>
      </c>
      <c r="M7" s="1614">
        <f>I7</f>
        <v>1080</v>
      </c>
      <c r="N7" s="1245">
        <f>G7*100%*100%</f>
        <v>6720</v>
      </c>
      <c r="O7" s="1620">
        <f>G7/12*17%</f>
        <v>95.2</v>
      </c>
      <c r="P7" s="2221">
        <f>(K7+L7+M7)*17%</f>
        <v>1632.0000000000002</v>
      </c>
      <c r="Q7" s="22">
        <f>J7+N7+O7</f>
        <v>10175.200000000001</v>
      </c>
      <c r="R7" s="23">
        <f>K7+N7+(K7*17%)</f>
        <v>14582.4</v>
      </c>
      <c r="S7" s="24">
        <f>K7+L7+M7+N7+P7</f>
        <v>17952</v>
      </c>
      <c r="T7" s="22">
        <f>Q7*$V$5</f>
        <v>9462.9360000000015</v>
      </c>
      <c r="U7" s="23">
        <f>R7*$V$5</f>
        <v>13561.632</v>
      </c>
      <c r="V7" s="24">
        <f>S7*$V$5</f>
        <v>16695.36</v>
      </c>
      <c r="W7" s="22">
        <f>Q7*$Y$5</f>
        <v>8750.6720000000005</v>
      </c>
      <c r="X7" s="23">
        <f>R7*$Y$5</f>
        <v>12540.864</v>
      </c>
      <c r="Y7" s="24">
        <f>S7*$Y$5</f>
        <v>15438.72</v>
      </c>
      <c r="Z7" s="22">
        <f>Q7*$AB$5</f>
        <v>8445.4160000000011</v>
      </c>
      <c r="AA7" s="23">
        <f>R7*$AB$5</f>
        <v>12103.392</v>
      </c>
      <c r="AB7" s="24">
        <f>S7*$AB$5</f>
        <v>14900.16</v>
      </c>
      <c r="AC7" s="22">
        <f>Q7*$AE$5</f>
        <v>7631.4000000000005</v>
      </c>
      <c r="AD7" s="107">
        <f>R7*$AE$5</f>
        <v>10936.8</v>
      </c>
      <c r="AE7" s="24">
        <f>S7*$AE$5</f>
        <v>13464</v>
      </c>
      <c r="AF7" s="22">
        <f>Q7*$AH$5</f>
        <v>7122.64</v>
      </c>
      <c r="AG7" s="107">
        <f>R7*$AH$5</f>
        <v>10207.679999999998</v>
      </c>
      <c r="AH7" s="24">
        <f>S7*$AH$5</f>
        <v>12566.4</v>
      </c>
    </row>
    <row r="8" spans="1:38" s="17" customFormat="1" ht="18" customHeight="1">
      <c r="B8" s="183" t="s">
        <v>831</v>
      </c>
      <c r="C8" s="108">
        <v>6.72</v>
      </c>
      <c r="D8" s="108">
        <v>1.8</v>
      </c>
      <c r="E8" s="109">
        <v>1.08</v>
      </c>
      <c r="F8" s="1605"/>
      <c r="G8" s="1232"/>
      <c r="H8" s="1232"/>
      <c r="I8" s="1232"/>
      <c r="J8" s="1614"/>
      <c r="K8" s="1614"/>
      <c r="L8" s="1614"/>
      <c r="M8" s="1619"/>
      <c r="N8" s="1234"/>
      <c r="O8" s="1614"/>
      <c r="P8" s="2222"/>
      <c r="Q8" s="186">
        <f t="shared" ref="Q8:AH8" si="0">Q7/$F$7</f>
        <v>10.1752</v>
      </c>
      <c r="R8" s="189">
        <f t="shared" si="0"/>
        <v>14.5824</v>
      </c>
      <c r="S8" s="188">
        <f t="shared" si="0"/>
        <v>17.952000000000002</v>
      </c>
      <c r="T8" s="186">
        <f t="shared" si="0"/>
        <v>9.4629360000000009</v>
      </c>
      <c r="U8" s="189">
        <f t="shared" si="0"/>
        <v>13.561631999999999</v>
      </c>
      <c r="V8" s="188">
        <f t="shared" si="0"/>
        <v>16.695360000000001</v>
      </c>
      <c r="W8" s="186">
        <f t="shared" si="0"/>
        <v>8.7506719999999998</v>
      </c>
      <c r="X8" s="189">
        <f t="shared" si="0"/>
        <v>12.540863999999999</v>
      </c>
      <c r="Y8" s="188">
        <f t="shared" si="0"/>
        <v>15.43872</v>
      </c>
      <c r="Z8" s="186">
        <f t="shared" si="0"/>
        <v>8.4454160000000016</v>
      </c>
      <c r="AA8" s="189">
        <f t="shared" si="0"/>
        <v>12.103391999999999</v>
      </c>
      <c r="AB8" s="188">
        <f t="shared" si="0"/>
        <v>14.90016</v>
      </c>
      <c r="AC8" s="186">
        <f t="shared" si="0"/>
        <v>7.6314000000000002</v>
      </c>
      <c r="AD8" s="189">
        <f t="shared" si="0"/>
        <v>10.9368</v>
      </c>
      <c r="AE8" s="188">
        <f t="shared" si="0"/>
        <v>13.464</v>
      </c>
      <c r="AF8" s="186">
        <f t="shared" si="0"/>
        <v>7.1226400000000005</v>
      </c>
      <c r="AG8" s="190">
        <f t="shared" si="0"/>
        <v>10.207679999999998</v>
      </c>
      <c r="AH8" s="188">
        <f t="shared" si="0"/>
        <v>12.5664</v>
      </c>
    </row>
    <row r="9" spans="1:38" s="17" customFormat="1" ht="18" customHeight="1">
      <c r="B9" s="2219" t="s">
        <v>832</v>
      </c>
      <c r="C9" s="2069"/>
      <c r="D9" s="2069"/>
      <c r="E9" s="1491"/>
      <c r="F9" s="1605">
        <v>1000</v>
      </c>
      <c r="G9" s="1268">
        <f>F9*C10</f>
        <v>5880</v>
      </c>
      <c r="H9" s="1268">
        <f>F9*D10</f>
        <v>1680</v>
      </c>
      <c r="I9" s="1268">
        <f>F9*E10</f>
        <v>1440</v>
      </c>
      <c r="J9" s="1613">
        <f>G9/12*6</f>
        <v>2940</v>
      </c>
      <c r="K9" s="1613">
        <f>G9</f>
        <v>5880</v>
      </c>
      <c r="L9" s="1613">
        <f>H9</f>
        <v>1680</v>
      </c>
      <c r="M9" s="1619">
        <f>I9</f>
        <v>1440</v>
      </c>
      <c r="N9" s="1227">
        <f>G9*100%*100%</f>
        <v>5880</v>
      </c>
      <c r="O9" s="1613">
        <f>G9/12*17%</f>
        <v>83.300000000000011</v>
      </c>
      <c r="P9" s="2223">
        <f>(K9+L9+M9)*17%</f>
        <v>1530</v>
      </c>
      <c r="Q9" s="25">
        <f>J9+N9+O9</f>
        <v>8903.2999999999993</v>
      </c>
      <c r="R9" s="26">
        <f>K9+N9+(K9*17%)</f>
        <v>12759.6</v>
      </c>
      <c r="S9" s="27">
        <f>K9+L9+M9+N9+P9</f>
        <v>16410</v>
      </c>
      <c r="T9" s="25">
        <f>Q9*$V$5</f>
        <v>8280.0689999999995</v>
      </c>
      <c r="U9" s="26">
        <f>R9*$V$5</f>
        <v>11866.428000000002</v>
      </c>
      <c r="V9" s="27">
        <f>S9*$V$5</f>
        <v>15261.300000000001</v>
      </c>
      <c r="W9" s="25">
        <f t="shared" ref="W9:Y9" si="1">Q9*$Y$5</f>
        <v>7656.8379999999988</v>
      </c>
      <c r="X9" s="26">
        <f t="shared" si="1"/>
        <v>10973.255999999999</v>
      </c>
      <c r="Y9" s="27">
        <f t="shared" si="1"/>
        <v>14112.6</v>
      </c>
      <c r="Z9" s="25">
        <f>Q9*$AB$5</f>
        <v>7389.7389999999987</v>
      </c>
      <c r="AA9" s="26">
        <f>R9*$AB$5</f>
        <v>10590.467999999999</v>
      </c>
      <c r="AB9" s="27">
        <f>S9*$AB$5</f>
        <v>13620.3</v>
      </c>
      <c r="AC9" s="25">
        <f>Q9*$AE$5</f>
        <v>6677.4749999999995</v>
      </c>
      <c r="AD9" s="110">
        <f>R9*$AE$5</f>
        <v>9569.7000000000007</v>
      </c>
      <c r="AE9" s="27">
        <f>S9*$AE$5</f>
        <v>12307.5</v>
      </c>
      <c r="AF9" s="25">
        <f>Q9*$AH$5</f>
        <v>6232.3099999999995</v>
      </c>
      <c r="AG9" s="110">
        <f>R9*$AH$5</f>
        <v>8931.7199999999993</v>
      </c>
      <c r="AH9" s="27">
        <f>S9*$AH$5</f>
        <v>11487</v>
      </c>
    </row>
    <row r="10" spans="1:38" s="17" customFormat="1" ht="18" customHeight="1">
      <c r="B10" s="183" t="s">
        <v>833</v>
      </c>
      <c r="C10" s="108">
        <v>5.88</v>
      </c>
      <c r="D10" s="108">
        <v>1.68</v>
      </c>
      <c r="E10" s="109">
        <v>1.44</v>
      </c>
      <c r="F10" s="1605"/>
      <c r="G10" s="1232"/>
      <c r="H10" s="1232"/>
      <c r="I10" s="1232"/>
      <c r="J10" s="1614"/>
      <c r="K10" s="1614"/>
      <c r="L10" s="1614"/>
      <c r="M10" s="1619"/>
      <c r="N10" s="1227"/>
      <c r="O10" s="1614"/>
      <c r="P10" s="2222"/>
      <c r="Q10" s="186">
        <f t="shared" ref="Q10:AH10" si="2">Q9/$F$9</f>
        <v>8.9032999999999998</v>
      </c>
      <c r="R10" s="189">
        <f t="shared" si="2"/>
        <v>12.759600000000001</v>
      </c>
      <c r="S10" s="188">
        <f t="shared" si="2"/>
        <v>16.41</v>
      </c>
      <c r="T10" s="186">
        <f t="shared" si="2"/>
        <v>8.2800689999999992</v>
      </c>
      <c r="U10" s="189">
        <f t="shared" si="2"/>
        <v>11.866428000000001</v>
      </c>
      <c r="V10" s="188">
        <f t="shared" si="2"/>
        <v>15.2613</v>
      </c>
      <c r="W10" s="186">
        <f t="shared" ref="W10:Y10" si="3">W9/$F$7</f>
        <v>7.6568379999999987</v>
      </c>
      <c r="X10" s="189">
        <f t="shared" si="3"/>
        <v>10.973255999999999</v>
      </c>
      <c r="Y10" s="188">
        <f t="shared" si="3"/>
        <v>14.1126</v>
      </c>
      <c r="Z10" s="186">
        <f t="shared" si="2"/>
        <v>7.3897389999999987</v>
      </c>
      <c r="AA10" s="189">
        <f t="shared" si="2"/>
        <v>10.590468</v>
      </c>
      <c r="AB10" s="188">
        <f t="shared" si="2"/>
        <v>13.620299999999999</v>
      </c>
      <c r="AC10" s="186">
        <f t="shared" si="2"/>
        <v>6.6774749999999994</v>
      </c>
      <c r="AD10" s="189">
        <f t="shared" si="2"/>
        <v>9.569700000000001</v>
      </c>
      <c r="AE10" s="188">
        <f t="shared" si="2"/>
        <v>12.307499999999999</v>
      </c>
      <c r="AF10" s="186">
        <f t="shared" si="2"/>
        <v>6.2323099999999991</v>
      </c>
      <c r="AG10" s="190">
        <f t="shared" si="2"/>
        <v>8.9317199999999985</v>
      </c>
      <c r="AH10" s="188">
        <f t="shared" si="2"/>
        <v>11.487</v>
      </c>
    </row>
    <row r="11" spans="1:38" s="17" customFormat="1" ht="18" customHeight="1">
      <c r="B11" s="2224" t="s">
        <v>834</v>
      </c>
      <c r="C11" s="2225"/>
      <c r="D11" s="2225"/>
      <c r="E11" s="2226"/>
      <c r="F11" s="1605">
        <v>1000</v>
      </c>
      <c r="G11" s="1268">
        <f>F11*C12</f>
        <v>3000</v>
      </c>
      <c r="H11" s="1268">
        <f>F11*D12</f>
        <v>720</v>
      </c>
      <c r="I11" s="1268">
        <f>F11*E12</f>
        <v>600</v>
      </c>
      <c r="J11" s="1613">
        <f>G11/12*6</f>
        <v>1500</v>
      </c>
      <c r="K11" s="1613">
        <f>G11</f>
        <v>3000</v>
      </c>
      <c r="L11" s="1613">
        <f>H11</f>
        <v>720</v>
      </c>
      <c r="M11" s="1227">
        <f>I11</f>
        <v>600</v>
      </c>
      <c r="N11" s="1227">
        <f>G11*100%*100%</f>
        <v>3000</v>
      </c>
      <c r="O11" s="1613">
        <f>G11/12*17%</f>
        <v>42.5</v>
      </c>
      <c r="P11" s="2223">
        <f>(K11+L11+M11)*17%</f>
        <v>734.40000000000009</v>
      </c>
      <c r="Q11" s="25">
        <f>J11+N11+O11</f>
        <v>4542.5</v>
      </c>
      <c r="R11" s="26">
        <f>K11+N11+(K11*17%)</f>
        <v>6510</v>
      </c>
      <c r="S11" s="27">
        <f>K11+L11+M11+N11+P11</f>
        <v>8054.4</v>
      </c>
      <c r="T11" s="25">
        <f>Q11*$V$5</f>
        <v>4224.5250000000005</v>
      </c>
      <c r="U11" s="26">
        <f>R11*$V$5</f>
        <v>6054.3</v>
      </c>
      <c r="V11" s="27">
        <f>S11*$V$5</f>
        <v>7490.5919999999996</v>
      </c>
      <c r="W11" s="25">
        <f t="shared" ref="W11:Y11" si="4">Q11*$Y$5</f>
        <v>3906.5499999999997</v>
      </c>
      <c r="X11" s="26">
        <f t="shared" si="4"/>
        <v>5598.6</v>
      </c>
      <c r="Y11" s="27">
        <f t="shared" si="4"/>
        <v>6926.7839999999997</v>
      </c>
      <c r="Z11" s="25">
        <f>Q11*$AB$5</f>
        <v>3770.2749999999996</v>
      </c>
      <c r="AA11" s="26">
        <f>R11*$AB$5</f>
        <v>5403.3</v>
      </c>
      <c r="AB11" s="27">
        <f>S11*$AB$5</f>
        <v>6685.1519999999991</v>
      </c>
      <c r="AC11" s="25">
        <f>Q11*$AE$5</f>
        <v>3406.875</v>
      </c>
      <c r="AD11" s="110">
        <f>R11*$AE$5</f>
        <v>4882.5</v>
      </c>
      <c r="AE11" s="27">
        <f>S11*$AE$5</f>
        <v>6040.7999999999993</v>
      </c>
      <c r="AF11" s="25">
        <f>Q11*$AH$5</f>
        <v>3179.75</v>
      </c>
      <c r="AG11" s="110">
        <f>R11*$AH$5</f>
        <v>4557</v>
      </c>
      <c r="AH11" s="27">
        <f>S11*$AH$5</f>
        <v>5638.079999999999</v>
      </c>
    </row>
    <row r="12" spans="1:38" s="17" customFormat="1" ht="18" customHeight="1">
      <c r="B12" s="111" t="s">
        <v>835</v>
      </c>
      <c r="C12" s="184">
        <v>3</v>
      </c>
      <c r="D12" s="184">
        <v>0.72</v>
      </c>
      <c r="E12" s="185">
        <v>0.6</v>
      </c>
      <c r="F12" s="1605"/>
      <c r="G12" s="1232"/>
      <c r="H12" s="1232"/>
      <c r="I12" s="1232"/>
      <c r="J12" s="1614"/>
      <c r="K12" s="1614"/>
      <c r="L12" s="1614"/>
      <c r="M12" s="1227"/>
      <c r="N12" s="1227"/>
      <c r="O12" s="1614"/>
      <c r="P12" s="2222"/>
      <c r="Q12" s="186">
        <f t="shared" ref="Q12:AH12" si="5">Q11/$F$11</f>
        <v>4.5425000000000004</v>
      </c>
      <c r="R12" s="189">
        <f t="shared" si="5"/>
        <v>6.51</v>
      </c>
      <c r="S12" s="188">
        <f t="shared" si="5"/>
        <v>8.0543999999999993</v>
      </c>
      <c r="T12" s="186">
        <f t="shared" si="5"/>
        <v>4.2245250000000008</v>
      </c>
      <c r="U12" s="189">
        <f t="shared" si="5"/>
        <v>6.0543000000000005</v>
      </c>
      <c r="V12" s="188">
        <f t="shared" si="5"/>
        <v>7.4905919999999995</v>
      </c>
      <c r="W12" s="186">
        <f t="shared" ref="W12:Y12" si="6">W11/$F$7</f>
        <v>3.9065499999999997</v>
      </c>
      <c r="X12" s="189">
        <f t="shared" si="6"/>
        <v>5.5986000000000002</v>
      </c>
      <c r="Y12" s="188">
        <f t="shared" si="6"/>
        <v>6.9267839999999996</v>
      </c>
      <c r="Z12" s="186">
        <f t="shared" si="5"/>
        <v>3.7702749999999998</v>
      </c>
      <c r="AA12" s="189">
        <f t="shared" si="5"/>
        <v>5.4032999999999998</v>
      </c>
      <c r="AB12" s="188">
        <f t="shared" si="5"/>
        <v>6.6851519999999995</v>
      </c>
      <c r="AC12" s="186">
        <f t="shared" si="5"/>
        <v>3.4068749999999999</v>
      </c>
      <c r="AD12" s="189">
        <f t="shared" si="5"/>
        <v>4.8825000000000003</v>
      </c>
      <c r="AE12" s="188">
        <f t="shared" si="5"/>
        <v>6.0407999999999991</v>
      </c>
      <c r="AF12" s="186">
        <f t="shared" si="5"/>
        <v>3.1797499999999999</v>
      </c>
      <c r="AG12" s="190">
        <f t="shared" si="5"/>
        <v>4.5570000000000004</v>
      </c>
      <c r="AH12" s="188">
        <f t="shared" si="5"/>
        <v>5.6380799999999986</v>
      </c>
    </row>
    <row r="13" spans="1:38" s="17" customFormat="1" ht="18" customHeight="1">
      <c r="B13" s="2224" t="s">
        <v>836</v>
      </c>
      <c r="C13" s="2225"/>
      <c r="D13" s="2225"/>
      <c r="E13" s="2226"/>
      <c r="F13" s="1605">
        <v>1000</v>
      </c>
      <c r="G13" s="1268">
        <f>F13*C14</f>
        <v>2520</v>
      </c>
      <c r="H13" s="1268">
        <f>F13*D14</f>
        <v>480</v>
      </c>
      <c r="I13" s="1268">
        <f>F13*E14</f>
        <v>480</v>
      </c>
      <c r="J13" s="1613">
        <f>G13/12*6</f>
        <v>1260</v>
      </c>
      <c r="K13" s="1613">
        <f>G13</f>
        <v>2520</v>
      </c>
      <c r="L13" s="1613">
        <f>H13</f>
        <v>480</v>
      </c>
      <c r="M13" s="1227">
        <f>I13</f>
        <v>480</v>
      </c>
      <c r="N13" s="1234">
        <f>G13*100%*100%</f>
        <v>2520</v>
      </c>
      <c r="O13" s="1613">
        <f>G13/12*17%</f>
        <v>35.700000000000003</v>
      </c>
      <c r="P13" s="2223">
        <f>(K13+L13+M13)*17%</f>
        <v>591.6</v>
      </c>
      <c r="Q13" s="25">
        <f>J13+N13+O13</f>
        <v>3815.7</v>
      </c>
      <c r="R13" s="26">
        <f>K13+N13+(K13*17%)</f>
        <v>5468.4</v>
      </c>
      <c r="S13" s="27">
        <f>K13+L13+M13+N13+P13</f>
        <v>6591.6</v>
      </c>
      <c r="T13" s="25">
        <f>Q13*$V$5</f>
        <v>3548.6010000000001</v>
      </c>
      <c r="U13" s="26">
        <f>R13*$V$5</f>
        <v>5085.6120000000001</v>
      </c>
      <c r="V13" s="27">
        <f>S13*$V$5</f>
        <v>6130.188000000001</v>
      </c>
      <c r="W13" s="25">
        <f t="shared" ref="W13:Y13" si="7">Q13*$Y$5</f>
        <v>3281.502</v>
      </c>
      <c r="X13" s="26">
        <f t="shared" si="7"/>
        <v>4702.8239999999996</v>
      </c>
      <c r="Y13" s="27">
        <f t="shared" si="7"/>
        <v>5668.7759999999998</v>
      </c>
      <c r="Z13" s="25">
        <f>Q13*$AB$5</f>
        <v>3167.0309999999995</v>
      </c>
      <c r="AA13" s="26">
        <f>R13*$AB$5</f>
        <v>4538.771999999999</v>
      </c>
      <c r="AB13" s="27">
        <f>S13*$AB$5</f>
        <v>5471.0280000000002</v>
      </c>
      <c r="AC13" s="25">
        <f>Q13*$AE$5</f>
        <v>2861.7749999999996</v>
      </c>
      <c r="AD13" s="110">
        <f>R13*$AE$5</f>
        <v>4101.2999999999993</v>
      </c>
      <c r="AE13" s="27">
        <f>S13*$AE$5</f>
        <v>4943.7000000000007</v>
      </c>
      <c r="AF13" s="25">
        <f>Q13*$AH$5</f>
        <v>2670.99</v>
      </c>
      <c r="AG13" s="110">
        <f>R13*$AH$5</f>
        <v>3827.8799999999997</v>
      </c>
      <c r="AH13" s="27">
        <f>S13*$AH$5</f>
        <v>4614.12</v>
      </c>
    </row>
    <row r="14" spans="1:38" s="17" customFormat="1" ht="18" customHeight="1">
      <c r="B14" s="111" t="s">
        <v>837</v>
      </c>
      <c r="C14" s="184">
        <v>2.52</v>
      </c>
      <c r="D14" s="184">
        <v>0.48</v>
      </c>
      <c r="E14" s="185">
        <v>0.48</v>
      </c>
      <c r="F14" s="1605"/>
      <c r="G14" s="1232"/>
      <c r="H14" s="1232"/>
      <c r="I14" s="1232"/>
      <c r="J14" s="1614"/>
      <c r="K14" s="1614"/>
      <c r="L14" s="1614"/>
      <c r="M14" s="1227"/>
      <c r="N14" s="1232"/>
      <c r="O14" s="1614"/>
      <c r="P14" s="2222"/>
      <c r="Q14" s="186">
        <f t="shared" ref="Q14:AH14" si="8">Q13/$F$13</f>
        <v>3.8156999999999996</v>
      </c>
      <c r="R14" s="189">
        <f t="shared" si="8"/>
        <v>5.4683999999999999</v>
      </c>
      <c r="S14" s="188">
        <f t="shared" si="8"/>
        <v>6.5916000000000006</v>
      </c>
      <c r="T14" s="186">
        <f t="shared" si="8"/>
        <v>3.5486010000000001</v>
      </c>
      <c r="U14" s="189">
        <f t="shared" si="8"/>
        <v>5.0856120000000002</v>
      </c>
      <c r="V14" s="188">
        <f t="shared" si="8"/>
        <v>6.1301880000000013</v>
      </c>
      <c r="W14" s="186">
        <f t="shared" ref="W14:Y14" si="9">W13/$F$7</f>
        <v>3.2815020000000001</v>
      </c>
      <c r="X14" s="189">
        <f t="shared" si="9"/>
        <v>4.7028239999999997</v>
      </c>
      <c r="Y14" s="188">
        <f t="shared" si="9"/>
        <v>5.6687760000000003</v>
      </c>
      <c r="Z14" s="186">
        <f t="shared" si="8"/>
        <v>3.1670309999999997</v>
      </c>
      <c r="AA14" s="189">
        <f t="shared" si="8"/>
        <v>4.5387719999999989</v>
      </c>
      <c r="AB14" s="188">
        <f t="shared" si="8"/>
        <v>5.4710280000000004</v>
      </c>
      <c r="AC14" s="186">
        <f t="shared" si="8"/>
        <v>2.8617749999999997</v>
      </c>
      <c r="AD14" s="189">
        <f t="shared" si="8"/>
        <v>4.1012999999999993</v>
      </c>
      <c r="AE14" s="188">
        <f t="shared" si="8"/>
        <v>4.9437000000000006</v>
      </c>
      <c r="AF14" s="186">
        <f t="shared" si="8"/>
        <v>2.6709899999999998</v>
      </c>
      <c r="AG14" s="190">
        <f t="shared" si="8"/>
        <v>3.8278799999999995</v>
      </c>
      <c r="AH14" s="188">
        <f t="shared" si="8"/>
        <v>4.6141199999999998</v>
      </c>
    </row>
    <row r="15" spans="1:38" s="17" customFormat="1" ht="18" customHeight="1">
      <c r="B15" s="2224" t="s">
        <v>838</v>
      </c>
      <c r="C15" s="2225"/>
      <c r="D15" s="2225"/>
      <c r="E15" s="2226"/>
      <c r="F15" s="1605">
        <v>100000</v>
      </c>
      <c r="G15" s="1227" t="s">
        <v>839</v>
      </c>
      <c r="H15" s="1227" t="s">
        <v>839</v>
      </c>
      <c r="I15" s="1227" t="s">
        <v>839</v>
      </c>
      <c r="J15" s="1619" t="s">
        <v>839</v>
      </c>
      <c r="K15" s="1619">
        <f>C16*F15</f>
        <v>4000</v>
      </c>
      <c r="L15" s="1619" t="s">
        <v>839</v>
      </c>
      <c r="M15" s="1619" t="s">
        <v>839</v>
      </c>
      <c r="N15" s="1227" t="s">
        <v>839</v>
      </c>
      <c r="O15" s="1619" t="s">
        <v>840</v>
      </c>
      <c r="P15" s="2228" t="s">
        <v>840</v>
      </c>
      <c r="Q15" s="25">
        <f>K15</f>
        <v>4000</v>
      </c>
      <c r="R15" s="26">
        <f>K15</f>
        <v>4000</v>
      </c>
      <c r="S15" s="27">
        <f>K15</f>
        <v>4000</v>
      </c>
      <c r="T15" s="25">
        <f>Q15*$V$5</f>
        <v>3720</v>
      </c>
      <c r="U15" s="26">
        <f>R15*$V$5</f>
        <v>3720</v>
      </c>
      <c r="V15" s="27">
        <f>S15*$V$5</f>
        <v>3720</v>
      </c>
      <c r="W15" s="25">
        <f t="shared" ref="W15:Y15" si="10">Q15*$Y$5</f>
        <v>3440</v>
      </c>
      <c r="X15" s="26">
        <f t="shared" si="10"/>
        <v>3440</v>
      </c>
      <c r="Y15" s="27">
        <f t="shared" si="10"/>
        <v>3440</v>
      </c>
      <c r="Z15" s="25">
        <f>Q15*$AB$5</f>
        <v>3320</v>
      </c>
      <c r="AA15" s="26">
        <f>R15*$AB$5</f>
        <v>3320</v>
      </c>
      <c r="AB15" s="27">
        <f>S15*$AB$5</f>
        <v>3320</v>
      </c>
      <c r="AC15" s="25">
        <f>Q15*$AE$5</f>
        <v>3000</v>
      </c>
      <c r="AD15" s="110">
        <f>R15*$AE$5</f>
        <v>3000</v>
      </c>
      <c r="AE15" s="27">
        <f>S15*$AE$5</f>
        <v>3000</v>
      </c>
      <c r="AF15" s="25">
        <f>Q15*$AH$5</f>
        <v>2800</v>
      </c>
      <c r="AG15" s="110">
        <f>R15*$AH$5</f>
        <v>2800</v>
      </c>
      <c r="AH15" s="27">
        <f>S15*$AH$5</f>
        <v>2800</v>
      </c>
    </row>
    <row r="16" spans="1:38" s="17" customFormat="1" ht="18" customHeight="1" thickBot="1">
      <c r="B16" s="438" t="s">
        <v>841</v>
      </c>
      <c r="C16" s="443">
        <v>0.04</v>
      </c>
      <c r="D16" s="443" t="s">
        <v>313</v>
      </c>
      <c r="E16" s="202" t="s">
        <v>313</v>
      </c>
      <c r="F16" s="2227"/>
      <c r="G16" s="1233"/>
      <c r="H16" s="1233"/>
      <c r="I16" s="1233"/>
      <c r="J16" s="2230"/>
      <c r="K16" s="2230"/>
      <c r="L16" s="2230"/>
      <c r="M16" s="2230"/>
      <c r="N16" s="1233"/>
      <c r="O16" s="2230"/>
      <c r="P16" s="2229"/>
      <c r="Q16" s="174">
        <f t="shared" ref="Q16:AH16" si="11">Q15/$F$15</f>
        <v>0.04</v>
      </c>
      <c r="R16" s="175">
        <f t="shared" si="11"/>
        <v>0.04</v>
      </c>
      <c r="S16" s="176">
        <f t="shared" si="11"/>
        <v>0.04</v>
      </c>
      <c r="T16" s="174">
        <f t="shared" si="11"/>
        <v>3.7199999999999997E-2</v>
      </c>
      <c r="U16" s="175">
        <f t="shared" si="11"/>
        <v>3.7199999999999997E-2</v>
      </c>
      <c r="V16" s="176">
        <f t="shared" si="11"/>
        <v>3.7199999999999997E-2</v>
      </c>
      <c r="W16" s="174">
        <f t="shared" ref="W16:Y16" si="12">W15/$F$7</f>
        <v>3.44</v>
      </c>
      <c r="X16" s="175">
        <f t="shared" si="12"/>
        <v>3.44</v>
      </c>
      <c r="Y16" s="176">
        <f t="shared" si="12"/>
        <v>3.44</v>
      </c>
      <c r="Z16" s="174">
        <f t="shared" si="11"/>
        <v>3.32E-2</v>
      </c>
      <c r="AA16" s="175">
        <f t="shared" si="11"/>
        <v>3.32E-2</v>
      </c>
      <c r="AB16" s="176">
        <f t="shared" si="11"/>
        <v>3.32E-2</v>
      </c>
      <c r="AC16" s="174">
        <f t="shared" si="11"/>
        <v>0.03</v>
      </c>
      <c r="AD16" s="175">
        <f t="shared" si="11"/>
        <v>0.03</v>
      </c>
      <c r="AE16" s="176">
        <f t="shared" si="11"/>
        <v>0.03</v>
      </c>
      <c r="AF16" s="174">
        <f t="shared" si="11"/>
        <v>2.8000000000000001E-2</v>
      </c>
      <c r="AG16" s="194">
        <f t="shared" si="11"/>
        <v>2.8000000000000001E-2</v>
      </c>
      <c r="AH16" s="176">
        <f t="shared" si="11"/>
        <v>2.8000000000000001E-2</v>
      </c>
    </row>
    <row r="17" spans="2:28" s="17" customFormat="1" ht="18" customHeight="1">
      <c r="B17" s="28"/>
      <c r="C17" s="28"/>
      <c r="D17" s="28"/>
      <c r="E17" s="28"/>
      <c r="F17" s="28"/>
      <c r="G17" s="28"/>
      <c r="H17" s="29"/>
      <c r="I17" s="29"/>
      <c r="J17" s="29"/>
      <c r="K17" s="29"/>
      <c r="L17" s="29"/>
      <c r="M17" s="29"/>
      <c r="N17" s="29"/>
      <c r="O17" s="29"/>
      <c r="P17" s="29"/>
      <c r="Q17" s="29"/>
      <c r="R17" s="29"/>
      <c r="S17" s="29"/>
      <c r="T17" s="29"/>
      <c r="U17" s="29"/>
      <c r="V17" s="29"/>
      <c r="W17" s="29"/>
      <c r="X17" s="29"/>
      <c r="Y17" s="29"/>
      <c r="Z17" s="29"/>
      <c r="AA17" s="29"/>
      <c r="AB17" s="29"/>
    </row>
    <row r="18" spans="2:28" s="79" customFormat="1" ht="18" customHeight="1">
      <c r="B18" s="77" t="s">
        <v>426</v>
      </c>
      <c r="C18" s="78"/>
      <c r="D18" s="78"/>
      <c r="E18" s="78"/>
      <c r="F18" s="78"/>
    </row>
    <row r="19" spans="2:28" s="79" customFormat="1" ht="18" customHeight="1">
      <c r="B19" s="79" t="s">
        <v>305</v>
      </c>
      <c r="C19" s="77"/>
      <c r="D19" s="77"/>
      <c r="E19" s="78"/>
      <c r="F19" s="78"/>
      <c r="G19" s="78"/>
      <c r="H19" s="78"/>
    </row>
    <row r="20" spans="2:28" s="79" customFormat="1" ht="18" customHeight="1">
      <c r="B20" s="80" t="s">
        <v>842</v>
      </c>
      <c r="C20" s="77"/>
      <c r="D20" s="77"/>
      <c r="E20" s="78"/>
      <c r="F20" s="78"/>
      <c r="G20" s="78"/>
      <c r="H20" s="78"/>
      <c r="O20" s="112"/>
    </row>
    <row r="21" spans="2:28" s="50" customFormat="1" ht="18" customHeight="1">
      <c r="B21" s="50" t="s">
        <v>427</v>
      </c>
      <c r="C21" s="48"/>
      <c r="D21" s="48"/>
      <c r="E21" s="48"/>
      <c r="F21" s="48"/>
    </row>
    <row r="22" spans="2:28" s="50" customFormat="1" ht="18" customHeight="1">
      <c r="B22" s="50" t="s">
        <v>1720</v>
      </c>
      <c r="C22" s="48"/>
      <c r="D22" s="48"/>
      <c r="E22" s="48"/>
      <c r="F22" s="48"/>
    </row>
    <row r="23" spans="2:28" s="79" customFormat="1" ht="18" customHeight="1">
      <c r="B23" s="79" t="s">
        <v>843</v>
      </c>
      <c r="C23" s="78"/>
      <c r="D23" s="78"/>
      <c r="E23" s="78"/>
      <c r="F23" s="78"/>
      <c r="G23" s="78"/>
      <c r="H23" s="78"/>
    </row>
    <row r="24" spans="2:28" s="79" customFormat="1" ht="18" customHeight="1">
      <c r="B24" s="79" t="s">
        <v>428</v>
      </c>
      <c r="C24" s="78"/>
      <c r="D24" s="78"/>
      <c r="E24" s="78"/>
      <c r="F24" s="78"/>
      <c r="G24" s="78"/>
      <c r="H24" s="78"/>
    </row>
    <row r="25" spans="2:28" s="79" customFormat="1" ht="18" customHeight="1">
      <c r="B25" s="79" t="s">
        <v>429</v>
      </c>
      <c r="C25" s="78"/>
      <c r="D25" s="78"/>
      <c r="E25" s="78"/>
      <c r="F25" s="78"/>
    </row>
    <row r="26" spans="2:28" s="79" customFormat="1" ht="18" customHeight="1">
      <c r="B26" s="79" t="s">
        <v>844</v>
      </c>
      <c r="C26" s="78"/>
      <c r="D26" s="78"/>
      <c r="E26" s="78"/>
      <c r="F26" s="78"/>
    </row>
    <row r="27" spans="2:28" s="79" customFormat="1" ht="18" customHeight="1">
      <c r="B27" s="79" t="s">
        <v>845</v>
      </c>
      <c r="C27" s="78"/>
      <c r="D27" s="78"/>
      <c r="E27" s="78"/>
      <c r="F27" s="78"/>
      <c r="G27" s="78"/>
      <c r="H27" s="78"/>
    </row>
    <row r="28" spans="2:28" s="79" customFormat="1" ht="18" customHeight="1">
      <c r="B28" s="80" t="s">
        <v>248</v>
      </c>
      <c r="C28" s="78"/>
      <c r="D28" s="78"/>
      <c r="E28" s="78"/>
      <c r="F28" s="78"/>
      <c r="G28" s="78"/>
      <c r="H28" s="78"/>
    </row>
    <row r="29" spans="2:28" s="18" customFormat="1" ht="18" customHeight="1"/>
  </sheetData>
  <mergeCells count="73">
    <mergeCell ref="P15:P16"/>
    <mergeCell ref="J15:J16"/>
    <mergeCell ref="K15:K16"/>
    <mergeCell ref="L15:L16"/>
    <mergeCell ref="M15:M16"/>
    <mergeCell ref="N15:N16"/>
    <mergeCell ref="O15:O16"/>
    <mergeCell ref="B15:E15"/>
    <mergeCell ref="F15:F16"/>
    <mergeCell ref="G15:G16"/>
    <mergeCell ref="H15:H16"/>
    <mergeCell ref="I15:I16"/>
    <mergeCell ref="N11:N12"/>
    <mergeCell ref="O11:O12"/>
    <mergeCell ref="P11:P12"/>
    <mergeCell ref="B13:E13"/>
    <mergeCell ref="F13:F14"/>
    <mergeCell ref="G13:G14"/>
    <mergeCell ref="H13:H14"/>
    <mergeCell ref="I13:I14"/>
    <mergeCell ref="J13:J14"/>
    <mergeCell ref="K13:K14"/>
    <mergeCell ref="L13:L14"/>
    <mergeCell ref="M13:M14"/>
    <mergeCell ref="N13:N14"/>
    <mergeCell ref="O13:O14"/>
    <mergeCell ref="P13:P14"/>
    <mergeCell ref="P9:P10"/>
    <mergeCell ref="B11:E11"/>
    <mergeCell ref="F11:F12"/>
    <mergeCell ref="G11:G12"/>
    <mergeCell ref="H11:H12"/>
    <mergeCell ref="I11:I12"/>
    <mergeCell ref="J11:J12"/>
    <mergeCell ref="K11:K12"/>
    <mergeCell ref="L11:L12"/>
    <mergeCell ref="M11:M12"/>
    <mergeCell ref="J9:J10"/>
    <mergeCell ref="K9:K10"/>
    <mergeCell ref="L9:L10"/>
    <mergeCell ref="M9:M10"/>
    <mergeCell ref="N9:N10"/>
    <mergeCell ref="O9:O10"/>
    <mergeCell ref="L7:L8"/>
    <mergeCell ref="M7:M8"/>
    <mergeCell ref="N7:N8"/>
    <mergeCell ref="O7:O8"/>
    <mergeCell ref="P7:P8"/>
    <mergeCell ref="J7:J8"/>
    <mergeCell ref="K7:K8"/>
    <mergeCell ref="B9:E9"/>
    <mergeCell ref="F9:F10"/>
    <mergeCell ref="G9:G10"/>
    <mergeCell ref="H9:H10"/>
    <mergeCell ref="I9:I10"/>
    <mergeCell ref="B7:E7"/>
    <mergeCell ref="F7:F8"/>
    <mergeCell ref="G7:G8"/>
    <mergeCell ref="H7:H8"/>
    <mergeCell ref="I7:I8"/>
    <mergeCell ref="B1:AH1"/>
    <mergeCell ref="B5:E5"/>
    <mergeCell ref="F5:F6"/>
    <mergeCell ref="G5:I5"/>
    <mergeCell ref="J5:M5"/>
    <mergeCell ref="N5:N6"/>
    <mergeCell ref="O5:P5"/>
    <mergeCell ref="Q5:S5"/>
    <mergeCell ref="T5:U5"/>
    <mergeCell ref="W5:X5"/>
    <mergeCell ref="Z5:AA5"/>
    <mergeCell ref="AC5:AD5"/>
    <mergeCell ref="AF5:AG5"/>
  </mergeCells>
  <phoneticPr fontId="99" type="noConversion"/>
  <pageMargins left="0.31496062992125984" right="0.31496062992125984" top="0.31496062992125984" bottom="0.31496062992125984" header="0" footer="0"/>
  <pageSetup paperSize="9" scale="5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B1:T35"/>
  <sheetViews>
    <sheetView zoomScaleNormal="100" workbookViewId="0">
      <pane ySplit="1" topLeftCell="A2" activePane="bottomLeft" state="frozen"/>
      <selection pane="bottomLeft"/>
    </sheetView>
  </sheetViews>
  <sheetFormatPr defaultColWidth="11" defaultRowHeight="18" customHeight="1"/>
  <cols>
    <col min="1" max="1" width="0.75" style="73" customWidth="1"/>
    <col min="2" max="3" width="11" style="73"/>
    <col min="4" max="7" width="9.75" style="73" customWidth="1"/>
    <col min="8" max="9" width="12.875" style="73" customWidth="1"/>
    <col min="10" max="12" width="11" style="73"/>
    <col min="13" max="13" width="11.625" style="73" customWidth="1"/>
    <col min="14" max="15" width="11" style="73"/>
    <col min="16" max="16" width="12.625" style="73" customWidth="1"/>
    <col min="17" max="16384" width="11" style="73"/>
  </cols>
  <sheetData>
    <row r="1" spans="2:20" s="66" customFormat="1" ht="30" customHeight="1" thickBot="1">
      <c r="B1" s="1140" t="s">
        <v>1738</v>
      </c>
      <c r="C1" s="1140"/>
      <c r="D1" s="1140"/>
      <c r="E1" s="1140"/>
      <c r="F1" s="1140"/>
      <c r="G1" s="1140"/>
      <c r="H1" s="1140"/>
      <c r="I1" s="1140"/>
      <c r="J1" s="1140"/>
      <c r="K1" s="1140"/>
      <c r="L1" s="1140"/>
      <c r="M1" s="1140"/>
      <c r="N1" s="1140"/>
      <c r="O1" s="1140"/>
      <c r="P1" s="1140"/>
    </row>
    <row r="2" spans="2:20" s="68" customFormat="1" ht="20.100000000000001" customHeight="1" thickTop="1">
      <c r="B2" s="67"/>
      <c r="C2" s="67"/>
      <c r="D2" s="67"/>
      <c r="G2" s="69"/>
      <c r="H2" s="69"/>
      <c r="I2" s="69"/>
      <c r="J2" s="69"/>
    </row>
    <row r="3" spans="2:20" s="69" customFormat="1" ht="20.100000000000001" customHeight="1" thickBot="1">
      <c r="B3" s="52" t="s">
        <v>497</v>
      </c>
      <c r="C3" s="70"/>
      <c r="D3" s="68"/>
      <c r="F3" s="68"/>
      <c r="K3" s="68"/>
    </row>
    <row r="4" spans="2:20" s="69" customFormat="1" ht="20.100000000000001" customHeight="1">
      <c r="B4" s="1201" t="s">
        <v>498</v>
      </c>
      <c r="C4" s="1394"/>
      <c r="D4" s="1397" t="s">
        <v>499</v>
      </c>
      <c r="E4" s="1202"/>
      <c r="F4" s="1202"/>
      <c r="G4" s="1202"/>
      <c r="H4" s="1202"/>
      <c r="I4" s="1202"/>
      <c r="J4" s="1202"/>
      <c r="K4" s="1202"/>
      <c r="L4" s="1202"/>
      <c r="M4" s="1202"/>
      <c r="N4" s="1202" t="s">
        <v>500</v>
      </c>
      <c r="O4" s="1202"/>
      <c r="P4" s="1394"/>
    </row>
    <row r="5" spans="2:20" s="69" customFormat="1" ht="20.100000000000001" customHeight="1">
      <c r="B5" s="1203" t="s">
        <v>501</v>
      </c>
      <c r="C5" s="2277"/>
      <c r="D5" s="2278" t="s">
        <v>502</v>
      </c>
      <c r="E5" s="2279"/>
      <c r="F5" s="2279"/>
      <c r="G5" s="2279"/>
      <c r="H5" s="2279"/>
      <c r="I5" s="2279"/>
      <c r="J5" s="2279"/>
      <c r="K5" s="2279"/>
      <c r="L5" s="2279"/>
      <c r="M5" s="2279"/>
      <c r="N5" s="1170"/>
      <c r="O5" s="1170"/>
      <c r="P5" s="1171"/>
    </row>
    <row r="6" spans="2:20" s="69" customFormat="1" ht="20.100000000000001" customHeight="1">
      <c r="B6" s="1203" t="s">
        <v>503</v>
      </c>
      <c r="C6" s="2277"/>
      <c r="D6" s="2278" t="s">
        <v>504</v>
      </c>
      <c r="E6" s="2279"/>
      <c r="F6" s="2279"/>
      <c r="G6" s="2279"/>
      <c r="H6" s="2279"/>
      <c r="I6" s="2279"/>
      <c r="J6" s="2279"/>
      <c r="K6" s="2279"/>
      <c r="L6" s="2279"/>
      <c r="M6" s="2279"/>
      <c r="N6" s="1170"/>
      <c r="O6" s="1170"/>
      <c r="P6" s="1171"/>
    </row>
    <row r="7" spans="2:20" s="69" customFormat="1" ht="20.100000000000001" customHeight="1">
      <c r="B7" s="1203" t="s">
        <v>505</v>
      </c>
      <c r="C7" s="2277"/>
      <c r="D7" s="2278" t="s">
        <v>506</v>
      </c>
      <c r="E7" s="2279"/>
      <c r="F7" s="2279"/>
      <c r="G7" s="2279"/>
      <c r="H7" s="2279"/>
      <c r="I7" s="2279"/>
      <c r="J7" s="2279"/>
      <c r="K7" s="2279"/>
      <c r="L7" s="2279"/>
      <c r="M7" s="2279"/>
      <c r="N7" s="1170"/>
      <c r="O7" s="1170"/>
      <c r="P7" s="1171"/>
    </row>
    <row r="8" spans="2:20" s="69" customFormat="1" ht="20.100000000000001" customHeight="1" thickBot="1">
      <c r="B8" s="1400" t="s">
        <v>507</v>
      </c>
      <c r="C8" s="1401"/>
      <c r="D8" s="1404" t="s">
        <v>508</v>
      </c>
      <c r="E8" s="2276"/>
      <c r="F8" s="2276"/>
      <c r="G8" s="2276"/>
      <c r="H8" s="2276"/>
      <c r="I8" s="2276"/>
      <c r="J8" s="2276"/>
      <c r="K8" s="2276"/>
      <c r="L8" s="2276"/>
      <c r="M8" s="2276"/>
      <c r="N8" s="1302"/>
      <c r="O8" s="1302"/>
      <c r="P8" s="1303"/>
    </row>
    <row r="9" spans="2:20" s="69" customFormat="1" ht="20.100000000000001" customHeight="1">
      <c r="D9" s="68"/>
      <c r="F9" s="68"/>
      <c r="K9" s="68"/>
    </row>
    <row r="10" spans="2:20" s="69" customFormat="1" ht="20.100000000000001" customHeight="1" thickBot="1">
      <c r="B10" s="52" t="s">
        <v>509</v>
      </c>
      <c r="C10" s="70"/>
      <c r="D10" s="68"/>
      <c r="F10" s="68"/>
      <c r="K10" s="68"/>
    </row>
    <row r="11" spans="2:20" s="69" customFormat="1" ht="20.100000000000001" customHeight="1">
      <c r="B11" s="1201" t="s">
        <v>498</v>
      </c>
      <c r="C11" s="1394"/>
      <c r="D11" s="1397" t="s">
        <v>499</v>
      </c>
      <c r="E11" s="1202"/>
      <c r="F11" s="1202"/>
      <c r="G11" s="1202"/>
      <c r="H11" s="1202"/>
      <c r="I11" s="1202"/>
      <c r="J11" s="1202"/>
      <c r="K11" s="1202"/>
      <c r="L11" s="1202"/>
      <c r="M11" s="1202"/>
      <c r="N11" s="1202" t="s">
        <v>500</v>
      </c>
      <c r="O11" s="1202"/>
      <c r="P11" s="1394"/>
    </row>
    <row r="12" spans="2:20" s="69" customFormat="1" ht="20.100000000000001" customHeight="1">
      <c r="B12" s="2265" t="s">
        <v>510</v>
      </c>
      <c r="C12" s="2266"/>
      <c r="D12" s="2269" t="s">
        <v>511</v>
      </c>
      <c r="E12" s="2249"/>
      <c r="F12" s="2249"/>
      <c r="G12" s="2249"/>
      <c r="H12" s="2249"/>
      <c r="I12" s="2249"/>
      <c r="J12" s="2249"/>
      <c r="K12" s="2249"/>
      <c r="L12" s="2249"/>
      <c r="M12" s="2262"/>
      <c r="N12" s="2270" t="s">
        <v>613</v>
      </c>
      <c r="O12" s="2271"/>
      <c r="P12" s="2272"/>
      <c r="S12" s="50"/>
    </row>
    <row r="13" spans="2:20" s="69" customFormat="1" ht="23.25" customHeight="1" thickBot="1">
      <c r="B13" s="2267"/>
      <c r="C13" s="2268"/>
      <c r="D13" s="1415"/>
      <c r="E13" s="1416"/>
      <c r="F13" s="1416"/>
      <c r="G13" s="1416"/>
      <c r="H13" s="1416"/>
      <c r="I13" s="1416"/>
      <c r="J13" s="1416"/>
      <c r="K13" s="1416"/>
      <c r="L13" s="1416"/>
      <c r="M13" s="1417"/>
      <c r="N13" s="2273"/>
      <c r="O13" s="2274"/>
      <c r="P13" s="2275"/>
    </row>
    <row r="14" spans="2:20" s="69" customFormat="1" ht="20.100000000000001" customHeight="1">
      <c r="B14" s="337"/>
      <c r="C14" s="337"/>
      <c r="D14" s="337"/>
      <c r="E14" s="337"/>
      <c r="F14" s="689"/>
      <c r="G14" s="337"/>
      <c r="H14" s="337"/>
      <c r="I14" s="337"/>
      <c r="J14" s="337"/>
      <c r="K14" s="689"/>
      <c r="L14" s="337"/>
      <c r="M14" s="337"/>
      <c r="N14" s="337"/>
      <c r="O14" s="337"/>
      <c r="P14" s="337"/>
      <c r="R14" s="68"/>
      <c r="S14" s="68"/>
      <c r="T14" s="68"/>
    </row>
    <row r="15" spans="2:20" s="68" customFormat="1" ht="20.100000000000001" customHeight="1" thickBot="1">
      <c r="B15" s="70" t="s">
        <v>512</v>
      </c>
      <c r="C15" s="338"/>
      <c r="D15" s="337"/>
      <c r="G15" s="69"/>
      <c r="H15" s="69"/>
      <c r="I15" s="69"/>
      <c r="J15" s="69"/>
    </row>
    <row r="16" spans="2:20" s="68" customFormat="1" ht="20.100000000000001" customHeight="1">
      <c r="B16" s="1419" t="s">
        <v>498</v>
      </c>
      <c r="C16" s="1420"/>
      <c r="D16" s="1424" t="s">
        <v>513</v>
      </c>
      <c r="E16" s="1640"/>
      <c r="F16" s="1640"/>
      <c r="G16" s="1640"/>
      <c r="H16" s="1640"/>
      <c r="I16" s="1640"/>
      <c r="J16" s="1640" t="s">
        <v>514</v>
      </c>
      <c r="K16" s="1640"/>
      <c r="L16" s="1640"/>
      <c r="M16" s="1640"/>
      <c r="N16" s="1640"/>
      <c r="O16" s="1640"/>
      <c r="P16" s="677" t="s">
        <v>515</v>
      </c>
    </row>
    <row r="17" spans="2:19" s="68" customFormat="1" ht="18" customHeight="1">
      <c r="B17" s="2258" t="s">
        <v>516</v>
      </c>
      <c r="C17" s="2259"/>
      <c r="D17" s="2260" t="s">
        <v>517</v>
      </c>
      <c r="E17" s="1516"/>
      <c r="F17" s="1516"/>
      <c r="G17" s="1516"/>
      <c r="H17" s="1516"/>
      <c r="I17" s="1564"/>
      <c r="J17" s="1170" t="s">
        <v>518</v>
      </c>
      <c r="K17" s="1170"/>
      <c r="L17" s="1170"/>
      <c r="M17" s="1170"/>
      <c r="N17" s="1170"/>
      <c r="O17" s="1170"/>
      <c r="P17" s="680" t="s">
        <v>519</v>
      </c>
      <c r="Q17" s="142"/>
    </row>
    <row r="18" spans="2:19" s="68" customFormat="1" ht="18" customHeight="1" thickBot="1">
      <c r="B18" s="2231" t="s">
        <v>520</v>
      </c>
      <c r="C18" s="2232"/>
      <c r="D18" s="2261" t="s">
        <v>521</v>
      </c>
      <c r="E18" s="1406"/>
      <c r="F18" s="1406"/>
      <c r="G18" s="1406"/>
      <c r="H18" s="1406"/>
      <c r="I18" s="2211"/>
      <c r="J18" s="2249" t="s">
        <v>522</v>
      </c>
      <c r="K18" s="2249"/>
      <c r="L18" s="2249"/>
      <c r="M18" s="2249"/>
      <c r="N18" s="2249"/>
      <c r="O18" s="2262"/>
      <c r="P18" s="2254" t="s">
        <v>523</v>
      </c>
      <c r="Q18" s="142"/>
    </row>
    <row r="19" spans="2:19" s="68" customFormat="1" ht="18" customHeight="1">
      <c r="B19" s="1456"/>
      <c r="C19" s="1457"/>
      <c r="D19" s="1182" t="s">
        <v>524</v>
      </c>
      <c r="E19" s="1183"/>
      <c r="F19" s="687" t="s">
        <v>525</v>
      </c>
      <c r="G19" s="687" t="s">
        <v>526</v>
      </c>
      <c r="H19" s="687" t="s">
        <v>527</v>
      </c>
      <c r="I19" s="686" t="s">
        <v>528</v>
      </c>
      <c r="J19" s="1413"/>
      <c r="K19" s="1413"/>
      <c r="L19" s="1413"/>
      <c r="M19" s="1413"/>
      <c r="N19" s="1413"/>
      <c r="O19" s="1414"/>
      <c r="P19" s="2255"/>
      <c r="Q19" s="142"/>
    </row>
    <row r="20" spans="2:19" s="68" customFormat="1" ht="18" customHeight="1">
      <c r="B20" s="1456"/>
      <c r="C20" s="1457"/>
      <c r="D20" s="1184" t="s">
        <v>529</v>
      </c>
      <c r="E20" s="1185"/>
      <c r="F20" s="339">
        <v>0.25</v>
      </c>
      <c r="G20" s="339">
        <v>0.2</v>
      </c>
      <c r="H20" s="339">
        <v>0.18</v>
      </c>
      <c r="I20" s="2254" t="s">
        <v>530</v>
      </c>
      <c r="J20" s="1413"/>
      <c r="K20" s="1413"/>
      <c r="L20" s="1413"/>
      <c r="M20" s="1413"/>
      <c r="N20" s="1413"/>
      <c r="O20" s="1414"/>
      <c r="P20" s="2255"/>
      <c r="Q20" s="142"/>
    </row>
    <row r="21" spans="2:19" s="68" customFormat="1" ht="18" customHeight="1">
      <c r="B21" s="1456"/>
      <c r="C21" s="1457"/>
      <c r="D21" s="1184" t="s">
        <v>531</v>
      </c>
      <c r="E21" s="1185"/>
      <c r="F21" s="340">
        <v>5.5E-2</v>
      </c>
      <c r="G21" s="340">
        <v>5.5E-2</v>
      </c>
      <c r="H21" s="340">
        <v>5.5E-2</v>
      </c>
      <c r="I21" s="2255"/>
      <c r="J21" s="1413"/>
      <c r="K21" s="1413"/>
      <c r="L21" s="1413"/>
      <c r="M21" s="1413"/>
      <c r="N21" s="1413"/>
      <c r="O21" s="1414"/>
      <c r="P21" s="2255"/>
      <c r="Q21" s="142"/>
    </row>
    <row r="22" spans="2:19" s="68" customFormat="1" ht="18" customHeight="1" thickBot="1">
      <c r="B22" s="1447"/>
      <c r="C22" s="2245"/>
      <c r="D22" s="1186" t="s">
        <v>532</v>
      </c>
      <c r="E22" s="1187"/>
      <c r="F22" s="562">
        <v>5.5E-2</v>
      </c>
      <c r="G22" s="562">
        <v>5.5E-2</v>
      </c>
      <c r="H22" s="562">
        <v>5.5E-2</v>
      </c>
      <c r="I22" s="2257"/>
      <c r="J22" s="2263"/>
      <c r="K22" s="2263"/>
      <c r="L22" s="2263"/>
      <c r="M22" s="2263"/>
      <c r="N22" s="2263"/>
      <c r="O22" s="2264"/>
      <c r="P22" s="2256"/>
      <c r="Q22" s="142"/>
    </row>
    <row r="23" spans="2:19" s="68" customFormat="1" ht="18" customHeight="1" thickBot="1">
      <c r="B23" s="2231" t="s">
        <v>533</v>
      </c>
      <c r="C23" s="2232"/>
      <c r="D23" s="2246" t="s">
        <v>65</v>
      </c>
      <c r="E23" s="2247"/>
      <c r="F23" s="2247"/>
      <c r="G23" s="2247"/>
      <c r="H23" s="2247"/>
      <c r="I23" s="2248"/>
      <c r="J23" s="2249" t="s">
        <v>534</v>
      </c>
      <c r="K23" s="2250"/>
      <c r="L23" s="2250"/>
      <c r="M23" s="2250"/>
      <c r="N23" s="2250"/>
      <c r="O23" s="2251"/>
      <c r="P23" s="1438" t="s">
        <v>535</v>
      </c>
      <c r="Q23" s="142"/>
    </row>
    <row r="24" spans="2:19" s="68" customFormat="1" ht="18" customHeight="1" thickBot="1">
      <c r="B24" s="1456"/>
      <c r="C24" s="1457"/>
      <c r="D24" s="1182" t="s">
        <v>536</v>
      </c>
      <c r="E24" s="1183" t="s">
        <v>537</v>
      </c>
      <c r="F24" s="1183"/>
      <c r="G24" s="2242"/>
      <c r="H24" s="1183"/>
      <c r="I24" s="2243"/>
      <c r="J24" s="2252"/>
      <c r="K24" s="2252"/>
      <c r="L24" s="2252"/>
      <c r="M24" s="2252"/>
      <c r="N24" s="2252"/>
      <c r="O24" s="2253"/>
      <c r="P24" s="1439"/>
      <c r="Q24" s="142"/>
    </row>
    <row r="25" spans="2:19" s="68" customFormat="1" ht="18" customHeight="1">
      <c r="B25" s="1456"/>
      <c r="C25" s="1457"/>
      <c r="D25" s="1184"/>
      <c r="E25" s="341">
        <v>0.9</v>
      </c>
      <c r="F25" s="577">
        <v>0.88</v>
      </c>
      <c r="G25" s="578">
        <v>0.86</v>
      </c>
      <c r="H25" s="579">
        <v>0.84</v>
      </c>
      <c r="I25" s="342">
        <v>0.82</v>
      </c>
      <c r="J25" s="2252"/>
      <c r="K25" s="2252"/>
      <c r="L25" s="2252"/>
      <c r="M25" s="2252"/>
      <c r="N25" s="2252"/>
      <c r="O25" s="2253"/>
      <c r="P25" s="1439"/>
      <c r="Q25" s="142"/>
    </row>
    <row r="26" spans="2:19" s="68" customFormat="1" ht="18" customHeight="1" thickBot="1">
      <c r="B26" s="1447"/>
      <c r="C26" s="2245"/>
      <c r="D26" s="688" t="s">
        <v>538</v>
      </c>
      <c r="E26" s="71">
        <v>0.6</v>
      </c>
      <c r="F26" s="580">
        <v>0.45</v>
      </c>
      <c r="G26" s="431">
        <v>0.35</v>
      </c>
      <c r="H26" s="271">
        <v>0.25</v>
      </c>
      <c r="I26" s="690">
        <v>0.15</v>
      </c>
      <c r="J26" s="2252"/>
      <c r="K26" s="2252"/>
      <c r="L26" s="2252"/>
      <c r="M26" s="2252"/>
      <c r="N26" s="2252"/>
      <c r="O26" s="2253"/>
      <c r="P26" s="1440"/>
      <c r="Q26" s="142"/>
    </row>
    <row r="27" spans="2:19" s="68" customFormat="1" ht="18" customHeight="1">
      <c r="B27" s="2231" t="s">
        <v>539</v>
      </c>
      <c r="C27" s="2232"/>
      <c r="D27" s="2233" t="s">
        <v>540</v>
      </c>
      <c r="E27" s="2234"/>
      <c r="F27" s="2234"/>
      <c r="G27" s="1467"/>
      <c r="H27" s="2235"/>
      <c r="I27" s="685" t="s">
        <v>541</v>
      </c>
      <c r="J27" s="343" t="s">
        <v>542</v>
      </c>
      <c r="K27" s="581" t="s">
        <v>543</v>
      </c>
      <c r="L27" s="344" t="s">
        <v>544</v>
      </c>
      <c r="M27" s="687" t="s">
        <v>545</v>
      </c>
      <c r="N27" s="687" t="s">
        <v>546</v>
      </c>
      <c r="O27" s="686" t="s">
        <v>547</v>
      </c>
      <c r="P27" s="2238" t="s">
        <v>519</v>
      </c>
      <c r="Q27" s="142"/>
    </row>
    <row r="28" spans="2:19" s="69" customFormat="1" ht="18" customHeight="1" thickBot="1">
      <c r="B28" s="1456"/>
      <c r="C28" s="1457"/>
      <c r="D28" s="1466"/>
      <c r="E28" s="1467"/>
      <c r="F28" s="1467"/>
      <c r="G28" s="1467"/>
      <c r="H28" s="2236"/>
      <c r="I28" s="429" t="s">
        <v>41</v>
      </c>
      <c r="J28" s="345">
        <v>1.4</v>
      </c>
      <c r="K28" s="582">
        <v>1.35</v>
      </c>
      <c r="L28" s="350">
        <v>1.25</v>
      </c>
      <c r="M28" s="430">
        <v>1.22</v>
      </c>
      <c r="N28" s="430">
        <v>1.2</v>
      </c>
      <c r="O28" s="690">
        <v>1.1499999999999999</v>
      </c>
      <c r="P28" s="2239"/>
      <c r="Q28" s="143"/>
    </row>
    <row r="29" spans="2:19" s="69" customFormat="1" ht="18" customHeight="1" thickBot="1">
      <c r="B29" s="1456"/>
      <c r="C29" s="1457"/>
      <c r="D29" s="1466"/>
      <c r="E29" s="1467"/>
      <c r="F29" s="1467"/>
      <c r="G29" s="1467"/>
      <c r="H29" s="2236"/>
      <c r="I29" s="1182" t="s">
        <v>548</v>
      </c>
      <c r="J29" s="2241"/>
      <c r="K29" s="2241"/>
      <c r="L29" s="2242"/>
      <c r="M29" s="2242"/>
      <c r="N29" s="2242"/>
      <c r="O29" s="2243"/>
      <c r="P29" s="2239"/>
      <c r="Q29" s="143"/>
    </row>
    <row r="30" spans="2:19" s="69" customFormat="1" ht="18" customHeight="1">
      <c r="B30" s="1456"/>
      <c r="C30" s="1457"/>
      <c r="D30" s="1466"/>
      <c r="E30" s="1467"/>
      <c r="F30" s="1467"/>
      <c r="G30" s="1467"/>
      <c r="H30" s="2236"/>
      <c r="I30" s="678" t="s">
        <v>549</v>
      </c>
      <c r="J30" s="1185" t="s">
        <v>550</v>
      </c>
      <c r="K30" s="2244"/>
      <c r="L30" s="346" t="s">
        <v>551</v>
      </c>
      <c r="M30" s="347" t="s">
        <v>552</v>
      </c>
      <c r="N30" s="347" t="s">
        <v>553</v>
      </c>
      <c r="O30" s="348" t="s">
        <v>554</v>
      </c>
      <c r="P30" s="2239"/>
    </row>
    <row r="31" spans="2:19" s="69" customFormat="1" ht="18" customHeight="1" thickBot="1">
      <c r="B31" s="1458"/>
      <c r="C31" s="1459"/>
      <c r="D31" s="1469"/>
      <c r="E31" s="1470"/>
      <c r="F31" s="1470"/>
      <c r="G31" s="1470"/>
      <c r="H31" s="2237"/>
      <c r="I31" s="349" t="s">
        <v>555</v>
      </c>
      <c r="J31" s="1302" t="s">
        <v>556</v>
      </c>
      <c r="K31" s="1405"/>
      <c r="L31" s="563">
        <v>0.95</v>
      </c>
      <c r="M31" s="271">
        <v>0.9</v>
      </c>
      <c r="N31" s="271">
        <v>0.8</v>
      </c>
      <c r="O31" s="272">
        <v>0.7</v>
      </c>
      <c r="P31" s="2240"/>
      <c r="R31" s="689"/>
    </row>
    <row r="32" spans="2:19" s="68" customFormat="1" ht="18" customHeight="1">
      <c r="B32" s="73"/>
      <c r="C32" s="73"/>
      <c r="D32" s="73"/>
      <c r="E32" s="73"/>
      <c r="F32" s="73"/>
      <c r="G32" s="73"/>
      <c r="H32" s="73"/>
      <c r="I32" s="73"/>
      <c r="J32" s="73"/>
      <c r="K32" s="73"/>
      <c r="L32" s="73"/>
      <c r="M32" s="351"/>
      <c r="N32" s="351"/>
      <c r="O32" s="351"/>
      <c r="P32" s="73"/>
      <c r="Q32" s="73"/>
      <c r="S32" s="352"/>
    </row>
    <row r="34" spans="7:11" ht="18" customHeight="1">
      <c r="K34" s="482"/>
    </row>
    <row r="35" spans="7:11" ht="18" customHeight="1">
      <c r="G35" s="353"/>
    </row>
  </sheetData>
  <mergeCells count="49">
    <mergeCell ref="B1:P1"/>
    <mergeCell ref="B4:C4"/>
    <mergeCell ref="D4:M4"/>
    <mergeCell ref="N4:P4"/>
    <mergeCell ref="B5:C5"/>
    <mergeCell ref="D5:M5"/>
    <mergeCell ref="N5:P5"/>
    <mergeCell ref="B6:C6"/>
    <mergeCell ref="D6:M6"/>
    <mergeCell ref="N6:P6"/>
    <mergeCell ref="B7:C7"/>
    <mergeCell ref="D7:M7"/>
    <mergeCell ref="N7:P7"/>
    <mergeCell ref="B8:C8"/>
    <mergeCell ref="D8:M8"/>
    <mergeCell ref="N8:P8"/>
    <mergeCell ref="B11:C11"/>
    <mergeCell ref="D11:M11"/>
    <mergeCell ref="N11:P11"/>
    <mergeCell ref="B12:C13"/>
    <mergeCell ref="D12:M13"/>
    <mergeCell ref="N12:P13"/>
    <mergeCell ref="B16:C16"/>
    <mergeCell ref="D16:I16"/>
    <mergeCell ref="J16:O16"/>
    <mergeCell ref="B17:C17"/>
    <mergeCell ref="D17:I17"/>
    <mergeCell ref="J17:O17"/>
    <mergeCell ref="B18:C22"/>
    <mergeCell ref="D18:I18"/>
    <mergeCell ref="J18:O22"/>
    <mergeCell ref="P18:P22"/>
    <mergeCell ref="D19:E19"/>
    <mergeCell ref="D20:E20"/>
    <mergeCell ref="I20:I22"/>
    <mergeCell ref="D21:E21"/>
    <mergeCell ref="D22:E22"/>
    <mergeCell ref="B23:C26"/>
    <mergeCell ref="D23:I23"/>
    <mergeCell ref="J23:O26"/>
    <mergeCell ref="P23:P26"/>
    <mergeCell ref="D24:D25"/>
    <mergeCell ref="E24:I24"/>
    <mergeCell ref="B27:C31"/>
    <mergeCell ref="D27:H31"/>
    <mergeCell ref="P27:P31"/>
    <mergeCell ref="I29:O29"/>
    <mergeCell ref="J30:K30"/>
    <mergeCell ref="J31:K31"/>
  </mergeCells>
  <phoneticPr fontId="99" type="noConversion"/>
  <printOptions horizontalCentered="1"/>
  <pageMargins left="0.31496062992125984" right="0.31496062992125984" top="0.31496062992125984" bottom="0.31496062992125984" header="0" footer="0"/>
  <pageSetup paperSize="9" scale="79" orientation="landscape"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2"/>
  <sheetViews>
    <sheetView zoomScaleNormal="100" workbookViewId="0"/>
  </sheetViews>
  <sheetFormatPr defaultColWidth="8.125" defaultRowHeight="18" customHeight="1"/>
  <cols>
    <col min="1" max="1" width="1" style="17" customWidth="1"/>
    <col min="2" max="2" width="5.875" style="74" customWidth="1"/>
    <col min="3" max="3" width="11.5" style="74" customWidth="1"/>
    <col min="4" max="5" width="5.625" style="74" customWidth="1"/>
    <col min="6" max="6" width="6.625" style="74" customWidth="1"/>
    <col min="7" max="7" width="8.125" style="74" customWidth="1"/>
    <col min="8" max="8" width="8.125" style="17" customWidth="1"/>
    <col min="9" max="9" width="8.875" style="17" bestFit="1" customWidth="1"/>
    <col min="10" max="10" width="7.625" style="17" bestFit="1" customWidth="1"/>
    <col min="11" max="11" width="9.375" style="17" customWidth="1"/>
    <col min="12" max="12" width="7.625" style="17" bestFit="1" customWidth="1"/>
    <col min="13" max="14" width="9.625" style="17" bestFit="1" customWidth="1"/>
    <col min="15" max="15" width="7.625" style="17" bestFit="1" customWidth="1"/>
    <col min="16" max="16" width="6.625" style="17" bestFit="1" customWidth="1"/>
    <col min="17" max="18" width="7.625" style="17" customWidth="1"/>
    <col min="19" max="19" width="6.625" style="17" bestFit="1" customWidth="1"/>
    <col min="20" max="26" width="7.625" style="17" customWidth="1"/>
    <col min="27" max="28" width="7.625" style="59" customWidth="1"/>
    <col min="29" max="30" width="7.625" style="17" customWidth="1"/>
    <col min="31" max="31" width="8.125" style="17" customWidth="1"/>
    <col min="32" max="16384" width="8.125" style="17"/>
  </cols>
  <sheetData>
    <row r="1" spans="1:39" s="34" customFormat="1" ht="30" customHeight="1" thickBot="1">
      <c r="B1" s="1271" t="s">
        <v>1739</v>
      </c>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row>
    <row r="2" spans="1:39" s="246" customFormat="1" ht="6" customHeight="1" thickTop="1">
      <c r="A2" s="68"/>
      <c r="B2" s="67"/>
      <c r="C2" s="67"/>
      <c r="D2" s="67"/>
      <c r="E2" s="67"/>
      <c r="F2" s="382"/>
      <c r="G2" s="67"/>
      <c r="H2" s="67"/>
      <c r="I2" s="67"/>
      <c r="J2" s="68"/>
      <c r="K2" s="68"/>
      <c r="L2" s="69"/>
      <c r="M2" s="69"/>
      <c r="N2" s="69"/>
      <c r="O2" s="69"/>
      <c r="P2" s="68"/>
      <c r="Q2" s="68"/>
      <c r="R2" s="68"/>
      <c r="S2" s="68"/>
      <c r="T2" s="68"/>
      <c r="U2" s="68"/>
      <c r="V2" s="68"/>
      <c r="W2" s="68"/>
      <c r="X2" s="68"/>
      <c r="Y2" s="68"/>
      <c r="Z2" s="68"/>
      <c r="AA2" s="68"/>
      <c r="AB2" s="68"/>
      <c r="AC2" s="68"/>
      <c r="AD2" s="68"/>
      <c r="AE2" s="68"/>
      <c r="AF2" s="68"/>
      <c r="AG2" s="68"/>
      <c r="AH2" s="68"/>
      <c r="AI2" s="68"/>
      <c r="AJ2" s="68"/>
      <c r="AK2" s="68"/>
      <c r="AL2" s="68"/>
      <c r="AM2" s="68"/>
    </row>
    <row r="3" spans="1:39" s="274" customFormat="1" ht="18" customHeight="1">
      <c r="B3" s="364" t="s">
        <v>1746</v>
      </c>
      <c r="C3" s="273"/>
      <c r="D3" s="273"/>
      <c r="E3" s="273"/>
      <c r="F3" s="273"/>
      <c r="G3" s="273"/>
      <c r="K3" s="275"/>
      <c r="L3" s="275"/>
      <c r="M3" s="275"/>
    </row>
    <row r="4" spans="1:39" s="246" customFormat="1" ht="6" customHeight="1" thickBot="1">
      <c r="A4" s="68"/>
      <c r="B4" s="67"/>
      <c r="C4" s="67"/>
      <c r="D4" s="67"/>
      <c r="E4" s="67"/>
      <c r="F4" s="382"/>
      <c r="G4" s="67"/>
      <c r="H4" s="67"/>
      <c r="I4" s="67"/>
      <c r="J4" s="68"/>
      <c r="K4" s="68"/>
      <c r="L4" s="69"/>
      <c r="M4" s="69"/>
      <c r="N4" s="69"/>
      <c r="O4" s="69"/>
      <c r="P4" s="68"/>
      <c r="Q4" s="68"/>
      <c r="R4" s="68"/>
      <c r="S4" s="68"/>
      <c r="T4" s="68"/>
      <c r="U4" s="68"/>
      <c r="V4" s="68"/>
      <c r="W4" s="68"/>
      <c r="X4" s="68"/>
      <c r="Y4" s="68"/>
      <c r="Z4" s="68"/>
      <c r="AA4" s="68"/>
      <c r="AB4" s="68"/>
      <c r="AC4" s="68"/>
      <c r="AD4" s="68"/>
      <c r="AE4" s="68"/>
      <c r="AF4" s="68"/>
      <c r="AG4" s="68"/>
      <c r="AH4" s="68"/>
      <c r="AI4" s="68"/>
      <c r="AJ4" s="68"/>
      <c r="AK4" s="68"/>
      <c r="AL4" s="68"/>
      <c r="AM4" s="68"/>
    </row>
    <row r="5" spans="1:39" ht="15" customHeight="1">
      <c r="B5" s="2319" t="s">
        <v>417</v>
      </c>
      <c r="C5" s="2320"/>
      <c r="D5" s="2320"/>
      <c r="E5" s="2320"/>
      <c r="F5" s="2321"/>
      <c r="G5" s="1859" t="s">
        <v>418</v>
      </c>
      <c r="H5" s="1284" t="s">
        <v>419</v>
      </c>
      <c r="I5" s="2328" t="s">
        <v>557</v>
      </c>
      <c r="J5" s="2328" t="s">
        <v>558</v>
      </c>
      <c r="K5" s="2330" t="s">
        <v>559</v>
      </c>
      <c r="L5" s="2331"/>
      <c r="M5" s="2331"/>
      <c r="N5" s="2332"/>
      <c r="O5" s="2336" t="s">
        <v>560</v>
      </c>
      <c r="P5" s="2338" t="s">
        <v>423</v>
      </c>
      <c r="Q5" s="2341" t="s">
        <v>424</v>
      </c>
      <c r="R5" s="2353" t="s">
        <v>425</v>
      </c>
      <c r="S5" s="2346" t="s">
        <v>420</v>
      </c>
      <c r="T5" s="2347"/>
      <c r="U5" s="2344">
        <v>0.93</v>
      </c>
      <c r="V5" s="2346" t="s">
        <v>594</v>
      </c>
      <c r="W5" s="2347"/>
      <c r="X5" s="2344">
        <v>0.86</v>
      </c>
      <c r="Y5" s="2346" t="s">
        <v>421</v>
      </c>
      <c r="Z5" s="2347"/>
      <c r="AA5" s="2344">
        <v>0.83</v>
      </c>
      <c r="AB5" s="2346" t="s">
        <v>422</v>
      </c>
      <c r="AC5" s="2347"/>
      <c r="AD5" s="2344">
        <v>0.75</v>
      </c>
      <c r="AE5" s="2346" t="s">
        <v>437</v>
      </c>
      <c r="AF5" s="2347"/>
      <c r="AG5" s="2344">
        <v>0.7</v>
      </c>
    </row>
    <row r="6" spans="1:39" ht="15" customHeight="1">
      <c r="B6" s="2322"/>
      <c r="C6" s="2323"/>
      <c r="D6" s="2323"/>
      <c r="E6" s="2323"/>
      <c r="F6" s="2324"/>
      <c r="G6" s="2325"/>
      <c r="H6" s="1712"/>
      <c r="I6" s="2329"/>
      <c r="J6" s="2329"/>
      <c r="K6" s="2333"/>
      <c r="L6" s="2334"/>
      <c r="M6" s="2334"/>
      <c r="N6" s="2335"/>
      <c r="O6" s="2337"/>
      <c r="P6" s="2339"/>
      <c r="Q6" s="2342"/>
      <c r="R6" s="2354"/>
      <c r="S6" s="2348"/>
      <c r="T6" s="2349"/>
      <c r="U6" s="2345"/>
      <c r="V6" s="2348"/>
      <c r="W6" s="2349"/>
      <c r="X6" s="2345"/>
      <c r="Y6" s="2348"/>
      <c r="Z6" s="2349"/>
      <c r="AA6" s="2345"/>
      <c r="AB6" s="2348"/>
      <c r="AC6" s="2349"/>
      <c r="AD6" s="2345"/>
      <c r="AE6" s="2348"/>
      <c r="AF6" s="2349"/>
      <c r="AG6" s="2345"/>
    </row>
    <row r="7" spans="1:39" ht="24.95" customHeight="1" thickBot="1">
      <c r="B7" s="681" t="s">
        <v>438</v>
      </c>
      <c r="C7" s="2350" t="s">
        <v>439</v>
      </c>
      <c r="D7" s="2351"/>
      <c r="E7" s="2352"/>
      <c r="F7" s="450" t="s">
        <v>440</v>
      </c>
      <c r="G7" s="2326"/>
      <c r="H7" s="2327"/>
      <c r="I7" s="451">
        <f>140%*95%</f>
        <v>1.3299999999999998</v>
      </c>
      <c r="J7" s="333">
        <v>0.2</v>
      </c>
      <c r="K7" s="759" t="s">
        <v>597</v>
      </c>
      <c r="L7" s="354" t="s">
        <v>561</v>
      </c>
      <c r="M7" s="354" t="s">
        <v>562</v>
      </c>
      <c r="N7" s="354" t="s">
        <v>563</v>
      </c>
      <c r="O7" s="355" t="s">
        <v>564</v>
      </c>
      <c r="P7" s="2340"/>
      <c r="Q7" s="2343"/>
      <c r="R7" s="2355"/>
      <c r="S7" s="696" t="s">
        <v>423</v>
      </c>
      <c r="T7" s="697" t="s">
        <v>424</v>
      </c>
      <c r="U7" s="698" t="s">
        <v>425</v>
      </c>
      <c r="V7" s="756" t="s">
        <v>423</v>
      </c>
      <c r="W7" s="757" t="s">
        <v>424</v>
      </c>
      <c r="X7" s="758" t="s">
        <v>425</v>
      </c>
      <c r="Y7" s="696" t="s">
        <v>423</v>
      </c>
      <c r="Z7" s="697" t="s">
        <v>424</v>
      </c>
      <c r="AA7" s="698" t="s">
        <v>425</v>
      </c>
      <c r="AB7" s="696" t="s">
        <v>423</v>
      </c>
      <c r="AC7" s="697" t="s">
        <v>424</v>
      </c>
      <c r="AD7" s="698" t="s">
        <v>425</v>
      </c>
      <c r="AE7" s="696" t="s">
        <v>423</v>
      </c>
      <c r="AF7" s="697" t="s">
        <v>424</v>
      </c>
      <c r="AG7" s="698" t="s">
        <v>425</v>
      </c>
    </row>
    <row r="8" spans="1:39" ht="18" customHeight="1">
      <c r="B8" s="2317" t="s">
        <v>565</v>
      </c>
      <c r="C8" s="1369" t="s">
        <v>566</v>
      </c>
      <c r="D8" s="2297"/>
      <c r="E8" s="2297"/>
      <c r="F8" s="2298"/>
      <c r="G8" s="2288">
        <v>1000</v>
      </c>
      <c r="H8" s="1226">
        <f>G8*F9</f>
        <v>2400</v>
      </c>
      <c r="I8" s="2300">
        <f>H8*$I$7</f>
        <v>3191.9999999999995</v>
      </c>
      <c r="J8" s="1226">
        <f>H8*$J$7</f>
        <v>480</v>
      </c>
      <c r="K8" s="1226">
        <f>H8*20%*8</f>
        <v>3840</v>
      </c>
      <c r="L8" s="1226">
        <f>H8*20%*3</f>
        <v>1440</v>
      </c>
      <c r="M8" s="1226">
        <f>H8*5.5%*12</f>
        <v>1584</v>
      </c>
      <c r="N8" s="1226">
        <f>H8*5.5%*12</f>
        <v>1584</v>
      </c>
      <c r="O8" s="1733">
        <f>(M8*35%)+(N8*35%)</f>
        <v>1108.8</v>
      </c>
      <c r="P8" s="152">
        <f>SUM(I8,J8,K8)</f>
        <v>7512</v>
      </c>
      <c r="Q8" s="155">
        <f>$P8+$L8</f>
        <v>8952</v>
      </c>
      <c r="R8" s="154">
        <f>$Q8+$M8+$N8+$O8</f>
        <v>13228.8</v>
      </c>
      <c r="S8" s="152">
        <f>P8*$U$5</f>
        <v>6986.1600000000008</v>
      </c>
      <c r="T8" s="155">
        <f>$Q8*$U$5</f>
        <v>8325.36</v>
      </c>
      <c r="U8" s="156">
        <f>R8*$U$5</f>
        <v>12302.784</v>
      </c>
      <c r="V8" s="152">
        <f>P8*$X$5</f>
        <v>6460.32</v>
      </c>
      <c r="W8" s="155">
        <f>$Q8*$X$5</f>
        <v>7698.72</v>
      </c>
      <c r="X8" s="154">
        <f>R8*$X$5</f>
        <v>11376.768</v>
      </c>
      <c r="Y8" s="153">
        <f>P8*$AA$5</f>
        <v>6234.96</v>
      </c>
      <c r="Z8" s="155">
        <f>$Q8*$AA$5</f>
        <v>7430.16</v>
      </c>
      <c r="AA8" s="154">
        <f>R8*$AA$5</f>
        <v>10979.903999999999</v>
      </c>
      <c r="AB8" s="152">
        <f>P8*$AD$5</f>
        <v>5634</v>
      </c>
      <c r="AC8" s="155">
        <f>$Q8*$AD$5</f>
        <v>6714</v>
      </c>
      <c r="AD8" s="154">
        <f>R8*$AD$5</f>
        <v>9921.5999999999985</v>
      </c>
      <c r="AE8" s="153">
        <f>P8*$AG$5</f>
        <v>5258.4</v>
      </c>
      <c r="AF8" s="155">
        <f>$Q8*$AG$5</f>
        <v>6266.4</v>
      </c>
      <c r="AG8" s="154">
        <f>R8*$AG$5</f>
        <v>9260.159999999998</v>
      </c>
    </row>
    <row r="9" spans="1:39" ht="18" customHeight="1">
      <c r="B9" s="2318"/>
      <c r="C9" s="2293" t="s">
        <v>567</v>
      </c>
      <c r="D9" s="2294"/>
      <c r="E9" s="2065"/>
      <c r="F9" s="445">
        <v>2.4</v>
      </c>
      <c r="G9" s="2299"/>
      <c r="H9" s="1227"/>
      <c r="I9" s="2301"/>
      <c r="J9" s="1227"/>
      <c r="K9" s="1227"/>
      <c r="L9" s="1227"/>
      <c r="M9" s="1227"/>
      <c r="N9" s="1227"/>
      <c r="O9" s="1606"/>
      <c r="P9" s="186">
        <f t="shared" ref="P9:AG9" si="0">P8/$G$8</f>
        <v>7.5119999999999996</v>
      </c>
      <c r="Q9" s="189">
        <f t="shared" si="0"/>
        <v>8.952</v>
      </c>
      <c r="R9" s="188">
        <f t="shared" si="0"/>
        <v>13.2288</v>
      </c>
      <c r="S9" s="186">
        <f t="shared" si="0"/>
        <v>6.9861600000000008</v>
      </c>
      <c r="T9" s="189">
        <f t="shared" si="0"/>
        <v>8.3253599999999999</v>
      </c>
      <c r="U9" s="190">
        <f t="shared" si="0"/>
        <v>12.302783999999999</v>
      </c>
      <c r="V9" s="186">
        <f t="shared" si="0"/>
        <v>6.4603199999999994</v>
      </c>
      <c r="W9" s="189">
        <f t="shared" si="0"/>
        <v>7.6987200000000007</v>
      </c>
      <c r="X9" s="188">
        <f t="shared" si="0"/>
        <v>11.376768</v>
      </c>
      <c r="Y9" s="187">
        <f t="shared" si="0"/>
        <v>6.2349600000000001</v>
      </c>
      <c r="Z9" s="189">
        <f t="shared" si="0"/>
        <v>7.4301599999999999</v>
      </c>
      <c r="AA9" s="188">
        <f t="shared" si="0"/>
        <v>10.979903999999999</v>
      </c>
      <c r="AB9" s="186">
        <f t="shared" si="0"/>
        <v>5.6340000000000003</v>
      </c>
      <c r="AC9" s="189">
        <f t="shared" si="0"/>
        <v>6.7140000000000004</v>
      </c>
      <c r="AD9" s="188">
        <f t="shared" si="0"/>
        <v>9.921599999999998</v>
      </c>
      <c r="AE9" s="187">
        <f t="shared" si="0"/>
        <v>5.2584</v>
      </c>
      <c r="AF9" s="189">
        <f t="shared" si="0"/>
        <v>6.2664</v>
      </c>
      <c r="AG9" s="188">
        <f t="shared" si="0"/>
        <v>9.2601599999999973</v>
      </c>
    </row>
    <row r="10" spans="1:39" s="59" customFormat="1" ht="18" customHeight="1">
      <c r="B10" s="2318"/>
      <c r="C10" s="2302" t="s">
        <v>568</v>
      </c>
      <c r="D10" s="2303"/>
      <c r="E10" s="2303"/>
      <c r="F10" s="2304"/>
      <c r="G10" s="1607">
        <v>1000</v>
      </c>
      <c r="H10" s="1227">
        <f t="shared" ref="H10" si="1">G10*F11</f>
        <v>2400</v>
      </c>
      <c r="I10" s="2316">
        <f t="shared" ref="I10" si="2">H10*$I$7</f>
        <v>3191.9999999999995</v>
      </c>
      <c r="J10" s="1227">
        <f>H10*$J$7</f>
        <v>480</v>
      </c>
      <c r="K10" s="1268">
        <f t="shared" ref="K10" si="3">H10*20%*8</f>
        <v>3840</v>
      </c>
      <c r="L10" s="1268">
        <f t="shared" ref="L10" si="4">H10*20%*3</f>
        <v>1440</v>
      </c>
      <c r="M10" s="1268">
        <f>H10*5.5%*12</f>
        <v>1584</v>
      </c>
      <c r="N10" s="1268">
        <f>H10*5.5%*12</f>
        <v>1584</v>
      </c>
      <c r="O10" s="1492">
        <f t="shared" ref="O10" si="5">(M10*35%)+(N10*35%)</f>
        <v>1108.8</v>
      </c>
      <c r="P10" s="25">
        <f>SUM(I10,J10,K10)</f>
        <v>7512</v>
      </c>
      <c r="Q10" s="26">
        <f>$P10+$L10</f>
        <v>8952</v>
      </c>
      <c r="R10" s="24">
        <f>$Q10+$M10+$N10+$O10</f>
        <v>13228.8</v>
      </c>
      <c r="S10" s="25">
        <f>P10*$U$5</f>
        <v>6986.1600000000008</v>
      </c>
      <c r="T10" s="26">
        <f>$Q10*$U$5</f>
        <v>8325.36</v>
      </c>
      <c r="U10" s="110">
        <f>R10*$U$5</f>
        <v>12302.784</v>
      </c>
      <c r="V10" s="25">
        <f t="shared" ref="V10" si="6">P10*$X$5</f>
        <v>6460.32</v>
      </c>
      <c r="W10" s="26">
        <f t="shared" ref="W10" si="7">$Q10*$X$5</f>
        <v>7698.72</v>
      </c>
      <c r="X10" s="27">
        <f t="shared" ref="X10" si="8">R10*$X$5</f>
        <v>11376.768</v>
      </c>
      <c r="Y10" s="36">
        <f>P10*$AA$5</f>
        <v>6234.96</v>
      </c>
      <c r="Z10" s="26">
        <f>$Q10*$AA$5</f>
        <v>7430.16</v>
      </c>
      <c r="AA10" s="27">
        <f>R10*$AA$5</f>
        <v>10979.903999999999</v>
      </c>
      <c r="AB10" s="25">
        <f>P10*$AD$5</f>
        <v>5634</v>
      </c>
      <c r="AC10" s="26">
        <f>$Q10*$AD$5</f>
        <v>6714</v>
      </c>
      <c r="AD10" s="27">
        <f>R10*$AD$5</f>
        <v>9921.5999999999985</v>
      </c>
      <c r="AE10" s="36">
        <f>P10*$AG$5</f>
        <v>5258.4</v>
      </c>
      <c r="AF10" s="26">
        <f>$Q10*$AG$5</f>
        <v>6266.4</v>
      </c>
      <c r="AG10" s="27">
        <f>R10*$AG$5</f>
        <v>9260.159999999998</v>
      </c>
      <c r="AH10" s="17"/>
      <c r="AI10" s="17"/>
      <c r="AJ10" s="17"/>
      <c r="AK10" s="17"/>
      <c r="AL10" s="17"/>
      <c r="AM10" s="17"/>
    </row>
    <row r="11" spans="1:39" s="59" customFormat="1" ht="18" customHeight="1">
      <c r="B11" s="2318"/>
      <c r="C11" s="2293" t="s">
        <v>569</v>
      </c>
      <c r="D11" s="2294"/>
      <c r="E11" s="2065"/>
      <c r="F11" s="445">
        <v>2.4</v>
      </c>
      <c r="G11" s="1607"/>
      <c r="H11" s="1227"/>
      <c r="I11" s="2301"/>
      <c r="J11" s="1227"/>
      <c r="K11" s="1232"/>
      <c r="L11" s="1232"/>
      <c r="M11" s="1232"/>
      <c r="N11" s="1232"/>
      <c r="O11" s="1251"/>
      <c r="P11" s="186">
        <f t="shared" ref="P11:AG11" si="9">P10/$G$10</f>
        <v>7.5119999999999996</v>
      </c>
      <c r="Q11" s="189">
        <f t="shared" si="9"/>
        <v>8.952</v>
      </c>
      <c r="R11" s="188">
        <f t="shared" si="9"/>
        <v>13.2288</v>
      </c>
      <c r="S11" s="186">
        <f t="shared" si="9"/>
        <v>6.9861600000000008</v>
      </c>
      <c r="T11" s="189">
        <f t="shared" si="9"/>
        <v>8.3253599999999999</v>
      </c>
      <c r="U11" s="190">
        <f t="shared" si="9"/>
        <v>12.302783999999999</v>
      </c>
      <c r="V11" s="186">
        <f>V10/$G$10</f>
        <v>6.4603199999999994</v>
      </c>
      <c r="W11" s="189">
        <f t="shared" ref="W11:X11" si="10">W10/$G$10</f>
        <v>7.6987200000000007</v>
      </c>
      <c r="X11" s="188">
        <f t="shared" si="10"/>
        <v>11.376768</v>
      </c>
      <c r="Y11" s="187">
        <f t="shared" si="9"/>
        <v>6.2349600000000001</v>
      </c>
      <c r="Z11" s="189">
        <f t="shared" si="9"/>
        <v>7.4301599999999999</v>
      </c>
      <c r="AA11" s="188">
        <f t="shared" si="9"/>
        <v>10.979903999999999</v>
      </c>
      <c r="AB11" s="186">
        <f t="shared" si="9"/>
        <v>5.6340000000000003</v>
      </c>
      <c r="AC11" s="189">
        <f t="shared" si="9"/>
        <v>6.7140000000000004</v>
      </c>
      <c r="AD11" s="188">
        <f t="shared" si="9"/>
        <v>9.921599999999998</v>
      </c>
      <c r="AE11" s="187">
        <f t="shared" si="9"/>
        <v>5.2584</v>
      </c>
      <c r="AF11" s="189">
        <f t="shared" si="9"/>
        <v>6.2664</v>
      </c>
      <c r="AG11" s="188">
        <f t="shared" si="9"/>
        <v>9.2601599999999973</v>
      </c>
      <c r="AH11" s="17"/>
      <c r="AI11" s="17"/>
      <c r="AJ11" s="17"/>
      <c r="AK11" s="17"/>
      <c r="AL11" s="17"/>
      <c r="AM11" s="17"/>
    </row>
    <row r="12" spans="1:39" ht="18" customHeight="1">
      <c r="B12" s="2318"/>
      <c r="C12" s="2302" t="s">
        <v>570</v>
      </c>
      <c r="D12" s="2303"/>
      <c r="E12" s="2303"/>
      <c r="F12" s="2304"/>
      <c r="G12" s="2299">
        <v>1000</v>
      </c>
      <c r="H12" s="1227">
        <f t="shared" ref="H12" si="11">G12*F13</f>
        <v>2000</v>
      </c>
      <c r="I12" s="2316">
        <f t="shared" ref="I12" si="12">H12*$I$7</f>
        <v>2659.9999999999995</v>
      </c>
      <c r="J12" s="1227">
        <f>H12*$J$7</f>
        <v>400</v>
      </c>
      <c r="K12" s="1268">
        <f t="shared" ref="K12" si="13">H12*20%*8</f>
        <v>3200</v>
      </c>
      <c r="L12" s="1268">
        <f t="shared" ref="L12" si="14">H12*20%*3</f>
        <v>1200</v>
      </c>
      <c r="M12" s="1268">
        <f>H12*5.5%*12</f>
        <v>1320</v>
      </c>
      <c r="N12" s="1268">
        <f>H12*5.5%*12</f>
        <v>1320</v>
      </c>
      <c r="O12" s="1492">
        <f t="shared" ref="O12:O22" si="15">(M12*35%)+(N12*35%)</f>
        <v>923.99999999999989</v>
      </c>
      <c r="P12" s="25">
        <f>SUM(I12,J12,K12)</f>
        <v>6260</v>
      </c>
      <c r="Q12" s="26">
        <f>$P12+$L12</f>
        <v>7460</v>
      </c>
      <c r="R12" s="24">
        <f>$Q12+$M12+$N12+$O12</f>
        <v>11024</v>
      </c>
      <c r="S12" s="25">
        <f>P12*$U$5</f>
        <v>5821.8</v>
      </c>
      <c r="T12" s="26">
        <f>$Q12*$U$5</f>
        <v>6937.8</v>
      </c>
      <c r="U12" s="110">
        <f>R12*$U$5</f>
        <v>10252.32</v>
      </c>
      <c r="V12" s="25">
        <f t="shared" ref="V12" si="16">P12*$X$5</f>
        <v>5383.6</v>
      </c>
      <c r="W12" s="26">
        <f t="shared" ref="W12" si="17">$Q12*$X$5</f>
        <v>6415.5999999999995</v>
      </c>
      <c r="X12" s="27">
        <f t="shared" ref="X12" si="18">R12*$X$5</f>
        <v>9480.64</v>
      </c>
      <c r="Y12" s="36">
        <f>P12*$AA$5</f>
        <v>5195.8</v>
      </c>
      <c r="Z12" s="26">
        <f>$Q12*$AA$5</f>
        <v>6191.7999999999993</v>
      </c>
      <c r="AA12" s="27">
        <f>R12*$AA$5</f>
        <v>9149.92</v>
      </c>
      <c r="AB12" s="25">
        <f>P12*$AD$5</f>
        <v>4695</v>
      </c>
      <c r="AC12" s="26">
        <f>$Q12*$AD$5</f>
        <v>5595</v>
      </c>
      <c r="AD12" s="27">
        <f>R12*$AD$5</f>
        <v>8268</v>
      </c>
      <c r="AE12" s="36">
        <f>P12*$AG$5</f>
        <v>4382</v>
      </c>
      <c r="AF12" s="26">
        <f>$Q12*$AG$5</f>
        <v>5222</v>
      </c>
      <c r="AG12" s="27">
        <f>R12*$AG$5</f>
        <v>7716.7999999999993</v>
      </c>
    </row>
    <row r="13" spans="1:39" ht="18" customHeight="1" thickBot="1">
      <c r="B13" s="2318"/>
      <c r="C13" s="2308" t="s">
        <v>571</v>
      </c>
      <c r="D13" s="2309"/>
      <c r="E13" s="2310"/>
      <c r="F13" s="444">
        <v>2</v>
      </c>
      <c r="G13" s="2315"/>
      <c r="H13" s="1268"/>
      <c r="I13" s="2306"/>
      <c r="J13" s="1268"/>
      <c r="K13" s="1235"/>
      <c r="L13" s="1235"/>
      <c r="M13" s="1235"/>
      <c r="N13" s="1235"/>
      <c r="O13" s="1257"/>
      <c r="P13" s="232">
        <f t="shared" ref="P13:AG13" si="19">P12/$G$12</f>
        <v>6.26</v>
      </c>
      <c r="Q13" s="230">
        <f t="shared" si="19"/>
        <v>7.46</v>
      </c>
      <c r="R13" s="233">
        <f t="shared" si="19"/>
        <v>11.023999999999999</v>
      </c>
      <c r="S13" s="174">
        <f t="shared" si="19"/>
        <v>5.8218000000000005</v>
      </c>
      <c r="T13" s="175">
        <f t="shared" si="19"/>
        <v>6.9378000000000002</v>
      </c>
      <c r="U13" s="194">
        <f t="shared" si="19"/>
        <v>10.252319999999999</v>
      </c>
      <c r="V13" s="174">
        <f>V12/$G$12</f>
        <v>5.3836000000000004</v>
      </c>
      <c r="W13" s="175">
        <f t="shared" ref="W13:X13" si="20">W12/$G$12</f>
        <v>6.4155999999999995</v>
      </c>
      <c r="X13" s="176">
        <f t="shared" si="20"/>
        <v>9.4806399999999993</v>
      </c>
      <c r="Y13" s="193">
        <f t="shared" si="19"/>
        <v>5.1958000000000002</v>
      </c>
      <c r="Z13" s="175">
        <f t="shared" si="19"/>
        <v>6.1917999999999989</v>
      </c>
      <c r="AA13" s="176">
        <f t="shared" si="19"/>
        <v>9.1499199999999998</v>
      </c>
      <c r="AB13" s="174">
        <f t="shared" si="19"/>
        <v>4.6950000000000003</v>
      </c>
      <c r="AC13" s="175">
        <f t="shared" si="19"/>
        <v>5.5949999999999998</v>
      </c>
      <c r="AD13" s="176">
        <f t="shared" si="19"/>
        <v>8.2680000000000007</v>
      </c>
      <c r="AE13" s="193">
        <f t="shared" si="19"/>
        <v>4.3819999999999997</v>
      </c>
      <c r="AF13" s="175">
        <f t="shared" si="19"/>
        <v>5.2220000000000004</v>
      </c>
      <c r="AG13" s="176">
        <f t="shared" si="19"/>
        <v>7.7167999999999992</v>
      </c>
    </row>
    <row r="14" spans="1:39" ht="18" customHeight="1">
      <c r="B14" s="2312" t="s">
        <v>572</v>
      </c>
      <c r="C14" s="1369" t="s">
        <v>573</v>
      </c>
      <c r="D14" s="2297"/>
      <c r="E14" s="2297"/>
      <c r="F14" s="2298"/>
      <c r="G14" s="2288">
        <v>1000</v>
      </c>
      <c r="H14" s="1226">
        <f t="shared" ref="H14" si="21">G14*F15</f>
        <v>2700</v>
      </c>
      <c r="I14" s="2300">
        <f t="shared" ref="I14" si="22">H14*$I$7</f>
        <v>3590.9999999999995</v>
      </c>
      <c r="J14" s="1226">
        <f>H14*$J$7</f>
        <v>540</v>
      </c>
      <c r="K14" s="1226">
        <f>H14*25%*8</f>
        <v>5400</v>
      </c>
      <c r="L14" s="1226">
        <f>H14*25%*3</f>
        <v>2025</v>
      </c>
      <c r="M14" s="1226">
        <f>H14*5.5%*12</f>
        <v>1782</v>
      </c>
      <c r="N14" s="1226">
        <f>H14*5.5%*12</f>
        <v>1782</v>
      </c>
      <c r="O14" s="1250">
        <f>(M14*35%)+(N14*35%)</f>
        <v>1247.3999999999999</v>
      </c>
      <c r="P14" s="152">
        <f>SUM(I14,J14,K14)</f>
        <v>9531</v>
      </c>
      <c r="Q14" s="155">
        <f>$P14+$L14</f>
        <v>11556</v>
      </c>
      <c r="R14" s="154">
        <f>$Q14+$M14+$N14+$O14</f>
        <v>16367.4</v>
      </c>
      <c r="S14" s="22">
        <f>P14*$U$5</f>
        <v>8863.83</v>
      </c>
      <c r="T14" s="23">
        <f>$Q14*$U$5</f>
        <v>10747.08</v>
      </c>
      <c r="U14" s="107">
        <f>R14*$U$5</f>
        <v>15221.682000000001</v>
      </c>
      <c r="V14" s="152">
        <f t="shared" ref="V14" si="23">P14*$X$5</f>
        <v>8196.66</v>
      </c>
      <c r="W14" s="155">
        <f t="shared" ref="W14" si="24">$Q14*$X$5</f>
        <v>9938.16</v>
      </c>
      <c r="X14" s="154">
        <f t="shared" ref="X14" si="25">R14*$X$5</f>
        <v>14075.964</v>
      </c>
      <c r="Y14" s="153">
        <f>P14*$AA$5</f>
        <v>7910.73</v>
      </c>
      <c r="Z14" s="155">
        <f>$Q14*$AA$5</f>
        <v>9591.48</v>
      </c>
      <c r="AA14" s="154">
        <f>R14*$AA$5</f>
        <v>13584.941999999999</v>
      </c>
      <c r="AB14" s="152">
        <f>P14*$AD$5</f>
        <v>7148.25</v>
      </c>
      <c r="AC14" s="155">
        <f>$Q14*$AD$5</f>
        <v>8667</v>
      </c>
      <c r="AD14" s="154">
        <f>R14*$AD$5</f>
        <v>12275.55</v>
      </c>
      <c r="AE14" s="153">
        <f>P14*$AG$5</f>
        <v>6671.7</v>
      </c>
      <c r="AF14" s="155">
        <f>$Q14*$AG$5</f>
        <v>8089.2</v>
      </c>
      <c r="AG14" s="154">
        <f>R14*$AG$5</f>
        <v>11457.179999999998</v>
      </c>
    </row>
    <row r="15" spans="1:39" ht="18" customHeight="1" thickBot="1">
      <c r="B15" s="2313"/>
      <c r="C15" s="2308" t="s">
        <v>574</v>
      </c>
      <c r="D15" s="2309"/>
      <c r="E15" s="2310"/>
      <c r="F15" s="444">
        <v>2.7</v>
      </c>
      <c r="G15" s="2289"/>
      <c r="H15" s="1233"/>
      <c r="I15" s="2307"/>
      <c r="J15" s="1233"/>
      <c r="K15" s="1233"/>
      <c r="L15" s="1233"/>
      <c r="M15" s="1233"/>
      <c r="N15" s="1233"/>
      <c r="O15" s="1257"/>
      <c r="P15" s="174">
        <f t="shared" ref="P15:AG15" si="26">P14/$G$14</f>
        <v>9.5310000000000006</v>
      </c>
      <c r="Q15" s="175">
        <f t="shared" si="26"/>
        <v>11.555999999999999</v>
      </c>
      <c r="R15" s="176">
        <f t="shared" si="26"/>
        <v>16.3674</v>
      </c>
      <c r="S15" s="174">
        <f t="shared" si="26"/>
        <v>8.8638300000000001</v>
      </c>
      <c r="T15" s="175">
        <f t="shared" si="26"/>
        <v>10.74708</v>
      </c>
      <c r="U15" s="194">
        <f t="shared" si="26"/>
        <v>15.221682000000001</v>
      </c>
      <c r="V15" s="174">
        <f>V14/$G$14</f>
        <v>8.1966599999999996</v>
      </c>
      <c r="W15" s="175">
        <f t="shared" ref="W15:X15" si="27">W14/$G$14</f>
        <v>9.9381599999999999</v>
      </c>
      <c r="X15" s="176">
        <f t="shared" si="27"/>
        <v>14.075964000000001</v>
      </c>
      <c r="Y15" s="193">
        <f t="shared" si="26"/>
        <v>7.9107299999999992</v>
      </c>
      <c r="Z15" s="175">
        <f t="shared" si="26"/>
        <v>9.5914799999999989</v>
      </c>
      <c r="AA15" s="176">
        <f t="shared" si="26"/>
        <v>13.584942</v>
      </c>
      <c r="AB15" s="174">
        <f t="shared" si="26"/>
        <v>7.14825</v>
      </c>
      <c r="AC15" s="175">
        <f t="shared" si="26"/>
        <v>8.6669999999999998</v>
      </c>
      <c r="AD15" s="176">
        <f t="shared" si="26"/>
        <v>12.275549999999999</v>
      </c>
      <c r="AE15" s="193">
        <f t="shared" si="26"/>
        <v>6.6716999999999995</v>
      </c>
      <c r="AF15" s="175">
        <f t="shared" si="26"/>
        <v>8.0891999999999999</v>
      </c>
      <c r="AG15" s="176">
        <f t="shared" si="26"/>
        <v>11.457179999999999</v>
      </c>
    </row>
    <row r="16" spans="1:39" ht="18" customHeight="1">
      <c r="B16" s="2313"/>
      <c r="C16" s="1369" t="s">
        <v>575</v>
      </c>
      <c r="D16" s="2297"/>
      <c r="E16" s="2297"/>
      <c r="F16" s="2298"/>
      <c r="G16" s="2288">
        <v>1000</v>
      </c>
      <c r="H16" s="1226">
        <f t="shared" ref="H16" si="28">G16*F17</f>
        <v>2600</v>
      </c>
      <c r="I16" s="2300">
        <f t="shared" ref="I16" si="29">H16*$I$7</f>
        <v>3457.9999999999995</v>
      </c>
      <c r="J16" s="1226">
        <f>H16*$J$7</f>
        <v>520</v>
      </c>
      <c r="K16" s="1245">
        <f>H16*25%*8</f>
        <v>5200</v>
      </c>
      <c r="L16" s="1245">
        <f>H16*25%*3</f>
        <v>1950</v>
      </c>
      <c r="M16" s="1245">
        <f>H16*5.5%*12</f>
        <v>1716</v>
      </c>
      <c r="N16" s="1245">
        <f>H16*5.5%*12</f>
        <v>1716</v>
      </c>
      <c r="O16" s="1250">
        <f t="shared" si="15"/>
        <v>1201.1999999999998</v>
      </c>
      <c r="P16" s="152">
        <f>SUM(I16,J16,K16)</f>
        <v>9178</v>
      </c>
      <c r="Q16" s="155">
        <f>$P16+$L16</f>
        <v>11128</v>
      </c>
      <c r="R16" s="154">
        <f>$Q16+$M16+$N16+$O16</f>
        <v>15761.2</v>
      </c>
      <c r="S16" s="22">
        <f>P16*$U$5</f>
        <v>8535.5400000000009</v>
      </c>
      <c r="T16" s="23">
        <f>$Q16*$U$5</f>
        <v>10349.040000000001</v>
      </c>
      <c r="U16" s="107">
        <f>R16*$U$5</f>
        <v>14657.916000000001</v>
      </c>
      <c r="V16" s="152">
        <f t="shared" ref="V16" si="30">P16*$X$5</f>
        <v>7893.08</v>
      </c>
      <c r="W16" s="155">
        <f t="shared" ref="W16" si="31">$Q16*$X$5</f>
        <v>9570.08</v>
      </c>
      <c r="X16" s="154">
        <f t="shared" ref="X16" si="32">R16*$X$5</f>
        <v>13554.632</v>
      </c>
      <c r="Y16" s="153">
        <f>P16*$AA$5</f>
        <v>7617.74</v>
      </c>
      <c r="Z16" s="155">
        <f>$Q16*$AA$5</f>
        <v>9236.24</v>
      </c>
      <c r="AA16" s="154">
        <f>R16*$AA$5</f>
        <v>13081.796</v>
      </c>
      <c r="AB16" s="152">
        <f>P16*$AD$5</f>
        <v>6883.5</v>
      </c>
      <c r="AC16" s="155">
        <f>$Q16*$AD$5</f>
        <v>8346</v>
      </c>
      <c r="AD16" s="154">
        <f>R16*$AD$5</f>
        <v>11820.900000000001</v>
      </c>
      <c r="AE16" s="153">
        <f>P16*$AG$5</f>
        <v>6424.5999999999995</v>
      </c>
      <c r="AF16" s="155">
        <f>$Q16*$AG$5</f>
        <v>7789.5999999999995</v>
      </c>
      <c r="AG16" s="154">
        <f>R16*$AG$5</f>
        <v>11032.84</v>
      </c>
    </row>
    <row r="17" spans="2:36" ht="18" customHeight="1" thickBot="1">
      <c r="B17" s="2314"/>
      <c r="C17" s="2308" t="s">
        <v>574</v>
      </c>
      <c r="D17" s="2309"/>
      <c r="E17" s="2310"/>
      <c r="F17" s="444">
        <v>2.6</v>
      </c>
      <c r="G17" s="2289"/>
      <c r="H17" s="1233"/>
      <c r="I17" s="2307"/>
      <c r="J17" s="1233"/>
      <c r="K17" s="1235"/>
      <c r="L17" s="1235"/>
      <c r="M17" s="1235"/>
      <c r="N17" s="1235"/>
      <c r="O17" s="1257"/>
      <c r="P17" s="174">
        <f t="shared" ref="P17:AG17" si="33">P16/$G$16</f>
        <v>9.1780000000000008</v>
      </c>
      <c r="Q17" s="175">
        <f t="shared" si="33"/>
        <v>11.128</v>
      </c>
      <c r="R17" s="176">
        <f t="shared" si="33"/>
        <v>15.761200000000001</v>
      </c>
      <c r="S17" s="174">
        <f t="shared" si="33"/>
        <v>8.535540000000001</v>
      </c>
      <c r="T17" s="175">
        <f t="shared" si="33"/>
        <v>10.34904</v>
      </c>
      <c r="U17" s="194">
        <f t="shared" si="33"/>
        <v>14.657916000000002</v>
      </c>
      <c r="V17" s="174">
        <f>V16/$G$16</f>
        <v>7.8930800000000003</v>
      </c>
      <c r="W17" s="175">
        <f t="shared" ref="W17:X17" si="34">W16/$G$16</f>
        <v>9.5700800000000008</v>
      </c>
      <c r="X17" s="176">
        <f t="shared" si="34"/>
        <v>13.554632</v>
      </c>
      <c r="Y17" s="193">
        <f t="shared" si="33"/>
        <v>7.6177399999999995</v>
      </c>
      <c r="Z17" s="175">
        <f t="shared" si="33"/>
        <v>9.2362400000000004</v>
      </c>
      <c r="AA17" s="176">
        <f t="shared" si="33"/>
        <v>13.081796000000001</v>
      </c>
      <c r="AB17" s="174">
        <f t="shared" si="33"/>
        <v>6.8834999999999997</v>
      </c>
      <c r="AC17" s="175">
        <f t="shared" si="33"/>
        <v>8.3460000000000001</v>
      </c>
      <c r="AD17" s="176">
        <f t="shared" si="33"/>
        <v>11.820900000000002</v>
      </c>
      <c r="AE17" s="193">
        <f t="shared" si="33"/>
        <v>6.4245999999999999</v>
      </c>
      <c r="AF17" s="175">
        <f t="shared" si="33"/>
        <v>7.7895999999999992</v>
      </c>
      <c r="AG17" s="176">
        <f t="shared" si="33"/>
        <v>11.03284</v>
      </c>
    </row>
    <row r="18" spans="2:36" ht="18" customHeight="1">
      <c r="B18" s="2311" t="s">
        <v>576</v>
      </c>
      <c r="C18" s="1369" t="s">
        <v>577</v>
      </c>
      <c r="D18" s="2297"/>
      <c r="E18" s="2297"/>
      <c r="F18" s="2298"/>
      <c r="G18" s="2288">
        <v>1000</v>
      </c>
      <c r="H18" s="1226">
        <f t="shared" ref="H18" si="35">G18*F19</f>
        <v>1200</v>
      </c>
      <c r="I18" s="2300">
        <f t="shared" ref="I18" si="36">H18*$I$7</f>
        <v>1595.9999999999998</v>
      </c>
      <c r="J18" s="1226">
        <f>H18*$J$7</f>
        <v>240</v>
      </c>
      <c r="K18" s="1226">
        <f>H18*18%*8</f>
        <v>1728</v>
      </c>
      <c r="L18" s="1226">
        <f>H18*18%*3</f>
        <v>648</v>
      </c>
      <c r="M18" s="1226">
        <f>H18*5.5%*12</f>
        <v>792</v>
      </c>
      <c r="N18" s="1226">
        <f>H18*5.5%*12</f>
        <v>792</v>
      </c>
      <c r="O18" s="1250">
        <f t="shared" si="15"/>
        <v>554.4</v>
      </c>
      <c r="P18" s="152">
        <f>SUM(I18,J18,K18)</f>
        <v>3564</v>
      </c>
      <c r="Q18" s="155">
        <f>$P18+$L18</f>
        <v>4212</v>
      </c>
      <c r="R18" s="154">
        <f>$Q18+$M18+$N18+$O18</f>
        <v>6350.4</v>
      </c>
      <c r="S18" s="152">
        <f>P18*$U$5</f>
        <v>3314.52</v>
      </c>
      <c r="T18" s="155">
        <f>$Q18*$U$5</f>
        <v>3917.1600000000003</v>
      </c>
      <c r="U18" s="156">
        <f>R18*$U$5</f>
        <v>5905.8720000000003</v>
      </c>
      <c r="V18" s="152">
        <f t="shared" ref="V18" si="37">P18*$X$5</f>
        <v>3065.04</v>
      </c>
      <c r="W18" s="155">
        <f t="shared" ref="W18" si="38">$Q18*$X$5</f>
        <v>3622.32</v>
      </c>
      <c r="X18" s="154">
        <f t="shared" ref="X18" si="39">R18*$X$5</f>
        <v>5461.3440000000001</v>
      </c>
      <c r="Y18" s="153">
        <f>P18*$AA$5</f>
        <v>2958.12</v>
      </c>
      <c r="Z18" s="155">
        <f>$Q18*$AA$5</f>
        <v>3495.96</v>
      </c>
      <c r="AA18" s="154">
        <f>R18*$AA$5</f>
        <v>5270.8319999999994</v>
      </c>
      <c r="AB18" s="152">
        <f>P18*$AD$5</f>
        <v>2673</v>
      </c>
      <c r="AC18" s="155">
        <f>$Q18*$AD$5</f>
        <v>3159</v>
      </c>
      <c r="AD18" s="154">
        <f>R18*$AD$5</f>
        <v>4762.7999999999993</v>
      </c>
      <c r="AE18" s="153">
        <f>P18*$AG$5</f>
        <v>2494.7999999999997</v>
      </c>
      <c r="AF18" s="155">
        <f>$Q18*$AG$5</f>
        <v>2948.3999999999996</v>
      </c>
      <c r="AG18" s="154">
        <f>R18*$AG$5</f>
        <v>4445.28</v>
      </c>
    </row>
    <row r="19" spans="2:36" ht="18" customHeight="1" thickBot="1">
      <c r="B19" s="2296"/>
      <c r="C19" s="2308" t="s">
        <v>578</v>
      </c>
      <c r="D19" s="2309"/>
      <c r="E19" s="2310"/>
      <c r="F19" s="444">
        <v>1.2</v>
      </c>
      <c r="G19" s="2289"/>
      <c r="H19" s="1233"/>
      <c r="I19" s="2307"/>
      <c r="J19" s="1233"/>
      <c r="K19" s="1233"/>
      <c r="L19" s="1233"/>
      <c r="M19" s="1233"/>
      <c r="N19" s="1233"/>
      <c r="O19" s="1257"/>
      <c r="P19" s="174">
        <f t="shared" ref="P19:AG19" si="40">P18/$G$18</f>
        <v>3.5640000000000001</v>
      </c>
      <c r="Q19" s="175">
        <f t="shared" si="40"/>
        <v>4.2119999999999997</v>
      </c>
      <c r="R19" s="176">
        <f t="shared" si="40"/>
        <v>6.3503999999999996</v>
      </c>
      <c r="S19" s="174">
        <f t="shared" si="40"/>
        <v>3.3145199999999999</v>
      </c>
      <c r="T19" s="175">
        <f t="shared" si="40"/>
        <v>3.9171600000000004</v>
      </c>
      <c r="U19" s="194">
        <f t="shared" si="40"/>
        <v>5.9058720000000005</v>
      </c>
      <c r="V19" s="174">
        <f>V18/$G$18</f>
        <v>3.0650399999999998</v>
      </c>
      <c r="W19" s="175">
        <f t="shared" ref="W19:X19" si="41">W18/$G$18</f>
        <v>3.6223200000000002</v>
      </c>
      <c r="X19" s="176">
        <f t="shared" si="41"/>
        <v>5.4613440000000004</v>
      </c>
      <c r="Y19" s="193">
        <f t="shared" si="40"/>
        <v>2.9581200000000001</v>
      </c>
      <c r="Z19" s="175">
        <f t="shared" si="40"/>
        <v>3.4959600000000002</v>
      </c>
      <c r="AA19" s="176">
        <f t="shared" si="40"/>
        <v>5.2708319999999995</v>
      </c>
      <c r="AB19" s="174">
        <f t="shared" si="40"/>
        <v>2.673</v>
      </c>
      <c r="AC19" s="175">
        <f t="shared" si="40"/>
        <v>3.1589999999999998</v>
      </c>
      <c r="AD19" s="176">
        <f t="shared" si="40"/>
        <v>4.7627999999999995</v>
      </c>
      <c r="AE19" s="193">
        <f t="shared" si="40"/>
        <v>2.4947999999999997</v>
      </c>
      <c r="AF19" s="175">
        <f t="shared" si="40"/>
        <v>2.9483999999999995</v>
      </c>
      <c r="AG19" s="176">
        <f t="shared" si="40"/>
        <v>4.4452799999999995</v>
      </c>
    </row>
    <row r="20" spans="2:36" ht="18" customHeight="1">
      <c r="B20" s="2295" t="s">
        <v>579</v>
      </c>
      <c r="C20" s="1369" t="s">
        <v>580</v>
      </c>
      <c r="D20" s="2297"/>
      <c r="E20" s="2297"/>
      <c r="F20" s="2298"/>
      <c r="G20" s="2288">
        <v>1000</v>
      </c>
      <c r="H20" s="1226">
        <f t="shared" ref="H20" si="42">G20*F21</f>
        <v>1100</v>
      </c>
      <c r="I20" s="2300">
        <f>H20*$I$7</f>
        <v>1462.9999999999998</v>
      </c>
      <c r="J20" s="1226">
        <f>H20*$J$7</f>
        <v>220</v>
      </c>
      <c r="K20" s="1245">
        <f t="shared" ref="K20" si="43">H20*18%*8</f>
        <v>1584</v>
      </c>
      <c r="L20" s="1245">
        <f t="shared" ref="L20" si="44">H20*18%*3</f>
        <v>594</v>
      </c>
      <c r="M20" s="1245">
        <f>H20*5.5%*12</f>
        <v>726</v>
      </c>
      <c r="N20" s="1245">
        <f>H20*5.5%*12</f>
        <v>726</v>
      </c>
      <c r="O20" s="1250">
        <f t="shared" si="15"/>
        <v>508.2</v>
      </c>
      <c r="P20" s="152">
        <f>SUM(I20,J20,K20)</f>
        <v>3267</v>
      </c>
      <c r="Q20" s="155">
        <f>$P20+$L20</f>
        <v>3861</v>
      </c>
      <c r="R20" s="154">
        <f>$Q20+$M20+$N20+$O20</f>
        <v>5821.2</v>
      </c>
      <c r="S20" s="152">
        <f>P20*$U$5</f>
        <v>3038.31</v>
      </c>
      <c r="T20" s="155">
        <f>$Q20*$U$5</f>
        <v>3590.73</v>
      </c>
      <c r="U20" s="156">
        <f>R20*$U$5</f>
        <v>5413.7160000000003</v>
      </c>
      <c r="V20" s="22">
        <f t="shared" ref="V20" si="45">P20*$X$5</f>
        <v>2809.62</v>
      </c>
      <c r="W20" s="23">
        <f t="shared" ref="W20" si="46">$Q20*$X$5</f>
        <v>3320.46</v>
      </c>
      <c r="X20" s="24">
        <f t="shared" ref="X20" si="47">R20*$X$5</f>
        <v>5006.232</v>
      </c>
      <c r="Y20" s="153">
        <f>P20*$AA$5</f>
        <v>2711.6099999999997</v>
      </c>
      <c r="Z20" s="155">
        <f>$Q20*$AA$5</f>
        <v>3204.6299999999997</v>
      </c>
      <c r="AA20" s="154">
        <f>R20*$AA$5</f>
        <v>4831.5959999999995</v>
      </c>
      <c r="AB20" s="152">
        <f>P20*$AD$5</f>
        <v>2450.25</v>
      </c>
      <c r="AC20" s="155">
        <f>$Q20*$AD$5</f>
        <v>2895.75</v>
      </c>
      <c r="AD20" s="154">
        <f>R20*$AD$5</f>
        <v>4365.8999999999996</v>
      </c>
      <c r="AE20" s="153">
        <f>P20*$AG$5</f>
        <v>2286.8999999999996</v>
      </c>
      <c r="AF20" s="155">
        <f>$Q20*$AG$5</f>
        <v>2702.7</v>
      </c>
      <c r="AG20" s="154">
        <f>R20*$AG$5</f>
        <v>4074.8399999999997</v>
      </c>
    </row>
    <row r="21" spans="2:36" ht="18" customHeight="1">
      <c r="B21" s="2295"/>
      <c r="C21" s="2293" t="s">
        <v>581</v>
      </c>
      <c r="D21" s="2294"/>
      <c r="E21" s="2065"/>
      <c r="F21" s="445">
        <v>1.1000000000000001</v>
      </c>
      <c r="G21" s="2299"/>
      <c r="H21" s="1227"/>
      <c r="I21" s="2301"/>
      <c r="J21" s="1227"/>
      <c r="K21" s="1232"/>
      <c r="L21" s="1232"/>
      <c r="M21" s="1232"/>
      <c r="N21" s="1232"/>
      <c r="O21" s="1251"/>
      <c r="P21" s="186">
        <f t="shared" ref="P21:AG21" si="48">P20/$G$20</f>
        <v>3.2669999999999999</v>
      </c>
      <c r="Q21" s="189">
        <f t="shared" si="48"/>
        <v>3.8610000000000002</v>
      </c>
      <c r="R21" s="188">
        <f t="shared" si="48"/>
        <v>5.8212000000000002</v>
      </c>
      <c r="S21" s="186">
        <f t="shared" si="48"/>
        <v>3.0383100000000001</v>
      </c>
      <c r="T21" s="189">
        <f t="shared" si="48"/>
        <v>3.5907300000000002</v>
      </c>
      <c r="U21" s="190">
        <f t="shared" si="48"/>
        <v>5.413716</v>
      </c>
      <c r="V21" s="186">
        <f>V20/$G$20</f>
        <v>2.8096199999999998</v>
      </c>
      <c r="W21" s="189">
        <f t="shared" ref="W21:X21" si="49">W20/$G$20</f>
        <v>3.3204600000000002</v>
      </c>
      <c r="X21" s="188">
        <f t="shared" si="49"/>
        <v>5.0062319999999998</v>
      </c>
      <c r="Y21" s="187">
        <f t="shared" si="48"/>
        <v>2.7116099999999999</v>
      </c>
      <c r="Z21" s="189">
        <f t="shared" si="48"/>
        <v>3.2046299999999999</v>
      </c>
      <c r="AA21" s="188">
        <f t="shared" si="48"/>
        <v>4.8315959999999993</v>
      </c>
      <c r="AB21" s="186">
        <f t="shared" si="48"/>
        <v>2.45025</v>
      </c>
      <c r="AC21" s="189">
        <f t="shared" si="48"/>
        <v>2.89575</v>
      </c>
      <c r="AD21" s="188">
        <f t="shared" si="48"/>
        <v>4.3658999999999999</v>
      </c>
      <c r="AE21" s="187">
        <f t="shared" si="48"/>
        <v>2.2868999999999997</v>
      </c>
      <c r="AF21" s="189">
        <f t="shared" si="48"/>
        <v>2.7026999999999997</v>
      </c>
      <c r="AG21" s="188">
        <f t="shared" si="48"/>
        <v>4.07484</v>
      </c>
    </row>
    <row r="22" spans="2:36" ht="18" customHeight="1">
      <c r="B22" s="2295"/>
      <c r="C22" s="2302" t="s">
        <v>582</v>
      </c>
      <c r="D22" s="2303"/>
      <c r="E22" s="2303"/>
      <c r="F22" s="2304"/>
      <c r="G22" s="2305">
        <v>1000</v>
      </c>
      <c r="H22" s="1232">
        <f t="shared" ref="H22" si="50">G22*F23</f>
        <v>1070</v>
      </c>
      <c r="I22" s="2306">
        <f t="shared" ref="I22" si="51">H22*$I$7</f>
        <v>1423.1</v>
      </c>
      <c r="J22" s="1232">
        <f t="shared" ref="J22" si="52">H22*$J$7</f>
        <v>214</v>
      </c>
      <c r="K22" s="1268">
        <f t="shared" ref="K22" si="53">H22*18%*8</f>
        <v>1540.8</v>
      </c>
      <c r="L22" s="1268">
        <f t="shared" ref="L22" si="54">H22*18%*3</f>
        <v>577.79999999999995</v>
      </c>
      <c r="M22" s="1268">
        <f>H22*5.5%*12</f>
        <v>706.2</v>
      </c>
      <c r="N22" s="1268">
        <f>H22*5.5%*12</f>
        <v>706.2</v>
      </c>
      <c r="O22" s="1492">
        <f t="shared" si="15"/>
        <v>494.34</v>
      </c>
      <c r="P22" s="22">
        <f>SUM(I22,J22,K22)</f>
        <v>3177.8999999999996</v>
      </c>
      <c r="Q22" s="23">
        <f>$P22+$L22</f>
        <v>3755.7</v>
      </c>
      <c r="R22" s="24">
        <f>$Q22+$M22+$N22+$O22</f>
        <v>5662.44</v>
      </c>
      <c r="S22" s="22">
        <f>P22*$U$5</f>
        <v>2955.4469999999997</v>
      </c>
      <c r="T22" s="23">
        <f>$Q22*$U$5</f>
        <v>3492.8009999999999</v>
      </c>
      <c r="U22" s="107">
        <f>R22*$U$5</f>
        <v>5266.0691999999999</v>
      </c>
      <c r="V22" s="25">
        <f t="shared" ref="V22" si="55">P22*$X$5</f>
        <v>2732.9939999999997</v>
      </c>
      <c r="W22" s="26">
        <f t="shared" ref="W22" si="56">$Q22*$X$5</f>
        <v>3229.9019999999996</v>
      </c>
      <c r="X22" s="27">
        <f t="shared" ref="X22" si="57">R22*$X$5</f>
        <v>4869.6983999999993</v>
      </c>
      <c r="Y22" s="35">
        <f>P22*$AA$5</f>
        <v>2637.6569999999997</v>
      </c>
      <c r="Z22" s="23">
        <f>$Q22*$AA$5</f>
        <v>3117.2309999999998</v>
      </c>
      <c r="AA22" s="24">
        <f>R22*$AA$5</f>
        <v>4699.8251999999993</v>
      </c>
      <c r="AB22" s="22">
        <f>P22*$AD$5</f>
        <v>2383.4249999999997</v>
      </c>
      <c r="AC22" s="23">
        <f>$Q22*$AD$5</f>
        <v>2816.7749999999996</v>
      </c>
      <c r="AD22" s="24">
        <f>R22*$AD$5</f>
        <v>4246.83</v>
      </c>
      <c r="AE22" s="35">
        <f>P22*$AG$5</f>
        <v>2224.5299999999997</v>
      </c>
      <c r="AF22" s="23">
        <f>$Q22*$AG$5</f>
        <v>2628.99</v>
      </c>
      <c r="AG22" s="24">
        <f>R22*$AG$5</f>
        <v>3963.7079999999996</v>
      </c>
    </row>
    <row r="23" spans="2:36" ht="18" customHeight="1" thickBot="1">
      <c r="B23" s="2296"/>
      <c r="C23" s="2281" t="s">
        <v>583</v>
      </c>
      <c r="D23" s="2282"/>
      <c r="E23" s="2283"/>
      <c r="F23" s="442">
        <v>1.07</v>
      </c>
      <c r="G23" s="2289"/>
      <c r="H23" s="1233"/>
      <c r="I23" s="2307"/>
      <c r="J23" s="1233"/>
      <c r="K23" s="1235"/>
      <c r="L23" s="1235"/>
      <c r="M23" s="1235"/>
      <c r="N23" s="1235"/>
      <c r="O23" s="1257"/>
      <c r="P23" s="174">
        <f>P22/$G$22</f>
        <v>3.1778999999999997</v>
      </c>
      <c r="Q23" s="175">
        <f>Q22/$G$14</f>
        <v>3.7557</v>
      </c>
      <c r="R23" s="176">
        <f>R22/$G$22</f>
        <v>5.6624399999999993</v>
      </c>
      <c r="S23" s="174">
        <f>S22/$G$22</f>
        <v>2.9554469999999995</v>
      </c>
      <c r="T23" s="175">
        <f>T22/$G$14</f>
        <v>3.492801</v>
      </c>
      <c r="U23" s="194">
        <f>U22/$G$22</f>
        <v>5.2660691999999996</v>
      </c>
      <c r="V23" s="232">
        <f>V22/$G$22</f>
        <v>2.7329939999999997</v>
      </c>
      <c r="W23" s="230">
        <f t="shared" ref="W23:X23" si="58">W22/$G$22</f>
        <v>3.2299019999999996</v>
      </c>
      <c r="X23" s="233">
        <f t="shared" si="58"/>
        <v>4.869698399999999</v>
      </c>
      <c r="Y23" s="193">
        <f>Y22/$G$22</f>
        <v>2.6376569999999999</v>
      </c>
      <c r="Z23" s="175">
        <f>Z22/$G$14</f>
        <v>3.1172309999999999</v>
      </c>
      <c r="AA23" s="176">
        <f>AA22/$G$22</f>
        <v>4.6998251999999994</v>
      </c>
      <c r="AB23" s="174">
        <f>AB22/$G$22</f>
        <v>2.3834249999999999</v>
      </c>
      <c r="AC23" s="175">
        <f>AC22/$G$14</f>
        <v>2.8167749999999998</v>
      </c>
      <c r="AD23" s="176">
        <f>AD22/$G$22</f>
        <v>4.2468300000000001</v>
      </c>
      <c r="AE23" s="193">
        <f>AE22/$G$22</f>
        <v>2.2245299999999997</v>
      </c>
      <c r="AF23" s="175">
        <f>AF22/$G$14</f>
        <v>2.6289899999999999</v>
      </c>
      <c r="AG23" s="176">
        <f>AG22/$G$22</f>
        <v>3.9637079999999996</v>
      </c>
    </row>
    <row r="24" spans="2:36" ht="18" customHeight="1">
      <c r="B24" s="2284" t="s">
        <v>584</v>
      </c>
      <c r="C24" s="1500" t="s">
        <v>585</v>
      </c>
      <c r="D24" s="2286"/>
      <c r="E24" s="2287"/>
      <c r="F24" s="679" t="s">
        <v>586</v>
      </c>
      <c r="G24" s="2288">
        <v>100000</v>
      </c>
      <c r="H24" s="1226"/>
      <c r="I24" s="1226"/>
      <c r="J24" s="1226">
        <f>G24*F25</f>
        <v>4200</v>
      </c>
      <c r="K24" s="1226"/>
      <c r="L24" s="1226"/>
      <c r="M24" s="2280"/>
      <c r="N24" s="1226"/>
      <c r="O24" s="1226"/>
      <c r="P24" s="152">
        <f>SUM(I24,J24,K24)</f>
        <v>4200</v>
      </c>
      <c r="Q24" s="155">
        <f>$P24+$L24</f>
        <v>4200</v>
      </c>
      <c r="R24" s="154">
        <f>$Q24+$M24+$N24+$O24</f>
        <v>4200</v>
      </c>
      <c r="S24" s="152">
        <f>P24*$U$5</f>
        <v>3906</v>
      </c>
      <c r="T24" s="155">
        <f>$Q24*$U$5</f>
        <v>3906</v>
      </c>
      <c r="U24" s="156">
        <f>R24*$U$5</f>
        <v>3906</v>
      </c>
      <c r="V24" s="152">
        <f t="shared" ref="V24" si="59">P24*$X$5</f>
        <v>3612</v>
      </c>
      <c r="W24" s="155">
        <f t="shared" ref="W24" si="60">$Q24*$X$5</f>
        <v>3612</v>
      </c>
      <c r="X24" s="154">
        <f t="shared" ref="X24" si="61">R24*$X$5</f>
        <v>3612</v>
      </c>
      <c r="Y24" s="153">
        <f>P24*$AA$5</f>
        <v>3486</v>
      </c>
      <c r="Z24" s="155">
        <f>$Q24*$AA$5</f>
        <v>3486</v>
      </c>
      <c r="AA24" s="154">
        <f>R24*$AA$5</f>
        <v>3486</v>
      </c>
      <c r="AB24" s="152">
        <f>P24*$AD$5</f>
        <v>3150</v>
      </c>
      <c r="AC24" s="155">
        <f>$Q24*$AD$5</f>
        <v>3150</v>
      </c>
      <c r="AD24" s="154">
        <f>R24*$AD$5</f>
        <v>3150</v>
      </c>
      <c r="AE24" s="153">
        <f>P24*$AG$5</f>
        <v>2940</v>
      </c>
      <c r="AF24" s="155">
        <f>$Q24*$AG$5</f>
        <v>2940</v>
      </c>
      <c r="AG24" s="154">
        <f>R24*$AG$5</f>
        <v>2940</v>
      </c>
    </row>
    <row r="25" spans="2:36" ht="18" customHeight="1" thickBot="1">
      <c r="B25" s="2285"/>
      <c r="C25" s="2290" t="s">
        <v>587</v>
      </c>
      <c r="D25" s="2291"/>
      <c r="E25" s="2292"/>
      <c r="F25" s="483">
        <v>4.2000000000000003E-2</v>
      </c>
      <c r="G25" s="2289"/>
      <c r="H25" s="1233"/>
      <c r="I25" s="1233"/>
      <c r="J25" s="1233"/>
      <c r="K25" s="1233"/>
      <c r="L25" s="1233"/>
      <c r="M25" s="2230"/>
      <c r="N25" s="1233"/>
      <c r="O25" s="1233"/>
      <c r="P25" s="174">
        <f>P24/G24</f>
        <v>4.2000000000000003E-2</v>
      </c>
      <c r="Q25" s="175">
        <f>Q24/G24</f>
        <v>4.2000000000000003E-2</v>
      </c>
      <c r="R25" s="356">
        <f>R24/G24</f>
        <v>4.2000000000000003E-2</v>
      </c>
      <c r="S25" s="174">
        <f>S24/G24</f>
        <v>3.9059999999999997E-2</v>
      </c>
      <c r="T25" s="357">
        <f>T24/G24</f>
        <v>3.9059999999999997E-2</v>
      </c>
      <c r="U25" s="194">
        <f>U24/G24</f>
        <v>3.9059999999999997E-2</v>
      </c>
      <c r="V25" s="174">
        <f>V24/$G$24</f>
        <v>3.6119999999999999E-2</v>
      </c>
      <c r="W25" s="175">
        <f t="shared" ref="W25:X25" si="62">W24/$G$24</f>
        <v>3.6119999999999999E-2</v>
      </c>
      <c r="X25" s="176">
        <f t="shared" si="62"/>
        <v>3.6119999999999999E-2</v>
      </c>
      <c r="Y25" s="193">
        <f>Y24/G24</f>
        <v>3.4860000000000002E-2</v>
      </c>
      <c r="Z25" s="175">
        <f>Z24/G24</f>
        <v>3.4860000000000002E-2</v>
      </c>
      <c r="AA25" s="176">
        <f>AA24/G24</f>
        <v>3.4860000000000002E-2</v>
      </c>
      <c r="AB25" s="174">
        <f>AB24/G24</f>
        <v>3.15E-2</v>
      </c>
      <c r="AC25" s="175">
        <f>AC24/G24</f>
        <v>3.15E-2</v>
      </c>
      <c r="AD25" s="176">
        <f>AD24/G24</f>
        <v>3.15E-2</v>
      </c>
      <c r="AE25" s="193">
        <f>AE24/G24</f>
        <v>2.9399999999999999E-2</v>
      </c>
      <c r="AF25" s="175">
        <f>AF24/G24</f>
        <v>2.9399999999999999E-2</v>
      </c>
      <c r="AG25" s="176">
        <f>AG24/G24</f>
        <v>2.9399999999999999E-2</v>
      </c>
    </row>
    <row r="26" spans="2:36" ht="18" customHeight="1">
      <c r="B26" s="28"/>
      <c r="C26" s="28"/>
      <c r="D26" s="28"/>
      <c r="E26" s="28"/>
      <c r="F26" s="452"/>
      <c r="G26" s="28"/>
      <c r="H26" s="29"/>
      <c r="I26" s="29"/>
      <c r="J26" s="29"/>
      <c r="K26" s="29"/>
      <c r="L26" s="29"/>
      <c r="M26" s="29"/>
      <c r="N26" s="29"/>
      <c r="O26" s="29"/>
      <c r="P26" s="29"/>
      <c r="Q26" s="29"/>
      <c r="R26" s="29"/>
      <c r="S26" s="29"/>
      <c r="T26" s="29"/>
      <c r="U26" s="29"/>
      <c r="V26" s="29"/>
      <c r="W26" s="29"/>
      <c r="X26" s="29"/>
      <c r="Y26" s="29"/>
      <c r="Z26" s="29"/>
      <c r="AA26" s="29"/>
      <c r="AB26" s="29"/>
      <c r="AC26" s="29"/>
    </row>
    <row r="27" spans="2:36" s="79" customFormat="1" ht="18" customHeight="1">
      <c r="B27" s="77" t="s">
        <v>588</v>
      </c>
      <c r="C27" s="78"/>
      <c r="D27" s="78"/>
      <c r="E27" s="78"/>
      <c r="F27" s="78"/>
      <c r="G27" s="78"/>
      <c r="M27" s="488"/>
      <c r="N27" s="488"/>
      <c r="P27" s="583"/>
      <c r="Q27" s="625"/>
      <c r="S27" s="488"/>
      <c r="T27" s="488"/>
      <c r="W27" s="583"/>
      <c r="X27" s="626"/>
      <c r="AE27" s="17"/>
      <c r="AF27" s="17"/>
      <c r="AG27" s="17"/>
      <c r="AH27" s="17"/>
      <c r="AI27" s="17"/>
      <c r="AJ27" s="17"/>
    </row>
    <row r="28" spans="2:36" s="79" customFormat="1" ht="18" customHeight="1">
      <c r="B28" s="79" t="s">
        <v>589</v>
      </c>
      <c r="C28" s="77"/>
      <c r="D28" s="77"/>
      <c r="E28" s="77"/>
      <c r="F28" s="78"/>
      <c r="G28" s="78"/>
      <c r="M28" s="488"/>
      <c r="N28" s="488"/>
      <c r="P28" s="583"/>
      <c r="Q28" s="625"/>
      <c r="S28" s="488"/>
      <c r="T28" s="488"/>
      <c r="AE28" s="17"/>
      <c r="AF28" s="17"/>
      <c r="AG28" s="17"/>
      <c r="AH28" s="17"/>
      <c r="AI28" s="17"/>
      <c r="AJ28" s="17"/>
    </row>
    <row r="29" spans="2:36" s="79" customFormat="1" ht="18" customHeight="1">
      <c r="B29" s="64" t="s">
        <v>598</v>
      </c>
      <c r="C29" s="77"/>
      <c r="D29" s="77"/>
      <c r="E29" s="77"/>
      <c r="F29" s="78"/>
      <c r="G29" s="78"/>
      <c r="J29" s="78"/>
      <c r="AE29" s="17"/>
      <c r="AF29" s="17"/>
      <c r="AG29" s="17"/>
      <c r="AH29" s="17"/>
      <c r="AI29" s="17"/>
      <c r="AJ29" s="17"/>
    </row>
    <row r="30" spans="2:36" s="50" customFormat="1" ht="18" customHeight="1">
      <c r="B30" s="50" t="s">
        <v>590</v>
      </c>
      <c r="C30" s="48"/>
      <c r="D30" s="48"/>
      <c r="E30" s="48"/>
      <c r="F30" s="48"/>
      <c r="G30" s="48"/>
      <c r="R30" s="79"/>
      <c r="S30" s="79"/>
      <c r="T30" s="79"/>
      <c r="U30" s="79"/>
      <c r="V30" s="79"/>
    </row>
    <row r="31" spans="2:36" s="50" customFormat="1" ht="18" customHeight="1">
      <c r="B31" s="50" t="s">
        <v>1721</v>
      </c>
      <c r="C31" s="48"/>
      <c r="D31" s="48"/>
      <c r="E31" s="48"/>
      <c r="F31" s="48"/>
      <c r="G31" s="48"/>
      <c r="R31" s="79"/>
      <c r="S31" s="79"/>
      <c r="T31" s="79"/>
      <c r="U31" s="79"/>
      <c r="V31" s="79"/>
    </row>
    <row r="32" spans="2:36" s="79" customFormat="1" ht="18" customHeight="1">
      <c r="B32" s="418" t="s">
        <v>591</v>
      </c>
      <c r="C32" s="78"/>
      <c r="D32" s="78"/>
      <c r="E32" s="78"/>
      <c r="F32" s="78"/>
      <c r="G32" s="78"/>
    </row>
    <row r="33" spans="2:28" s="79" customFormat="1" ht="18" customHeight="1">
      <c r="B33" s="79" t="s">
        <v>592</v>
      </c>
      <c r="C33" s="78"/>
      <c r="D33" s="78"/>
      <c r="E33" s="78"/>
      <c r="F33" s="78"/>
      <c r="G33" s="78"/>
    </row>
    <row r="34" spans="2:28" s="79" customFormat="1" ht="18" customHeight="1">
      <c r="B34" s="80" t="s">
        <v>593</v>
      </c>
      <c r="C34" s="78"/>
      <c r="D34" s="78"/>
      <c r="E34" s="78"/>
      <c r="F34" s="78"/>
      <c r="G34" s="78"/>
      <c r="J34" s="78"/>
    </row>
    <row r="35" spans="2:28" s="18" customFormat="1" ht="18" customHeight="1">
      <c r="F35" s="74"/>
    </row>
    <row r="36" spans="2:28" s="18" customFormat="1" ht="18" customHeight="1">
      <c r="B36" s="323"/>
      <c r="F36" s="74"/>
    </row>
    <row r="37" spans="2:28" s="18" customFormat="1" ht="18" customHeight="1">
      <c r="Q37" s="74"/>
    </row>
    <row r="38" spans="2:28" s="18" customFormat="1" ht="18" customHeight="1"/>
    <row r="39" spans="2:28" s="18" customFormat="1" ht="18" customHeight="1">
      <c r="F39" s="74"/>
    </row>
    <row r="40" spans="2:28" s="18" customFormat="1" ht="18" customHeight="1">
      <c r="F40" s="74"/>
    </row>
    <row r="41" spans="2:28" s="18" customFormat="1" ht="18" customHeight="1">
      <c r="F41" s="74"/>
    </row>
    <row r="42" spans="2:28" s="18" customFormat="1" ht="18" customHeight="1">
      <c r="F42" s="74"/>
    </row>
    <row r="43" spans="2:28" s="18" customFormat="1" ht="18" customHeight="1">
      <c r="F43" s="74"/>
    </row>
    <row r="44" spans="2:28" s="18" customFormat="1" ht="18" customHeight="1">
      <c r="F44" s="74"/>
    </row>
    <row r="45" spans="2:28" s="18" customFormat="1" ht="18" customHeight="1">
      <c r="F45" s="74"/>
    </row>
    <row r="46" spans="2:28" s="18" customFormat="1" ht="18" customHeight="1">
      <c r="F46" s="74"/>
    </row>
    <row r="47" spans="2:28" ht="18" customHeight="1">
      <c r="AA47" s="17"/>
      <c r="AB47" s="17"/>
    </row>
    <row r="48" spans="2:28" ht="18" customHeight="1">
      <c r="B48" s="17"/>
      <c r="C48" s="17"/>
      <c r="D48" s="17"/>
      <c r="E48" s="17"/>
      <c r="G48" s="17"/>
      <c r="AA48" s="17"/>
      <c r="AB48" s="17"/>
    </row>
    <row r="49" spans="2:28" ht="18" customHeight="1">
      <c r="B49" s="17"/>
      <c r="C49" s="17"/>
      <c r="D49" s="17"/>
      <c r="E49" s="17"/>
      <c r="G49" s="17"/>
      <c r="AA49" s="17"/>
      <c r="AB49" s="17"/>
    </row>
    <row r="50" spans="2:28" ht="18" customHeight="1">
      <c r="B50" s="17"/>
      <c r="C50" s="17"/>
      <c r="D50" s="17"/>
      <c r="E50" s="17"/>
      <c r="G50" s="17"/>
      <c r="AA50" s="17"/>
      <c r="AB50" s="17"/>
    </row>
    <row r="51" spans="2:28" ht="18" customHeight="1">
      <c r="B51" s="17"/>
      <c r="C51" s="17"/>
      <c r="D51" s="17"/>
      <c r="E51" s="17"/>
      <c r="G51" s="17"/>
      <c r="AA51" s="17"/>
      <c r="AB51" s="17"/>
    </row>
    <row r="52" spans="2:28" ht="18" customHeight="1">
      <c r="B52" s="17"/>
      <c r="C52" s="17"/>
      <c r="D52" s="17"/>
      <c r="E52" s="17"/>
      <c r="G52" s="17"/>
      <c r="AA52" s="17"/>
      <c r="AB52" s="17"/>
    </row>
  </sheetData>
  <mergeCells count="126">
    <mergeCell ref="C11:E11"/>
    <mergeCell ref="C12:F12"/>
    <mergeCell ref="B1:AG1"/>
    <mergeCell ref="B5:F6"/>
    <mergeCell ref="G5:G7"/>
    <mergeCell ref="H5:H7"/>
    <mergeCell ref="I5:I6"/>
    <mergeCell ref="J5:J6"/>
    <mergeCell ref="K5:N6"/>
    <mergeCell ref="O5:O6"/>
    <mergeCell ref="P5:P7"/>
    <mergeCell ref="Q5:Q7"/>
    <mergeCell ref="AA5:AA6"/>
    <mergeCell ref="AB5:AC6"/>
    <mergeCell ref="AD5:AD6"/>
    <mergeCell ref="AE5:AF6"/>
    <mergeCell ref="AG5:AG6"/>
    <mergeCell ref="C7:E7"/>
    <mergeCell ref="R5:R7"/>
    <mergeCell ref="S5:T6"/>
    <mergeCell ref="U5:U6"/>
    <mergeCell ref="V5:W6"/>
    <mergeCell ref="X5:X6"/>
    <mergeCell ref="Y5:Z6"/>
    <mergeCell ref="M10:M11"/>
    <mergeCell ref="N10:N11"/>
    <mergeCell ref="K8:K9"/>
    <mergeCell ref="L8:L9"/>
    <mergeCell ref="M8:M9"/>
    <mergeCell ref="N8:N9"/>
    <mergeCell ref="O8:O9"/>
    <mergeCell ref="C9:E9"/>
    <mergeCell ref="B8:B13"/>
    <mergeCell ref="C8:F8"/>
    <mergeCell ref="G8:G9"/>
    <mergeCell ref="H8:H9"/>
    <mergeCell ref="I8:I9"/>
    <mergeCell ref="J8:J9"/>
    <mergeCell ref="C10:F10"/>
    <mergeCell ref="G10:G11"/>
    <mergeCell ref="H10:H11"/>
    <mergeCell ref="I10:I11"/>
    <mergeCell ref="K12:K13"/>
    <mergeCell ref="L12:L13"/>
    <mergeCell ref="M12:M13"/>
    <mergeCell ref="N12:N13"/>
    <mergeCell ref="O12:O13"/>
    <mergeCell ref="C13:E13"/>
    <mergeCell ref="O10:O11"/>
    <mergeCell ref="K14:K15"/>
    <mergeCell ref="L14:L15"/>
    <mergeCell ref="M14:M15"/>
    <mergeCell ref="N14:N15"/>
    <mergeCell ref="O14:O15"/>
    <mergeCell ref="C15:E15"/>
    <mergeCell ref="B14:B17"/>
    <mergeCell ref="C14:F14"/>
    <mergeCell ref="G14:G15"/>
    <mergeCell ref="H14:H15"/>
    <mergeCell ref="I14:I15"/>
    <mergeCell ref="J14:J15"/>
    <mergeCell ref="C16:F16"/>
    <mergeCell ref="G16:G17"/>
    <mergeCell ref="H16:H17"/>
    <mergeCell ref="I16:I17"/>
    <mergeCell ref="G12:G13"/>
    <mergeCell ref="H12:H13"/>
    <mergeCell ref="I12:I13"/>
    <mergeCell ref="J12:J13"/>
    <mergeCell ref="J10:J11"/>
    <mergeCell ref="K10:K11"/>
    <mergeCell ref="L10:L11"/>
    <mergeCell ref="J18:J19"/>
    <mergeCell ref="K18:K19"/>
    <mergeCell ref="L18:L19"/>
    <mergeCell ref="M18:M19"/>
    <mergeCell ref="N18:N19"/>
    <mergeCell ref="O18:O19"/>
    <mergeCell ref="C17:E17"/>
    <mergeCell ref="B18:B19"/>
    <mergeCell ref="C18:F18"/>
    <mergeCell ref="G18:G19"/>
    <mergeCell ref="H18:H19"/>
    <mergeCell ref="I18:I19"/>
    <mergeCell ref="C19:E19"/>
    <mergeCell ref="J16:J17"/>
    <mergeCell ref="K16:K17"/>
    <mergeCell ref="L16:L17"/>
    <mergeCell ref="M16:M17"/>
    <mergeCell ref="N16:N17"/>
    <mergeCell ref="O16:O17"/>
    <mergeCell ref="K20:K21"/>
    <mergeCell ref="L20:L21"/>
    <mergeCell ref="M20:M21"/>
    <mergeCell ref="N20:N21"/>
    <mergeCell ref="O20:O21"/>
    <mergeCell ref="C21:E21"/>
    <mergeCell ref="B20:B23"/>
    <mergeCell ref="C20:F20"/>
    <mergeCell ref="G20:G21"/>
    <mergeCell ref="H20:H21"/>
    <mergeCell ref="I20:I21"/>
    <mergeCell ref="J20:J21"/>
    <mergeCell ref="C22:F22"/>
    <mergeCell ref="G22:G23"/>
    <mergeCell ref="H22:H23"/>
    <mergeCell ref="I22:I23"/>
    <mergeCell ref="J24:J25"/>
    <mergeCell ref="K24:K25"/>
    <mergeCell ref="L24:L25"/>
    <mergeCell ref="M24:M25"/>
    <mergeCell ref="N24:N25"/>
    <mergeCell ref="O24:O25"/>
    <mergeCell ref="C23:E23"/>
    <mergeCell ref="B24:B25"/>
    <mergeCell ref="C24:E24"/>
    <mergeCell ref="G24:G25"/>
    <mergeCell ref="H24:H25"/>
    <mergeCell ref="I24:I25"/>
    <mergeCell ref="C25:E25"/>
    <mergeCell ref="J22:J23"/>
    <mergeCell ref="K22:K23"/>
    <mergeCell ref="L22:L23"/>
    <mergeCell ref="M22:M23"/>
    <mergeCell ref="N22:N23"/>
    <mergeCell ref="O22:O23"/>
  </mergeCells>
  <phoneticPr fontId="99" type="noConversion"/>
  <printOptions horizontalCentered="1"/>
  <pageMargins left="0.31496062992125984" right="0.31496062992125984" top="0.31496062992125984" bottom="0.31496062992125984" header="0" footer="0"/>
  <pageSetup paperSize="9" scale="52"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IV42"/>
  <sheetViews>
    <sheetView zoomScaleNormal="100" workbookViewId="0">
      <pane ySplit="1" topLeftCell="A2" activePane="bottomLeft" state="frozen"/>
      <selection pane="bottomLeft"/>
    </sheetView>
  </sheetViews>
  <sheetFormatPr defaultColWidth="7.25" defaultRowHeight="18" customHeight="1"/>
  <cols>
    <col min="1" max="1" width="1" style="146" customWidth="1"/>
    <col min="2" max="3" width="10.5" style="146" customWidth="1"/>
    <col min="4" max="4" width="9.375" style="146" customWidth="1"/>
    <col min="5" max="5" width="9.375" style="147" customWidth="1"/>
    <col min="6" max="10" width="9.375" style="146" customWidth="1"/>
    <col min="11" max="15" width="10.25" style="146" customWidth="1"/>
    <col min="16" max="16" width="9.75" style="146" customWidth="1"/>
    <col min="17" max="17" width="1.125" style="146" customWidth="1"/>
    <col min="18" max="20" width="7.25" style="146"/>
    <col min="21" max="23" width="8.125" style="146" bestFit="1" customWidth="1"/>
    <col min="24" max="24" width="8.625" style="146" bestFit="1" customWidth="1"/>
    <col min="25" max="25" width="9.5" style="146" bestFit="1" customWidth="1"/>
    <col min="26" max="26" width="8.625" style="146" bestFit="1" customWidth="1"/>
    <col min="27" max="27" width="7.25" style="146"/>
    <col min="28" max="28" width="9.5" style="146" bestFit="1" customWidth="1"/>
    <col min="29" max="33" width="8.625" style="146" bestFit="1" customWidth="1"/>
    <col min="34" max="34" width="7.5" style="146" bestFit="1" customWidth="1"/>
    <col min="35" max="35" width="8.625" style="146" bestFit="1" customWidth="1"/>
    <col min="36" max="36" width="7.5" style="146" bestFit="1" customWidth="1"/>
    <col min="37" max="37" width="8.625" style="146" bestFit="1" customWidth="1"/>
    <col min="38" max="16384" width="7.25" style="146"/>
  </cols>
  <sheetData>
    <row r="1" spans="1:256" s="115" customFormat="1" ht="30" customHeight="1" thickBot="1">
      <c r="A1" s="325"/>
      <c r="B1" s="1140" t="s">
        <v>1740</v>
      </c>
      <c r="C1" s="1140"/>
      <c r="D1" s="1140"/>
      <c r="E1" s="1140"/>
      <c r="F1" s="1140"/>
      <c r="G1" s="1140"/>
      <c r="H1" s="1140"/>
      <c r="I1" s="1140"/>
      <c r="J1" s="1140"/>
      <c r="K1" s="1140"/>
      <c r="L1" s="1140"/>
      <c r="M1" s="1140"/>
      <c r="N1" s="1140"/>
      <c r="O1" s="1140"/>
      <c r="P1" s="1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c r="HO1" s="140"/>
      <c r="HP1" s="140"/>
      <c r="HQ1" s="140"/>
      <c r="HR1" s="140"/>
      <c r="HS1" s="140"/>
      <c r="HT1" s="140"/>
      <c r="HU1" s="140"/>
      <c r="HV1" s="140"/>
      <c r="HW1" s="140"/>
      <c r="HX1" s="140"/>
      <c r="HY1" s="140"/>
      <c r="HZ1" s="140"/>
      <c r="IA1" s="140"/>
      <c r="IB1" s="140"/>
      <c r="IC1" s="140"/>
      <c r="ID1" s="140"/>
      <c r="IE1" s="140"/>
      <c r="IF1" s="140"/>
      <c r="IG1" s="140"/>
      <c r="IH1" s="140"/>
      <c r="II1" s="140"/>
      <c r="IJ1" s="140"/>
      <c r="IK1" s="140"/>
      <c r="IL1" s="140"/>
      <c r="IM1" s="140"/>
      <c r="IN1" s="140"/>
      <c r="IO1" s="140"/>
      <c r="IP1" s="140"/>
      <c r="IQ1" s="140"/>
      <c r="IR1" s="140"/>
      <c r="IS1" s="140"/>
      <c r="IT1" s="140"/>
      <c r="IU1" s="140"/>
      <c r="IV1" s="140"/>
    </row>
    <row r="2" spans="1:256" s="114" customFormat="1" ht="9.75" customHeight="1" thickTop="1">
      <c r="A2" s="68"/>
      <c r="B2" s="67"/>
      <c r="C2" s="67"/>
      <c r="D2" s="141"/>
      <c r="E2" s="142"/>
      <c r="F2" s="142"/>
      <c r="G2" s="143"/>
      <c r="H2" s="143"/>
      <c r="I2" s="143"/>
      <c r="J2" s="143"/>
      <c r="K2" s="142"/>
      <c r="L2" s="142"/>
      <c r="M2" s="142"/>
      <c r="N2" s="142"/>
      <c r="O2" s="142"/>
      <c r="P2" s="142"/>
      <c r="Q2" s="142"/>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row>
    <row r="3" spans="1:256" s="115" customFormat="1" ht="18" customHeight="1" thickBot="1">
      <c r="A3" s="69"/>
      <c r="B3" s="70" t="s">
        <v>136</v>
      </c>
      <c r="C3" s="70"/>
      <c r="D3" s="142"/>
      <c r="E3" s="143"/>
      <c r="F3" s="142"/>
      <c r="G3" s="143"/>
      <c r="H3" s="143"/>
      <c r="I3" s="143"/>
      <c r="J3" s="143"/>
      <c r="K3" s="142"/>
      <c r="L3" s="143"/>
      <c r="M3" s="143"/>
      <c r="N3" s="143"/>
      <c r="O3" s="143"/>
      <c r="P3" s="143"/>
      <c r="Q3" s="143"/>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row>
    <row r="4" spans="1:256" s="115" customFormat="1" ht="18" customHeight="1">
      <c r="A4" s="69"/>
      <c r="B4" s="1295" t="s">
        <v>137</v>
      </c>
      <c r="C4" s="1306"/>
      <c r="D4" s="1166" t="s">
        <v>138</v>
      </c>
      <c r="E4" s="1166"/>
      <c r="F4" s="1166"/>
      <c r="G4" s="1166"/>
      <c r="H4" s="1166"/>
      <c r="I4" s="1166"/>
      <c r="J4" s="1166"/>
      <c r="K4" s="1166" t="s">
        <v>139</v>
      </c>
      <c r="L4" s="1166"/>
      <c r="M4" s="1166"/>
      <c r="N4" s="1166"/>
      <c r="O4" s="1166"/>
      <c r="P4" s="1167"/>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row>
    <row r="5" spans="1:256" s="115" customFormat="1" ht="18" customHeight="1">
      <c r="A5" s="69"/>
      <c r="B5" s="1290" t="s">
        <v>140</v>
      </c>
      <c r="C5" s="1774"/>
      <c r="D5" s="1553" t="s">
        <v>141</v>
      </c>
      <c r="E5" s="1553"/>
      <c r="F5" s="1553"/>
      <c r="G5" s="1553"/>
      <c r="H5" s="1553"/>
      <c r="I5" s="1553"/>
      <c r="J5" s="1553"/>
      <c r="K5" s="1170" t="s">
        <v>142</v>
      </c>
      <c r="L5" s="1170"/>
      <c r="M5" s="1170"/>
      <c r="N5" s="1170"/>
      <c r="O5" s="1170"/>
      <c r="P5" s="1171"/>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c r="IR5" s="69"/>
      <c r="IS5" s="69"/>
      <c r="IT5" s="69"/>
      <c r="IU5" s="69"/>
      <c r="IV5" s="69"/>
    </row>
    <row r="6" spans="1:256" s="115" customFormat="1" ht="18" customHeight="1">
      <c r="A6" s="69"/>
      <c r="B6" s="1337" t="s">
        <v>143</v>
      </c>
      <c r="C6" s="1338"/>
      <c r="D6" s="2174" t="s">
        <v>144</v>
      </c>
      <c r="E6" s="2174"/>
      <c r="F6" s="2174"/>
      <c r="G6" s="2174"/>
      <c r="H6" s="2174"/>
      <c r="I6" s="2174"/>
      <c r="J6" s="2174"/>
      <c r="K6" s="2174" t="s">
        <v>145</v>
      </c>
      <c r="L6" s="2174"/>
      <c r="M6" s="2174"/>
      <c r="N6" s="2174"/>
      <c r="O6" s="2174"/>
      <c r="P6" s="1764"/>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row>
    <row r="7" spans="1:256" s="115" customFormat="1" ht="18" customHeight="1">
      <c r="A7" s="69"/>
      <c r="B7" s="1312"/>
      <c r="C7" s="1313"/>
      <c r="D7" s="2175" t="s">
        <v>25</v>
      </c>
      <c r="E7" s="2175"/>
      <c r="F7" s="2175"/>
      <c r="G7" s="2175"/>
      <c r="H7" s="2175"/>
      <c r="I7" s="2175"/>
      <c r="J7" s="2175"/>
      <c r="K7" s="1791" t="s">
        <v>146</v>
      </c>
      <c r="L7" s="1792"/>
      <c r="M7" s="1792"/>
      <c r="N7" s="1792"/>
      <c r="O7" s="1792"/>
      <c r="P7" s="1793"/>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row>
    <row r="8" spans="1:256" s="115" customFormat="1" ht="18" customHeight="1">
      <c r="A8" s="69"/>
      <c r="B8" s="1533"/>
      <c r="C8" s="1534"/>
      <c r="D8" s="2182" t="s">
        <v>26</v>
      </c>
      <c r="E8" s="2182"/>
      <c r="F8" s="2182"/>
      <c r="G8" s="2182"/>
      <c r="H8" s="2182"/>
      <c r="I8" s="2182"/>
      <c r="J8" s="2182"/>
      <c r="K8" s="1747" t="s">
        <v>147</v>
      </c>
      <c r="L8" s="1748"/>
      <c r="M8" s="1748"/>
      <c r="N8" s="1748"/>
      <c r="O8" s="1748"/>
      <c r="P8" s="1751"/>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row>
    <row r="9" spans="1:256" s="115" customFormat="1" ht="18" customHeight="1" thickBot="1">
      <c r="A9" s="69"/>
      <c r="B9" s="1297" t="s">
        <v>148</v>
      </c>
      <c r="C9" s="1298"/>
      <c r="D9" s="1527" t="s">
        <v>149</v>
      </c>
      <c r="E9" s="1527"/>
      <c r="F9" s="1527"/>
      <c r="G9" s="1527"/>
      <c r="H9" s="1527"/>
      <c r="I9" s="1527"/>
      <c r="J9" s="1527"/>
      <c r="K9" s="1302" t="s">
        <v>150</v>
      </c>
      <c r="L9" s="1302"/>
      <c r="M9" s="1302"/>
      <c r="N9" s="1302"/>
      <c r="O9" s="1302"/>
      <c r="P9" s="1303"/>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row>
    <row r="10" spans="1:256" s="115" customFormat="1" ht="12" customHeight="1">
      <c r="A10" s="69"/>
      <c r="B10" s="69"/>
      <c r="C10" s="69"/>
      <c r="D10" s="68"/>
      <c r="E10" s="69"/>
      <c r="F10" s="68"/>
      <c r="G10" s="69"/>
      <c r="H10" s="69"/>
      <c r="I10" s="69"/>
      <c r="J10" s="69"/>
      <c r="K10" s="68"/>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row>
    <row r="11" spans="1:256" s="115" customFormat="1" ht="18" customHeight="1" thickBot="1">
      <c r="A11" s="69"/>
      <c r="B11" s="70" t="s">
        <v>151</v>
      </c>
      <c r="C11" s="70"/>
      <c r="D11" s="68"/>
      <c r="E11" s="69"/>
      <c r="F11" s="68"/>
      <c r="G11" s="69"/>
      <c r="H11" s="69"/>
      <c r="I11" s="69"/>
      <c r="J11" s="69"/>
      <c r="K11" s="68"/>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row>
    <row r="12" spans="1:256" s="115" customFormat="1" ht="18" customHeight="1">
      <c r="A12" s="69"/>
      <c r="B12" s="1295" t="s">
        <v>137</v>
      </c>
      <c r="C12" s="1306"/>
      <c r="D12" s="1166" t="s">
        <v>138</v>
      </c>
      <c r="E12" s="1166"/>
      <c r="F12" s="1166"/>
      <c r="G12" s="1166"/>
      <c r="H12" s="1166"/>
      <c r="I12" s="1166"/>
      <c r="J12" s="1166"/>
      <c r="K12" s="1166" t="s">
        <v>152</v>
      </c>
      <c r="L12" s="1166"/>
      <c r="M12" s="1166"/>
      <c r="N12" s="1166"/>
      <c r="O12" s="1166"/>
      <c r="P12" s="1167"/>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spans="1:256" s="115" customFormat="1" ht="18" customHeight="1">
      <c r="A13" s="69"/>
      <c r="B13" s="1290" t="s">
        <v>153</v>
      </c>
      <c r="C13" s="1774"/>
      <c r="D13" s="1515" t="s">
        <v>154</v>
      </c>
      <c r="E13" s="1516"/>
      <c r="F13" s="1516"/>
      <c r="G13" s="1516"/>
      <c r="H13" s="1516"/>
      <c r="I13" s="1516"/>
      <c r="J13" s="1564"/>
      <c r="K13" s="1515" t="s">
        <v>155</v>
      </c>
      <c r="L13" s="1516"/>
      <c r="M13" s="1516"/>
      <c r="N13" s="1516"/>
      <c r="O13" s="1516"/>
      <c r="P13" s="1517"/>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row>
    <row r="14" spans="1:256" s="115" customFormat="1" ht="18" customHeight="1" thickBot="1">
      <c r="A14" s="69"/>
      <c r="B14" s="1297" t="s">
        <v>156</v>
      </c>
      <c r="C14" s="1298"/>
      <c r="D14" s="1405" t="s">
        <v>157</v>
      </c>
      <c r="E14" s="1406"/>
      <c r="F14" s="1406"/>
      <c r="G14" s="1406"/>
      <c r="H14" s="1406"/>
      <c r="I14" s="1406"/>
      <c r="J14" s="2211"/>
      <c r="K14" s="1405" t="s">
        <v>158</v>
      </c>
      <c r="L14" s="1406"/>
      <c r="M14" s="1406"/>
      <c r="N14" s="1406"/>
      <c r="O14" s="1406"/>
      <c r="P14" s="1407"/>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row>
    <row r="15" spans="1:256" s="115" customFormat="1" ht="12" customHeight="1">
      <c r="A15" s="69"/>
      <c r="B15" s="504"/>
      <c r="C15" s="504"/>
      <c r="D15" s="513"/>
      <c r="E15" s="69"/>
      <c r="F15" s="68"/>
      <c r="G15" s="69"/>
      <c r="H15" s="69"/>
      <c r="I15" s="69"/>
      <c r="J15" s="69"/>
      <c r="K15" s="513"/>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c r="IU15" s="69"/>
      <c r="IV15" s="69"/>
    </row>
    <row r="16" spans="1:256" s="115" customFormat="1" ht="18" hidden="1" customHeight="1" thickBot="1">
      <c r="A16" s="69"/>
      <c r="B16" s="70" t="s">
        <v>159</v>
      </c>
      <c r="C16" s="70"/>
      <c r="D16" s="68"/>
      <c r="E16" s="69"/>
      <c r="F16" s="68"/>
      <c r="G16" s="69"/>
      <c r="H16" s="69"/>
      <c r="I16" s="69"/>
      <c r="J16" s="69"/>
      <c r="K16" s="68"/>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c r="IU16" s="69"/>
      <c r="IV16" s="69"/>
    </row>
    <row r="17" spans="1:256" s="115" customFormat="1" ht="18" hidden="1" customHeight="1">
      <c r="A17" s="69"/>
      <c r="B17" s="1295" t="s">
        <v>137</v>
      </c>
      <c r="C17" s="1306"/>
      <c r="D17" s="1174" t="s">
        <v>138</v>
      </c>
      <c r="E17" s="1175"/>
      <c r="F17" s="1175"/>
      <c r="G17" s="1175"/>
      <c r="H17" s="1175"/>
      <c r="I17" s="1175"/>
      <c r="J17" s="1306"/>
      <c r="K17" s="1175" t="s">
        <v>160</v>
      </c>
      <c r="L17" s="1175"/>
      <c r="M17" s="1175"/>
      <c r="N17" s="1175"/>
      <c r="O17" s="1175"/>
      <c r="P17" s="1176"/>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c r="IU17" s="69"/>
      <c r="IV17" s="69"/>
    </row>
    <row r="18" spans="1:256" s="115" customFormat="1" ht="18" hidden="1" customHeight="1">
      <c r="A18" s="69"/>
      <c r="B18" s="1290" t="s">
        <v>161</v>
      </c>
      <c r="C18" s="1774"/>
      <c r="D18" s="511" t="s">
        <v>162</v>
      </c>
      <c r="E18" s="511" t="s">
        <v>163</v>
      </c>
      <c r="F18" s="511" t="s">
        <v>164</v>
      </c>
      <c r="G18" s="511" t="s">
        <v>165</v>
      </c>
      <c r="H18" s="511" t="s">
        <v>166</v>
      </c>
      <c r="I18" s="511" t="s">
        <v>167</v>
      </c>
      <c r="J18" s="511" t="s">
        <v>168</v>
      </c>
      <c r="K18" s="2391" t="s">
        <v>169</v>
      </c>
      <c r="L18" s="1774"/>
      <c r="M18" s="511" t="s">
        <v>170</v>
      </c>
      <c r="N18" s="511" t="s">
        <v>171</v>
      </c>
      <c r="O18" s="511" t="s">
        <v>172</v>
      </c>
      <c r="P18" s="144" t="s">
        <v>173</v>
      </c>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c r="IR18" s="69"/>
      <c r="IS18" s="69"/>
      <c r="IT18" s="69"/>
      <c r="IU18" s="69"/>
      <c r="IV18" s="69"/>
    </row>
    <row r="19" spans="1:256" s="115" customFormat="1" ht="18" hidden="1" customHeight="1">
      <c r="A19" s="69"/>
      <c r="B19" s="1533" t="s">
        <v>174</v>
      </c>
      <c r="C19" s="1534"/>
      <c r="D19" s="511" t="s">
        <v>175</v>
      </c>
      <c r="E19" s="511" t="s">
        <v>176</v>
      </c>
      <c r="F19" s="511" t="s">
        <v>4</v>
      </c>
      <c r="G19" s="511" t="s">
        <v>5</v>
      </c>
      <c r="H19" s="511" t="s">
        <v>6</v>
      </c>
      <c r="I19" s="511" t="s">
        <v>27</v>
      </c>
      <c r="J19" s="511" t="s">
        <v>28</v>
      </c>
      <c r="K19" s="2391" t="s">
        <v>177</v>
      </c>
      <c r="L19" s="1774"/>
      <c r="M19" s="511" t="s">
        <v>178</v>
      </c>
      <c r="N19" s="511" t="s">
        <v>179</v>
      </c>
      <c r="O19" s="511" t="s">
        <v>180</v>
      </c>
      <c r="P19" s="144" t="s">
        <v>181</v>
      </c>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spans="1:256" s="115" customFormat="1" ht="18" hidden="1" customHeight="1" thickBot="1">
      <c r="A20" s="69"/>
      <c r="B20" s="1297" t="s">
        <v>182</v>
      </c>
      <c r="C20" s="1298"/>
      <c r="D20" s="1299" t="s">
        <v>183</v>
      </c>
      <c r="E20" s="1300"/>
      <c r="F20" s="1300"/>
      <c r="G20" s="1300"/>
      <c r="H20" s="1300"/>
      <c r="I20" s="1300"/>
      <c r="J20" s="1526"/>
      <c r="K20" s="2392" t="s">
        <v>184</v>
      </c>
      <c r="L20" s="1298"/>
      <c r="M20" s="507" t="s">
        <v>171</v>
      </c>
      <c r="N20" s="507" t="s">
        <v>172</v>
      </c>
      <c r="O20" s="507" t="s">
        <v>173</v>
      </c>
      <c r="P20" s="145" t="s">
        <v>170</v>
      </c>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c r="IR20" s="69"/>
      <c r="IS20" s="69"/>
      <c r="IT20" s="69"/>
      <c r="IU20" s="69"/>
      <c r="IV20" s="69"/>
    </row>
    <row r="21" spans="1:256" s="115" customFormat="1" ht="12" hidden="1" customHeight="1">
      <c r="A21" s="69"/>
      <c r="B21" s="504"/>
      <c r="C21" s="504"/>
      <c r="D21" s="513"/>
      <c r="E21" s="513"/>
      <c r="F21" s="513"/>
      <c r="G21" s="513"/>
      <c r="H21" s="513"/>
      <c r="I21" s="513"/>
      <c r="J21" s="513"/>
      <c r="K21" s="504"/>
      <c r="L21" s="504"/>
      <c r="M21" s="504"/>
      <c r="N21" s="504"/>
      <c r="O21" s="504"/>
      <c r="P21" s="504"/>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c r="IU21" s="69"/>
      <c r="IV21" s="69"/>
    </row>
    <row r="22" spans="1:256" s="115" customFormat="1" ht="18" customHeight="1" thickBot="1">
      <c r="A22" s="69"/>
      <c r="B22" s="70" t="s">
        <v>295</v>
      </c>
      <c r="C22" s="70"/>
      <c r="D22" s="68"/>
      <c r="E22" s="69"/>
      <c r="F22" s="68"/>
      <c r="G22" s="69"/>
      <c r="H22" s="69"/>
      <c r="I22" s="69"/>
      <c r="J22" s="69"/>
      <c r="K22" s="68"/>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c r="IV22" s="69"/>
    </row>
    <row r="23" spans="1:256" s="115" customFormat="1" ht="18" customHeight="1">
      <c r="A23" s="69"/>
      <c r="B23" s="1295" t="s">
        <v>137</v>
      </c>
      <c r="C23" s="1306"/>
      <c r="D23" s="1166" t="s">
        <v>138</v>
      </c>
      <c r="E23" s="1166"/>
      <c r="F23" s="1166"/>
      <c r="G23" s="1166"/>
      <c r="H23" s="1166"/>
      <c r="I23" s="1166"/>
      <c r="J23" s="1166"/>
      <c r="K23" s="1166" t="s">
        <v>152</v>
      </c>
      <c r="L23" s="1166"/>
      <c r="M23" s="1166"/>
      <c r="N23" s="1166"/>
      <c r="O23" s="1166"/>
      <c r="P23" s="1167"/>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c r="IV23" s="69"/>
    </row>
    <row r="24" spans="1:256" s="115" customFormat="1" ht="18" customHeight="1">
      <c r="A24" s="69"/>
      <c r="B24" s="1290" t="s">
        <v>185</v>
      </c>
      <c r="C24" s="1774"/>
      <c r="D24" s="1553" t="s">
        <v>186</v>
      </c>
      <c r="E24" s="1553"/>
      <c r="F24" s="1553"/>
      <c r="G24" s="1553"/>
      <c r="H24" s="1553"/>
      <c r="I24" s="1553"/>
      <c r="J24" s="1553"/>
      <c r="K24" s="1170" t="s">
        <v>187</v>
      </c>
      <c r="L24" s="1170"/>
      <c r="M24" s="1170"/>
      <c r="N24" s="1170"/>
      <c r="O24" s="1170"/>
      <c r="P24" s="1171"/>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c r="IQ24" s="69"/>
      <c r="IR24" s="69"/>
      <c r="IS24" s="69"/>
      <c r="IT24" s="69"/>
      <c r="IU24" s="69"/>
      <c r="IV24" s="69"/>
    </row>
    <row r="25" spans="1:256" s="115" customFormat="1" ht="18" customHeight="1">
      <c r="A25" s="69"/>
      <c r="B25" s="2193" t="s">
        <v>188</v>
      </c>
      <c r="C25" s="2194"/>
      <c r="D25" s="2390" t="s">
        <v>189</v>
      </c>
      <c r="E25" s="2390"/>
      <c r="F25" s="2390"/>
      <c r="G25" s="2390"/>
      <c r="H25" s="2390"/>
      <c r="I25" s="2390"/>
      <c r="J25" s="2390"/>
      <c r="K25" s="2197" t="s">
        <v>190</v>
      </c>
      <c r="L25" s="2198"/>
      <c r="M25" s="2198"/>
      <c r="N25" s="2198"/>
      <c r="O25" s="2198"/>
      <c r="P25" s="219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c r="IV25" s="69"/>
    </row>
    <row r="26" spans="1:256" s="115" customFormat="1" ht="18" customHeight="1">
      <c r="A26" s="69"/>
      <c r="B26" s="2193" t="s">
        <v>191</v>
      </c>
      <c r="C26" s="2194"/>
      <c r="D26" s="1754" t="s">
        <v>192</v>
      </c>
      <c r="E26" s="1754"/>
      <c r="F26" s="1754"/>
      <c r="G26" s="1754"/>
      <c r="H26" s="1754"/>
      <c r="I26" s="1754"/>
      <c r="J26" s="1754"/>
      <c r="K26" s="1559" t="s">
        <v>296</v>
      </c>
      <c r="L26" s="2361"/>
      <c r="M26" s="2361"/>
      <c r="N26" s="2361"/>
      <c r="O26" s="2361"/>
      <c r="P26" s="2362"/>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c r="IQ26" s="69"/>
      <c r="IR26" s="69"/>
      <c r="IS26" s="69"/>
      <c r="IT26" s="69"/>
      <c r="IU26" s="69"/>
      <c r="IV26" s="69"/>
    </row>
    <row r="27" spans="1:256" s="115" customFormat="1" ht="18" customHeight="1" thickBot="1">
      <c r="A27" s="69"/>
      <c r="B27" s="2384"/>
      <c r="C27" s="2385"/>
      <c r="D27" s="2389" t="s">
        <v>193</v>
      </c>
      <c r="E27" s="2389"/>
      <c r="F27" s="2389"/>
      <c r="G27" s="2389"/>
      <c r="H27" s="2389"/>
      <c r="I27" s="2389"/>
      <c r="J27" s="2389"/>
      <c r="K27" s="2386"/>
      <c r="L27" s="2387"/>
      <c r="M27" s="2387"/>
      <c r="N27" s="2387"/>
      <c r="O27" s="2387"/>
      <c r="P27" s="2388"/>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c r="HT27" s="69"/>
      <c r="HU27" s="69"/>
      <c r="HV27" s="69"/>
      <c r="HW27" s="69"/>
      <c r="HX27" s="69"/>
      <c r="HY27" s="69"/>
      <c r="HZ27" s="69"/>
      <c r="IA27" s="69"/>
      <c r="IB27" s="69"/>
      <c r="IC27" s="69"/>
      <c r="ID27" s="69"/>
      <c r="IE27" s="69"/>
      <c r="IF27" s="69"/>
      <c r="IG27" s="69"/>
      <c r="IH27" s="69"/>
      <c r="II27" s="69"/>
      <c r="IJ27" s="69"/>
      <c r="IK27" s="69"/>
      <c r="IL27" s="69"/>
      <c r="IM27" s="69"/>
      <c r="IN27" s="69"/>
      <c r="IO27" s="69"/>
      <c r="IP27" s="69"/>
      <c r="IQ27" s="69"/>
      <c r="IR27" s="69"/>
      <c r="IS27" s="69"/>
      <c r="IT27" s="69"/>
      <c r="IU27" s="69"/>
      <c r="IV27" s="69"/>
    </row>
    <row r="28" spans="1:256" s="115" customFormat="1" ht="12" customHeight="1">
      <c r="A28" s="69"/>
      <c r="B28" s="504"/>
      <c r="C28" s="504"/>
      <c r="D28" s="513"/>
      <c r="E28" s="69"/>
      <c r="F28" s="68"/>
      <c r="G28" s="69"/>
      <c r="H28" s="69"/>
      <c r="I28" s="69"/>
      <c r="J28" s="69"/>
      <c r="K28" s="513"/>
      <c r="L28" s="69"/>
      <c r="M28" s="69"/>
      <c r="N28" s="69"/>
      <c r="O28" s="69"/>
      <c r="P28" s="69"/>
      <c r="Q28" s="69"/>
      <c r="R28" s="69"/>
      <c r="S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row>
    <row r="29" spans="1:256" s="115" customFormat="1" ht="18" customHeight="1" thickBot="1">
      <c r="A29" s="69"/>
      <c r="B29" s="70" t="s">
        <v>300</v>
      </c>
      <c r="C29" s="504"/>
      <c r="D29" s="513"/>
      <c r="E29" s="69"/>
      <c r="F29" s="68"/>
      <c r="G29" s="69"/>
      <c r="H29" s="69"/>
      <c r="I29" s="69"/>
      <c r="J29" s="69"/>
      <c r="K29" s="513"/>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c r="IU29" s="69"/>
      <c r="IV29" s="69"/>
    </row>
    <row r="30" spans="1:256" s="115" customFormat="1" ht="18" customHeight="1">
      <c r="A30" s="69"/>
      <c r="B30" s="1295" t="s">
        <v>137</v>
      </c>
      <c r="C30" s="1306"/>
      <c r="D30" s="1174" t="s">
        <v>138</v>
      </c>
      <c r="E30" s="1175"/>
      <c r="F30" s="1175"/>
      <c r="G30" s="1175"/>
      <c r="H30" s="1175"/>
      <c r="I30" s="1175"/>
      <c r="J30" s="1175"/>
      <c r="K30" s="1175"/>
      <c r="L30" s="1175"/>
      <c r="M30" s="1175" t="s">
        <v>194</v>
      </c>
      <c r="N30" s="1175"/>
      <c r="O30" s="1175"/>
      <c r="P30" s="1176"/>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c r="IV30" s="69"/>
    </row>
    <row r="31" spans="1:256" s="115" customFormat="1" ht="18" customHeight="1">
      <c r="A31" s="69"/>
      <c r="B31" s="2370" t="s">
        <v>195</v>
      </c>
      <c r="C31" s="2371"/>
      <c r="D31" s="2372" t="s">
        <v>616</v>
      </c>
      <c r="E31" s="2373"/>
      <c r="F31" s="2373"/>
      <c r="G31" s="2373"/>
      <c r="H31" s="2373"/>
      <c r="I31" s="2373"/>
      <c r="J31" s="2373"/>
      <c r="K31" s="2373"/>
      <c r="L31" s="2374"/>
      <c r="M31" s="2375" t="s">
        <v>617</v>
      </c>
      <c r="N31" s="2376"/>
      <c r="O31" s="2376"/>
      <c r="P31" s="2377"/>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row>
    <row r="32" spans="1:256" s="115" customFormat="1" ht="18" customHeight="1" thickBot="1">
      <c r="A32" s="69"/>
      <c r="B32" s="1781" t="s">
        <v>196</v>
      </c>
      <c r="C32" s="1782"/>
      <c r="D32" s="2212" t="s">
        <v>618</v>
      </c>
      <c r="E32" s="2213"/>
      <c r="F32" s="2213"/>
      <c r="G32" s="2213"/>
      <c r="H32" s="2213"/>
      <c r="I32" s="2213"/>
      <c r="J32" s="2213"/>
      <c r="K32" s="2213"/>
      <c r="L32" s="2378"/>
      <c r="M32" s="1470"/>
      <c r="N32" s="1470"/>
      <c r="O32" s="1470"/>
      <c r="P32" s="2237"/>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c r="IV32" s="69"/>
    </row>
    <row r="33" spans="1:256" s="115" customFormat="1" ht="12" customHeight="1">
      <c r="A33" s="69"/>
      <c r="B33" s="504"/>
      <c r="C33" s="504"/>
      <c r="D33" s="513"/>
      <c r="E33" s="69"/>
      <c r="F33" s="68"/>
      <c r="G33" s="69"/>
      <c r="H33" s="69"/>
      <c r="I33" s="69"/>
      <c r="J33" s="69"/>
      <c r="K33" s="513"/>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69"/>
      <c r="GW33" s="69"/>
      <c r="GX33" s="69"/>
      <c r="GY33" s="69"/>
      <c r="GZ33" s="69"/>
      <c r="HA33" s="69"/>
      <c r="HB33" s="69"/>
      <c r="HC33" s="69"/>
      <c r="HD33" s="69"/>
      <c r="HE33" s="69"/>
      <c r="HF33" s="69"/>
      <c r="HG33" s="69"/>
      <c r="HH33" s="69"/>
      <c r="HI33" s="69"/>
      <c r="HJ33" s="69"/>
      <c r="HK33" s="69"/>
      <c r="HL33" s="69"/>
      <c r="HM33" s="69"/>
      <c r="HN33" s="69"/>
      <c r="HO33" s="69"/>
      <c r="HP33" s="69"/>
      <c r="HQ33" s="69"/>
      <c r="HR33" s="69"/>
      <c r="HS33" s="69"/>
      <c r="HT33" s="69"/>
      <c r="HU33" s="69"/>
      <c r="HV33" s="69"/>
      <c r="HW33" s="69"/>
      <c r="HX33" s="69"/>
      <c r="HY33" s="69"/>
      <c r="HZ33" s="69"/>
      <c r="IA33" s="69"/>
      <c r="IB33" s="69"/>
      <c r="IC33" s="69"/>
      <c r="ID33" s="69"/>
      <c r="IE33" s="69"/>
      <c r="IF33" s="69"/>
      <c r="IG33" s="69"/>
      <c r="IH33" s="69"/>
      <c r="II33" s="69"/>
      <c r="IJ33" s="69"/>
      <c r="IK33" s="69"/>
      <c r="IL33" s="69"/>
      <c r="IM33" s="69"/>
      <c r="IN33" s="69"/>
      <c r="IO33" s="69"/>
      <c r="IP33" s="69"/>
      <c r="IQ33" s="69"/>
      <c r="IR33" s="69"/>
      <c r="IS33" s="69"/>
      <c r="IT33" s="69"/>
      <c r="IU33" s="69"/>
      <c r="IV33" s="69"/>
    </row>
    <row r="34" spans="1:256" s="114" customFormat="1" ht="18" customHeight="1" thickBot="1">
      <c r="A34" s="68"/>
      <c r="B34" s="70" t="s">
        <v>301</v>
      </c>
      <c r="C34" s="70"/>
      <c r="D34" s="68"/>
      <c r="E34" s="68"/>
      <c r="F34" s="68"/>
      <c r="G34" s="69"/>
      <c r="H34" s="69"/>
      <c r="I34" s="69"/>
      <c r="J34" s="69"/>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68"/>
      <c r="IS34" s="68"/>
      <c r="IT34" s="68"/>
      <c r="IU34" s="68"/>
      <c r="IV34" s="68"/>
    </row>
    <row r="35" spans="1:256" s="114" customFormat="1" ht="18" customHeight="1" thickBot="1">
      <c r="A35" s="68"/>
      <c r="B35" s="1528" t="s">
        <v>137</v>
      </c>
      <c r="C35" s="1529"/>
      <c r="D35" s="2356" t="s">
        <v>197</v>
      </c>
      <c r="E35" s="2356"/>
      <c r="F35" s="2356"/>
      <c r="G35" s="2356"/>
      <c r="H35" s="2356"/>
      <c r="I35" s="2356"/>
      <c r="J35" s="2356"/>
      <c r="K35" s="2356" t="s">
        <v>198</v>
      </c>
      <c r="L35" s="2356"/>
      <c r="M35" s="2356"/>
      <c r="N35" s="2356"/>
      <c r="O35" s="2356"/>
      <c r="P35" s="2357"/>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c r="GM35" s="68"/>
      <c r="GN35" s="68"/>
      <c r="GO35" s="68"/>
      <c r="GP35" s="68"/>
      <c r="GQ35" s="68"/>
      <c r="GR35" s="68"/>
      <c r="GS35" s="68"/>
      <c r="GT35" s="68"/>
      <c r="GU35" s="68"/>
      <c r="GV35" s="68"/>
      <c r="GW35" s="68"/>
      <c r="GX35" s="68"/>
      <c r="GY35" s="68"/>
      <c r="GZ35" s="68"/>
      <c r="HA35" s="68"/>
      <c r="HB35" s="68"/>
      <c r="HC35" s="68"/>
      <c r="HD35" s="68"/>
      <c r="HE35" s="68"/>
      <c r="HF35" s="68"/>
      <c r="HG35" s="68"/>
      <c r="HH35" s="68"/>
      <c r="HI35" s="68"/>
      <c r="HJ35" s="68"/>
      <c r="HK35" s="68"/>
      <c r="HL35" s="68"/>
      <c r="HM35" s="68"/>
      <c r="HN35" s="68"/>
      <c r="HO35" s="68"/>
      <c r="HP35" s="68"/>
      <c r="HQ35" s="68"/>
      <c r="HR35" s="68"/>
      <c r="HS35" s="68"/>
      <c r="HT35" s="68"/>
      <c r="HU35" s="68"/>
      <c r="HV35" s="68"/>
      <c r="HW35" s="68"/>
      <c r="HX35" s="68"/>
      <c r="HY35" s="68"/>
      <c r="HZ35" s="68"/>
      <c r="IA35" s="68"/>
      <c r="IB35" s="68"/>
      <c r="IC35" s="68"/>
      <c r="ID35" s="68"/>
      <c r="IE35" s="68"/>
      <c r="IF35" s="68"/>
      <c r="IG35" s="68"/>
      <c r="IH35" s="68"/>
      <c r="II35" s="68"/>
      <c r="IJ35" s="68"/>
      <c r="IK35" s="68"/>
      <c r="IL35" s="68"/>
      <c r="IM35" s="68"/>
      <c r="IN35" s="68"/>
      <c r="IO35" s="68"/>
      <c r="IP35" s="68"/>
      <c r="IQ35" s="68"/>
      <c r="IR35" s="68"/>
      <c r="IS35" s="68"/>
      <c r="IT35" s="68"/>
      <c r="IU35" s="68"/>
      <c r="IV35" s="68"/>
    </row>
    <row r="36" spans="1:256" s="114" customFormat="1" ht="18" customHeight="1">
      <c r="A36" s="68"/>
      <c r="B36" s="1528" t="s">
        <v>595</v>
      </c>
      <c r="C36" s="1529"/>
      <c r="D36" s="2365" t="s">
        <v>57</v>
      </c>
      <c r="E36" s="1535"/>
      <c r="F36" s="1535"/>
      <c r="G36" s="1535"/>
      <c r="H36" s="1535"/>
      <c r="I36" s="1535"/>
      <c r="J36" s="2366"/>
      <c r="K36" s="2363" t="s">
        <v>596</v>
      </c>
      <c r="L36" s="2363"/>
      <c r="M36" s="2363"/>
      <c r="N36" s="2363"/>
      <c r="O36" s="2363"/>
      <c r="P36" s="2364"/>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c r="HI36" s="68"/>
      <c r="HJ36" s="68"/>
      <c r="HK36" s="68"/>
      <c r="HL36" s="68"/>
      <c r="HM36" s="68"/>
      <c r="HN36" s="68"/>
      <c r="HO36" s="68"/>
      <c r="HP36" s="68"/>
      <c r="HQ36" s="68"/>
      <c r="HR36" s="68"/>
      <c r="HS36" s="68"/>
      <c r="HT36" s="68"/>
      <c r="HU36" s="68"/>
      <c r="HV36" s="68"/>
      <c r="HW36" s="68"/>
      <c r="HX36" s="68"/>
      <c r="HY36" s="68"/>
      <c r="HZ36" s="68"/>
      <c r="IA36" s="68"/>
      <c r="IB36" s="68"/>
      <c r="IC36" s="68"/>
      <c r="ID36" s="68"/>
      <c r="IE36" s="68"/>
      <c r="IF36" s="68"/>
      <c r="IG36" s="68"/>
      <c r="IH36" s="68"/>
      <c r="II36" s="68"/>
      <c r="IJ36" s="68"/>
      <c r="IK36" s="68"/>
      <c r="IL36" s="68"/>
      <c r="IM36" s="68"/>
      <c r="IN36" s="68"/>
      <c r="IO36" s="68"/>
      <c r="IP36" s="68"/>
      <c r="IQ36" s="68"/>
      <c r="IR36" s="68"/>
      <c r="IS36" s="68"/>
      <c r="IT36" s="68"/>
      <c r="IU36" s="68"/>
      <c r="IV36" s="68"/>
    </row>
    <row r="37" spans="1:256" s="114" customFormat="1" ht="18" customHeight="1">
      <c r="A37" s="68"/>
      <c r="B37" s="1312"/>
      <c r="C37" s="1313"/>
      <c r="D37" s="2367"/>
      <c r="E37" s="2368"/>
      <c r="F37" s="2368"/>
      <c r="G37" s="2368"/>
      <c r="H37" s="2368"/>
      <c r="I37" s="2368"/>
      <c r="J37" s="2369"/>
      <c r="K37" s="2175" t="s">
        <v>619</v>
      </c>
      <c r="L37" s="2175"/>
      <c r="M37" s="2175"/>
      <c r="N37" s="2175"/>
      <c r="O37" s="2175"/>
      <c r="P37" s="2176"/>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c r="GM37" s="68"/>
      <c r="GN37" s="68"/>
      <c r="GO37" s="68"/>
      <c r="GP37" s="68"/>
      <c r="GQ37" s="68"/>
      <c r="GR37" s="68"/>
      <c r="GS37" s="68"/>
      <c r="GT37" s="68"/>
      <c r="GU37" s="68"/>
      <c r="GV37" s="68"/>
      <c r="GW37" s="68"/>
      <c r="GX37" s="68"/>
      <c r="GY37" s="68"/>
      <c r="GZ37" s="68"/>
      <c r="HA37" s="68"/>
      <c r="HB37" s="68"/>
      <c r="HC37" s="68"/>
      <c r="HD37" s="68"/>
      <c r="HE37" s="68"/>
      <c r="HF37" s="68"/>
      <c r="HG37" s="68"/>
      <c r="HH37" s="68"/>
      <c r="HI37" s="68"/>
      <c r="HJ37" s="68"/>
      <c r="HK37" s="68"/>
      <c r="HL37" s="68"/>
      <c r="HM37" s="68"/>
      <c r="HN37" s="68"/>
      <c r="HO37" s="68"/>
      <c r="HP37" s="68"/>
      <c r="HQ37" s="68"/>
      <c r="HR37" s="68"/>
      <c r="HS37" s="68"/>
      <c r="HT37" s="68"/>
      <c r="HU37" s="68"/>
      <c r="HV37" s="68"/>
      <c r="HW37" s="68"/>
      <c r="HX37" s="68"/>
      <c r="HY37" s="68"/>
      <c r="HZ37" s="68"/>
      <c r="IA37" s="68"/>
      <c r="IB37" s="68"/>
      <c r="IC37" s="68"/>
      <c r="ID37" s="68"/>
      <c r="IE37" s="68"/>
      <c r="IF37" s="68"/>
      <c r="IG37" s="68"/>
      <c r="IH37" s="68"/>
      <c r="II37" s="68"/>
      <c r="IJ37" s="68"/>
      <c r="IK37" s="68"/>
      <c r="IL37" s="68"/>
      <c r="IM37" s="68"/>
      <c r="IN37" s="68"/>
      <c r="IO37" s="68"/>
      <c r="IP37" s="68"/>
      <c r="IQ37" s="68"/>
      <c r="IR37" s="68"/>
      <c r="IS37" s="68"/>
      <c r="IT37" s="68"/>
      <c r="IU37" s="68"/>
      <c r="IV37" s="68"/>
    </row>
    <row r="38" spans="1:256" s="114" customFormat="1" ht="18" customHeight="1">
      <c r="A38" s="68"/>
      <c r="B38" s="1533"/>
      <c r="C38" s="1534"/>
      <c r="D38" s="1536"/>
      <c r="E38" s="1537"/>
      <c r="F38" s="1537"/>
      <c r="G38" s="1537"/>
      <c r="H38" s="1537"/>
      <c r="I38" s="1537"/>
      <c r="J38" s="1522"/>
      <c r="K38" s="2175" t="s">
        <v>302</v>
      </c>
      <c r="L38" s="2175"/>
      <c r="M38" s="2175"/>
      <c r="N38" s="2175"/>
      <c r="O38" s="2175"/>
      <c r="P38" s="2176"/>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c r="GM38" s="68"/>
      <c r="GN38" s="68"/>
      <c r="GO38" s="68"/>
      <c r="GP38" s="68"/>
      <c r="GQ38" s="68"/>
      <c r="GR38" s="68"/>
      <c r="GS38" s="68"/>
      <c r="GT38" s="68"/>
      <c r="GU38" s="68"/>
      <c r="GV38" s="68"/>
      <c r="GW38" s="68"/>
      <c r="GX38" s="68"/>
      <c r="GY38" s="68"/>
      <c r="GZ38" s="68"/>
      <c r="HA38" s="68"/>
      <c r="HB38" s="68"/>
      <c r="HC38" s="68"/>
      <c r="HD38" s="68"/>
      <c r="HE38" s="68"/>
      <c r="HF38" s="68"/>
      <c r="HG38" s="68"/>
      <c r="HH38" s="68"/>
      <c r="HI38" s="68"/>
      <c r="HJ38" s="68"/>
      <c r="HK38" s="68"/>
      <c r="HL38" s="68"/>
      <c r="HM38" s="68"/>
      <c r="HN38" s="68"/>
      <c r="HO38" s="68"/>
      <c r="HP38" s="68"/>
      <c r="HQ38" s="68"/>
      <c r="HR38" s="68"/>
      <c r="HS38" s="68"/>
      <c r="HT38" s="68"/>
      <c r="HU38" s="68"/>
      <c r="HV38" s="68"/>
      <c r="HW38" s="68"/>
      <c r="HX38" s="68"/>
      <c r="HY38" s="68"/>
      <c r="HZ38" s="68"/>
      <c r="IA38" s="68"/>
      <c r="IB38" s="68"/>
      <c r="IC38" s="68"/>
      <c r="ID38" s="68"/>
      <c r="IE38" s="68"/>
      <c r="IF38" s="68"/>
      <c r="IG38" s="68"/>
      <c r="IH38" s="68"/>
      <c r="II38" s="68"/>
      <c r="IJ38" s="68"/>
      <c r="IK38" s="68"/>
      <c r="IL38" s="68"/>
      <c r="IM38" s="68"/>
      <c r="IN38" s="68"/>
      <c r="IO38" s="68"/>
      <c r="IP38" s="68"/>
      <c r="IQ38" s="68"/>
      <c r="IR38" s="68"/>
      <c r="IS38" s="68"/>
      <c r="IT38" s="68"/>
      <c r="IU38" s="68"/>
      <c r="IV38" s="68"/>
    </row>
    <row r="39" spans="1:256" s="114" customFormat="1" ht="18" customHeight="1">
      <c r="A39" s="68"/>
      <c r="B39" s="1337" t="s">
        <v>199</v>
      </c>
      <c r="C39" s="1338"/>
      <c r="D39" s="2358" t="s">
        <v>297</v>
      </c>
      <c r="E39" s="2359"/>
      <c r="F39" s="2359"/>
      <c r="G39" s="2359"/>
      <c r="H39" s="2359"/>
      <c r="I39" s="2359"/>
      <c r="J39" s="2360"/>
      <c r="K39" s="1559"/>
      <c r="L39" s="2361"/>
      <c r="M39" s="2361"/>
      <c r="N39" s="2361"/>
      <c r="O39" s="2361"/>
      <c r="P39" s="2362"/>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c r="GM39" s="68"/>
      <c r="GN39" s="68"/>
      <c r="GO39" s="68"/>
      <c r="GP39" s="68"/>
      <c r="GQ39" s="68"/>
      <c r="GR39" s="68"/>
      <c r="GS39" s="68"/>
      <c r="GT39" s="68"/>
      <c r="GU39" s="68"/>
      <c r="GV39" s="68"/>
      <c r="GW39" s="68"/>
      <c r="GX39" s="68"/>
      <c r="GY39" s="68"/>
      <c r="GZ39" s="68"/>
      <c r="HA39" s="68"/>
      <c r="HB39" s="68"/>
      <c r="HC39" s="68"/>
      <c r="HD39" s="68"/>
      <c r="HE39" s="68"/>
      <c r="HF39" s="68"/>
      <c r="HG39" s="68"/>
      <c r="HH39" s="68"/>
      <c r="HI39" s="68"/>
      <c r="HJ39" s="68"/>
      <c r="HK39" s="68"/>
      <c r="HL39" s="68"/>
      <c r="HM39" s="68"/>
      <c r="HN39" s="68"/>
      <c r="HO39" s="68"/>
      <c r="HP39" s="68"/>
      <c r="HQ39" s="68"/>
      <c r="HR39" s="68"/>
      <c r="HS39" s="68"/>
      <c r="HT39" s="68"/>
      <c r="HU39" s="68"/>
      <c r="HV39" s="68"/>
      <c r="HW39" s="68"/>
      <c r="HX39" s="68"/>
      <c r="HY39" s="68"/>
      <c r="HZ39" s="68"/>
      <c r="IA39" s="68"/>
      <c r="IB39" s="68"/>
      <c r="IC39" s="68"/>
      <c r="ID39" s="68"/>
      <c r="IE39" s="68"/>
      <c r="IF39" s="68"/>
      <c r="IG39" s="68"/>
      <c r="IH39" s="68"/>
      <c r="II39" s="68"/>
      <c r="IJ39" s="68"/>
      <c r="IK39" s="68"/>
      <c r="IL39" s="68"/>
      <c r="IM39" s="68"/>
      <c r="IN39" s="68"/>
      <c r="IO39" s="68"/>
      <c r="IP39" s="68"/>
      <c r="IQ39" s="68"/>
      <c r="IR39" s="68"/>
      <c r="IS39" s="68"/>
      <c r="IT39" s="68"/>
      <c r="IU39" s="68"/>
      <c r="IV39" s="68"/>
    </row>
    <row r="40" spans="1:256" s="114" customFormat="1" ht="18" customHeight="1">
      <c r="A40" s="68"/>
      <c r="B40" s="1337" t="s">
        <v>200</v>
      </c>
      <c r="C40" s="1338"/>
      <c r="D40" s="2358" t="s">
        <v>58</v>
      </c>
      <c r="E40" s="2359"/>
      <c r="F40" s="2359"/>
      <c r="G40" s="2359"/>
      <c r="H40" s="2359"/>
      <c r="I40" s="2359"/>
      <c r="J40" s="2360"/>
      <c r="K40" s="1744" t="s">
        <v>307</v>
      </c>
      <c r="L40" s="1745"/>
      <c r="M40" s="1745"/>
      <c r="N40" s="1745"/>
      <c r="O40" s="1745"/>
      <c r="P40" s="1750"/>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8"/>
      <c r="GT40" s="68"/>
      <c r="GU40" s="68"/>
      <c r="GV40" s="68"/>
      <c r="GW40" s="68"/>
      <c r="GX40" s="68"/>
      <c r="GY40" s="68"/>
      <c r="GZ40" s="68"/>
      <c r="HA40" s="68"/>
      <c r="HB40" s="68"/>
      <c r="HC40" s="68"/>
      <c r="HD40" s="68"/>
      <c r="HE40" s="68"/>
      <c r="HF40" s="68"/>
      <c r="HG40" s="68"/>
      <c r="HH40" s="68"/>
      <c r="HI40" s="68"/>
      <c r="HJ40" s="68"/>
      <c r="HK40" s="68"/>
      <c r="HL40" s="68"/>
      <c r="HM40" s="68"/>
      <c r="HN40" s="68"/>
      <c r="HO40" s="68"/>
      <c r="HP40" s="68"/>
      <c r="HQ40" s="68"/>
      <c r="HR40" s="68"/>
      <c r="HS40" s="68"/>
      <c r="HT40" s="68"/>
      <c r="HU40" s="68"/>
      <c r="HV40" s="68"/>
      <c r="HW40" s="68"/>
      <c r="HX40" s="68"/>
      <c r="HY40" s="68"/>
      <c r="HZ40" s="68"/>
      <c r="IA40" s="68"/>
      <c r="IB40" s="68"/>
      <c r="IC40" s="68"/>
      <c r="ID40" s="68"/>
      <c r="IE40" s="68"/>
      <c r="IF40" s="68"/>
      <c r="IG40" s="68"/>
      <c r="IH40" s="68"/>
      <c r="II40" s="68"/>
      <c r="IJ40" s="68"/>
      <c r="IK40" s="68"/>
      <c r="IL40" s="68"/>
      <c r="IM40" s="68"/>
      <c r="IN40" s="68"/>
      <c r="IO40" s="68"/>
      <c r="IP40" s="68"/>
      <c r="IQ40" s="68"/>
      <c r="IR40" s="68"/>
      <c r="IS40" s="68"/>
      <c r="IT40" s="68"/>
      <c r="IU40" s="68"/>
      <c r="IV40" s="68"/>
    </row>
    <row r="41" spans="1:256" s="114" customFormat="1" ht="18" customHeight="1">
      <c r="A41" s="68"/>
      <c r="B41" s="1312"/>
      <c r="C41" s="1313"/>
      <c r="D41" s="2367"/>
      <c r="E41" s="2368"/>
      <c r="F41" s="2368"/>
      <c r="G41" s="2368"/>
      <c r="H41" s="2368"/>
      <c r="I41" s="2368"/>
      <c r="J41" s="2369"/>
      <c r="K41" s="1791" t="s">
        <v>298</v>
      </c>
      <c r="L41" s="1792"/>
      <c r="M41" s="1792"/>
      <c r="N41" s="1792"/>
      <c r="O41" s="1792"/>
      <c r="P41" s="1793"/>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c r="GR41" s="68"/>
      <c r="GS41" s="68"/>
      <c r="GT41" s="68"/>
      <c r="GU41" s="68"/>
      <c r="GV41" s="68"/>
      <c r="GW41" s="68"/>
      <c r="GX41" s="68"/>
      <c r="GY41" s="68"/>
      <c r="GZ41" s="68"/>
      <c r="HA41" s="68"/>
      <c r="HB41" s="68"/>
      <c r="HC41" s="68"/>
      <c r="HD41" s="68"/>
      <c r="HE41" s="68"/>
      <c r="HF41" s="68"/>
      <c r="HG41" s="68"/>
      <c r="HH41" s="68"/>
      <c r="HI41" s="68"/>
      <c r="HJ41" s="68"/>
      <c r="HK41" s="68"/>
      <c r="HL41" s="68"/>
      <c r="HM41" s="68"/>
      <c r="HN41" s="68"/>
      <c r="HO41" s="68"/>
      <c r="HP41" s="68"/>
      <c r="HQ41" s="68"/>
      <c r="HR41" s="68"/>
      <c r="HS41" s="68"/>
      <c r="HT41" s="68"/>
      <c r="HU41" s="68"/>
      <c r="HV41" s="68"/>
      <c r="HW41" s="68"/>
      <c r="HX41" s="68"/>
      <c r="HY41" s="68"/>
      <c r="HZ41" s="68"/>
      <c r="IA41" s="68"/>
      <c r="IB41" s="68"/>
      <c r="IC41" s="68"/>
      <c r="ID41" s="68"/>
      <c r="IE41" s="68"/>
      <c r="IF41" s="68"/>
      <c r="IG41" s="68"/>
      <c r="IH41" s="68"/>
      <c r="II41" s="68"/>
      <c r="IJ41" s="68"/>
      <c r="IK41" s="68"/>
      <c r="IL41" s="68"/>
      <c r="IM41" s="68"/>
      <c r="IN41" s="68"/>
      <c r="IO41" s="68"/>
      <c r="IP41" s="68"/>
      <c r="IQ41" s="68"/>
      <c r="IR41" s="68"/>
      <c r="IS41" s="68"/>
      <c r="IT41" s="68"/>
      <c r="IU41" s="68"/>
      <c r="IV41" s="68"/>
    </row>
    <row r="42" spans="1:256" s="114" customFormat="1" ht="18" customHeight="1" thickBot="1">
      <c r="A42" s="68"/>
      <c r="B42" s="1581"/>
      <c r="C42" s="1582"/>
      <c r="D42" s="2381"/>
      <c r="E42" s="2382"/>
      <c r="F42" s="2382"/>
      <c r="G42" s="2382"/>
      <c r="H42" s="2382"/>
      <c r="I42" s="2382"/>
      <c r="J42" s="2383"/>
      <c r="K42" s="2379" t="s">
        <v>299</v>
      </c>
      <c r="L42" s="2380"/>
      <c r="M42" s="2380"/>
      <c r="N42" s="2380"/>
      <c r="O42" s="2380"/>
      <c r="P42" s="1794"/>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c r="GR42" s="68"/>
      <c r="GS42" s="68"/>
      <c r="GT42" s="68"/>
      <c r="GU42" s="68"/>
      <c r="GV42" s="68"/>
      <c r="GW42" s="68"/>
      <c r="GX42" s="68"/>
      <c r="GY42" s="68"/>
      <c r="GZ42" s="68"/>
      <c r="HA42" s="68"/>
      <c r="HB42" s="68"/>
      <c r="HC42" s="68"/>
      <c r="HD42" s="68"/>
      <c r="HE42" s="68"/>
      <c r="HF42" s="68"/>
      <c r="HG42" s="68"/>
      <c r="HH42" s="68"/>
      <c r="HI42" s="68"/>
      <c r="HJ42" s="68"/>
      <c r="HK42" s="68"/>
      <c r="HL42" s="68"/>
      <c r="HM42" s="68"/>
      <c r="HN42" s="68"/>
      <c r="HO42" s="68"/>
      <c r="HP42" s="68"/>
      <c r="HQ42" s="68"/>
      <c r="HR42" s="68"/>
      <c r="HS42" s="68"/>
      <c r="HT42" s="68"/>
      <c r="HU42" s="68"/>
      <c r="HV42" s="68"/>
      <c r="HW42" s="68"/>
      <c r="HX42" s="68"/>
      <c r="HY42" s="68"/>
      <c r="HZ42" s="68"/>
      <c r="IA42" s="68"/>
      <c r="IB42" s="68"/>
      <c r="IC42" s="68"/>
      <c r="ID42" s="68"/>
      <c r="IE42" s="68"/>
      <c r="IF42" s="68"/>
      <c r="IG42" s="68"/>
      <c r="IH42" s="68"/>
      <c r="II42" s="68"/>
      <c r="IJ42" s="68"/>
      <c r="IK42" s="68"/>
      <c r="IL42" s="68"/>
      <c r="IM42" s="68"/>
      <c r="IN42" s="68"/>
      <c r="IO42" s="68"/>
      <c r="IP42" s="68"/>
      <c r="IQ42" s="68"/>
      <c r="IR42" s="68"/>
      <c r="IS42" s="68"/>
      <c r="IT42" s="68"/>
      <c r="IU42" s="68"/>
      <c r="IV42" s="68"/>
    </row>
  </sheetData>
  <mergeCells count="73">
    <mergeCell ref="B1:P1"/>
    <mergeCell ref="B4:C4"/>
    <mergeCell ref="D4:J4"/>
    <mergeCell ref="K4:P4"/>
    <mergeCell ref="B5:C5"/>
    <mergeCell ref="D5:J5"/>
    <mergeCell ref="K5:P5"/>
    <mergeCell ref="B6:C8"/>
    <mergeCell ref="D6:J6"/>
    <mergeCell ref="K6:P6"/>
    <mergeCell ref="D7:J7"/>
    <mergeCell ref="K7:P7"/>
    <mergeCell ref="D8:J8"/>
    <mergeCell ref="K8:P8"/>
    <mergeCell ref="B9:C9"/>
    <mergeCell ref="D9:J9"/>
    <mergeCell ref="K9:P9"/>
    <mergeCell ref="B12:C12"/>
    <mergeCell ref="D12:J12"/>
    <mergeCell ref="K12:P12"/>
    <mergeCell ref="B17:C17"/>
    <mergeCell ref="D17:J17"/>
    <mergeCell ref="K17:P17"/>
    <mergeCell ref="B13:C13"/>
    <mergeCell ref="D13:J13"/>
    <mergeCell ref="K13:P13"/>
    <mergeCell ref="B14:C14"/>
    <mergeCell ref="D14:J14"/>
    <mergeCell ref="K14:P14"/>
    <mergeCell ref="K23:P23"/>
    <mergeCell ref="K18:L18"/>
    <mergeCell ref="K19:L19"/>
    <mergeCell ref="D20:J20"/>
    <mergeCell ref="K20:L20"/>
    <mergeCell ref="B18:C18"/>
    <mergeCell ref="B19:C19"/>
    <mergeCell ref="B20:C20"/>
    <mergeCell ref="B23:C23"/>
    <mergeCell ref="D23:J23"/>
    <mergeCell ref="B24:C24"/>
    <mergeCell ref="D24:J24"/>
    <mergeCell ref="K24:P24"/>
    <mergeCell ref="B25:C25"/>
    <mergeCell ref="D25:J25"/>
    <mergeCell ref="K25:P25"/>
    <mergeCell ref="B26:C27"/>
    <mergeCell ref="D26:J26"/>
    <mergeCell ref="K26:P27"/>
    <mergeCell ref="D27:J27"/>
    <mergeCell ref="B30:C30"/>
    <mergeCell ref="D30:L30"/>
    <mergeCell ref="M30:P30"/>
    <mergeCell ref="K40:P40"/>
    <mergeCell ref="K41:P41"/>
    <mergeCell ref="B39:C39"/>
    <mergeCell ref="B40:C42"/>
    <mergeCell ref="K42:P42"/>
    <mergeCell ref="D40:J42"/>
    <mergeCell ref="B31:C31"/>
    <mergeCell ref="D31:L31"/>
    <mergeCell ref="M31:P32"/>
    <mergeCell ref="B32:C32"/>
    <mergeCell ref="D32:L32"/>
    <mergeCell ref="B35:C35"/>
    <mergeCell ref="D35:J35"/>
    <mergeCell ref="K35:P35"/>
    <mergeCell ref="D39:J39"/>
    <mergeCell ref="K39:P39"/>
    <mergeCell ref="B36:C38"/>
    <mergeCell ref="K36:P36"/>
    <mergeCell ref="K37:P37"/>
    <mergeCell ref="K38:P38"/>
    <mergeCell ref="D36:J38"/>
  </mergeCells>
  <phoneticPr fontId="34" type="noConversion"/>
  <printOptions horizontalCentered="1"/>
  <pageMargins left="0.31496062992125984" right="0.31496062992125984" top="0.39370078740157483" bottom="0" header="0" footer="0"/>
  <pageSetup paperSize="9" scale="87" orientation="landscape" r:id="rId1"/>
  <rowBreaks count="1" manualBreakCount="1">
    <brk id="27" max="16383"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50"/>
  <sheetViews>
    <sheetView zoomScaleNormal="100" workbookViewId="0"/>
  </sheetViews>
  <sheetFormatPr defaultColWidth="9.625" defaultRowHeight="18" customHeight="1"/>
  <cols>
    <col min="1" max="1" width="1.125" style="149" customWidth="1"/>
    <col min="2" max="2" width="26.75" style="150" customWidth="1"/>
    <col min="3" max="3" width="9.5" style="150" customWidth="1"/>
    <col min="4" max="4" width="12.25" style="150" customWidth="1"/>
    <col min="5" max="6" width="7" style="150" customWidth="1"/>
    <col min="7" max="8" width="7" style="149" customWidth="1"/>
    <col min="9" max="9" width="8.75" style="149" customWidth="1"/>
    <col min="10" max="12" width="7" style="149" customWidth="1"/>
    <col min="13" max="13" width="9.75" style="149" bestFit="1" customWidth="1"/>
    <col min="14" max="21" width="7.625" style="149" customWidth="1"/>
    <col min="22" max="27" width="7.75" style="149" customWidth="1"/>
    <col min="28" max="29" width="7.75" style="151" customWidth="1"/>
    <col min="30" max="30" width="7.75" style="149" customWidth="1"/>
    <col min="31" max="16384" width="9.625" style="149"/>
  </cols>
  <sheetData>
    <row r="1" spans="1:32" ht="30" customHeight="1" thickBot="1">
      <c r="A1" s="148"/>
      <c r="B1" s="1271" t="s">
        <v>1741</v>
      </c>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row>
    <row r="2" spans="1:32" s="2" customFormat="1" ht="6" customHeight="1" thickTop="1">
      <c r="A2" s="5"/>
      <c r="B2" s="37"/>
      <c r="C2" s="37"/>
      <c r="D2" s="37"/>
      <c r="E2" s="37"/>
      <c r="F2" s="37"/>
      <c r="G2" s="37"/>
      <c r="H2" s="5"/>
      <c r="I2" s="5"/>
      <c r="J2" s="6"/>
      <c r="K2" s="6"/>
      <c r="L2" s="6"/>
      <c r="M2" s="5"/>
      <c r="N2" s="5"/>
      <c r="O2" s="5"/>
      <c r="P2" s="5"/>
      <c r="Q2" s="5"/>
      <c r="R2" s="5"/>
      <c r="S2" s="5"/>
      <c r="T2" s="5"/>
      <c r="U2" s="5"/>
      <c r="V2" s="5"/>
      <c r="W2" s="5"/>
      <c r="X2" s="5"/>
      <c r="Y2" s="5"/>
      <c r="Z2" s="5"/>
      <c r="AA2" s="5"/>
      <c r="AB2" s="5"/>
      <c r="AC2" s="5"/>
      <c r="AD2" s="5"/>
      <c r="AE2" s="5"/>
      <c r="AF2" s="5"/>
    </row>
    <row r="3" spans="1:32" s="274" customFormat="1" ht="18" customHeight="1">
      <c r="B3" s="364" t="s">
        <v>1748</v>
      </c>
      <c r="C3" s="273"/>
      <c r="D3" s="273"/>
      <c r="E3" s="273"/>
      <c r="F3" s="273"/>
      <c r="G3" s="273"/>
    </row>
    <row r="4" spans="1:32" s="2" customFormat="1" ht="6" customHeight="1" thickBot="1">
      <c r="A4" s="5"/>
      <c r="B4" s="37"/>
      <c r="C4" s="37"/>
      <c r="D4" s="37"/>
      <c r="E4" s="37"/>
      <c r="F4" s="37"/>
      <c r="G4" s="37"/>
      <c r="H4" s="5"/>
      <c r="I4" s="5"/>
      <c r="J4" s="6"/>
      <c r="K4" s="6"/>
      <c r="L4" s="6"/>
      <c r="M4" s="5"/>
      <c r="N4" s="5"/>
      <c r="O4" s="5"/>
      <c r="P4" s="5"/>
      <c r="Q4" s="5"/>
      <c r="R4" s="5"/>
      <c r="S4" s="5"/>
      <c r="T4" s="5"/>
      <c r="U4" s="5"/>
      <c r="V4" s="5"/>
      <c r="W4" s="5"/>
      <c r="X4" s="5"/>
      <c r="Y4" s="5"/>
      <c r="Z4" s="5"/>
      <c r="AA4" s="5"/>
      <c r="AB4" s="5"/>
      <c r="AC4" s="5"/>
      <c r="AD4" s="5"/>
      <c r="AE4" s="5"/>
      <c r="AF4" s="5"/>
    </row>
    <row r="5" spans="1:32" ht="18" customHeight="1">
      <c r="A5" s="17"/>
      <c r="B5" s="1272" t="s">
        <v>82</v>
      </c>
      <c r="C5" s="1274"/>
      <c r="D5" s="2408" t="s">
        <v>83</v>
      </c>
      <c r="E5" s="505" t="s">
        <v>201</v>
      </c>
      <c r="F5" s="505" t="s">
        <v>202</v>
      </c>
      <c r="G5" s="506">
        <v>1.4</v>
      </c>
      <c r="H5" s="295">
        <v>0.21</v>
      </c>
      <c r="I5" s="1356" t="s">
        <v>203</v>
      </c>
      <c r="J5" s="1590"/>
      <c r="K5" s="1590"/>
      <c r="L5" s="2410"/>
      <c r="M5" s="1992" t="s">
        <v>84</v>
      </c>
      <c r="N5" s="1985"/>
      <c r="O5" s="1988"/>
      <c r="P5" s="1991" t="s">
        <v>85</v>
      </c>
      <c r="Q5" s="1990"/>
      <c r="R5" s="509">
        <v>0.93</v>
      </c>
      <c r="S5" s="1991" t="s">
        <v>430</v>
      </c>
      <c r="T5" s="1990"/>
      <c r="U5" s="682">
        <v>0.86</v>
      </c>
      <c r="V5" s="1991" t="s">
        <v>366</v>
      </c>
      <c r="W5" s="1990"/>
      <c r="X5" s="510">
        <v>0.83</v>
      </c>
      <c r="Y5" s="1991" t="s">
        <v>204</v>
      </c>
      <c r="Z5" s="1990"/>
      <c r="AA5" s="509">
        <v>0.75</v>
      </c>
      <c r="AB5" s="1992" t="s">
        <v>205</v>
      </c>
      <c r="AC5" s="1993"/>
      <c r="AD5" s="510">
        <v>0.7</v>
      </c>
    </row>
    <row r="6" spans="1:32" ht="24.95" customHeight="1" thickBot="1">
      <c r="A6" s="17"/>
      <c r="B6" s="243" t="s">
        <v>206</v>
      </c>
      <c r="C6" s="60" t="s">
        <v>207</v>
      </c>
      <c r="D6" s="2409"/>
      <c r="E6" s="181" t="s">
        <v>208</v>
      </c>
      <c r="F6" s="181" t="s">
        <v>209</v>
      </c>
      <c r="G6" s="181" t="s">
        <v>210</v>
      </c>
      <c r="H6" s="181" t="s">
        <v>211</v>
      </c>
      <c r="I6" s="620" t="s">
        <v>306</v>
      </c>
      <c r="J6" s="181" t="s">
        <v>212</v>
      </c>
      <c r="K6" s="181" t="s">
        <v>213</v>
      </c>
      <c r="L6" s="181" t="s">
        <v>214</v>
      </c>
      <c r="M6" s="214" t="s">
        <v>215</v>
      </c>
      <c r="N6" s="307" t="s">
        <v>216</v>
      </c>
      <c r="O6" s="215" t="s">
        <v>217</v>
      </c>
      <c r="P6" s="214" t="s">
        <v>218</v>
      </c>
      <c r="Q6" s="307" t="s">
        <v>219</v>
      </c>
      <c r="R6" s="215" t="s">
        <v>220</v>
      </c>
      <c r="S6" s="214" t="s">
        <v>215</v>
      </c>
      <c r="T6" s="307" t="s">
        <v>64</v>
      </c>
      <c r="U6" s="215" t="s">
        <v>220</v>
      </c>
      <c r="V6" s="214" t="s">
        <v>221</v>
      </c>
      <c r="W6" s="307" t="s">
        <v>216</v>
      </c>
      <c r="X6" s="215" t="s">
        <v>222</v>
      </c>
      <c r="Y6" s="214" t="s">
        <v>218</v>
      </c>
      <c r="Z6" s="307" t="s">
        <v>219</v>
      </c>
      <c r="AA6" s="215" t="s">
        <v>220</v>
      </c>
      <c r="AB6" s="214" t="s">
        <v>215</v>
      </c>
      <c r="AC6" s="307" t="s">
        <v>216</v>
      </c>
      <c r="AD6" s="215" t="s">
        <v>217</v>
      </c>
    </row>
    <row r="7" spans="1:32" ht="18" customHeight="1">
      <c r="A7" s="17"/>
      <c r="B7" s="2411" t="s">
        <v>223</v>
      </c>
      <c r="C7" s="2412"/>
      <c r="D7" s="2413">
        <v>1000</v>
      </c>
      <c r="E7" s="2404">
        <f>D7*C8</f>
        <v>760</v>
      </c>
      <c r="F7" s="2404">
        <f>E7*1</f>
        <v>760</v>
      </c>
      <c r="G7" s="2404">
        <f>F7*$G$5</f>
        <v>1064</v>
      </c>
      <c r="H7" s="2405">
        <f>E7*$H$5</f>
        <v>159.6</v>
      </c>
      <c r="I7" s="2405">
        <f>E7*21%*8</f>
        <v>1276.8</v>
      </c>
      <c r="J7" s="2405">
        <f>E7*21%*11</f>
        <v>1755.6</v>
      </c>
      <c r="K7" s="2405">
        <f>E7*13%*12</f>
        <v>1185.5999999999999</v>
      </c>
      <c r="L7" s="2406">
        <f>E7*10.5%*12</f>
        <v>957.59999999999991</v>
      </c>
      <c r="M7" s="152">
        <f>G7+H7+I7</f>
        <v>2500.3999999999996</v>
      </c>
      <c r="N7" s="153">
        <f>G7+H7+J7</f>
        <v>2979.2</v>
      </c>
      <c r="O7" s="154">
        <f>G7+H7+J7+K7+L7</f>
        <v>5122.3999999999996</v>
      </c>
      <c r="P7" s="153">
        <f>M7*$R$5</f>
        <v>2325.3719999999998</v>
      </c>
      <c r="Q7" s="155">
        <f>N7*$R$5</f>
        <v>2770.6559999999999</v>
      </c>
      <c r="R7" s="156">
        <f>O7*$R$5</f>
        <v>4763.8320000000003</v>
      </c>
      <c r="S7" s="152">
        <f>M7*$U$5</f>
        <v>2150.3439999999996</v>
      </c>
      <c r="T7" s="155">
        <f>N7*$U$5</f>
        <v>2562.1119999999996</v>
      </c>
      <c r="U7" s="154">
        <f>O7*$U$5</f>
        <v>4405.2639999999992</v>
      </c>
      <c r="V7" s="152">
        <f>M7*$X$5</f>
        <v>2075.3319999999994</v>
      </c>
      <c r="W7" s="155">
        <f>N7*$X$5</f>
        <v>2472.7359999999999</v>
      </c>
      <c r="X7" s="154">
        <f>O7*$X$5</f>
        <v>4251.5919999999996</v>
      </c>
      <c r="Y7" s="153">
        <f>M7*$AA$5</f>
        <v>1875.2999999999997</v>
      </c>
      <c r="Z7" s="156">
        <f>N7*$AA$5</f>
        <v>2234.3999999999996</v>
      </c>
      <c r="AA7" s="156">
        <f>O7*$AA$5</f>
        <v>3841.7999999999997</v>
      </c>
      <c r="AB7" s="152">
        <f>M7*$AD$5</f>
        <v>1750.2799999999997</v>
      </c>
      <c r="AC7" s="156">
        <f>N7*$AD$5</f>
        <v>2085.4399999999996</v>
      </c>
      <c r="AD7" s="154">
        <f>O7*$AD$5</f>
        <v>3585.6799999999994</v>
      </c>
    </row>
    <row r="8" spans="1:32" ht="18" customHeight="1">
      <c r="A8" s="17"/>
      <c r="B8" s="75" t="s">
        <v>224</v>
      </c>
      <c r="C8" s="293">
        <v>0.76</v>
      </c>
      <c r="D8" s="2402"/>
      <c r="E8" s="2403"/>
      <c r="F8" s="2403"/>
      <c r="G8" s="2403"/>
      <c r="H8" s="2394"/>
      <c r="I8" s="2394"/>
      <c r="J8" s="2394"/>
      <c r="K8" s="2394"/>
      <c r="L8" s="2407"/>
      <c r="M8" s="186">
        <f>M7/D7</f>
        <v>2.5003999999999995</v>
      </c>
      <c r="N8" s="187">
        <f>N7/D7</f>
        <v>2.9791999999999996</v>
      </c>
      <c r="O8" s="188">
        <f>O7/D7</f>
        <v>5.1223999999999998</v>
      </c>
      <c r="P8" s="187">
        <f>P7/D7</f>
        <v>2.3253719999999998</v>
      </c>
      <c r="Q8" s="189">
        <f>Q7/D7</f>
        <v>2.7706559999999998</v>
      </c>
      <c r="R8" s="190">
        <f>R7/D7</f>
        <v>4.7638320000000007</v>
      </c>
      <c r="S8" s="186">
        <f>S7/D7</f>
        <v>2.1503439999999996</v>
      </c>
      <c r="T8" s="189">
        <f>T7/D7</f>
        <v>2.5621119999999995</v>
      </c>
      <c r="U8" s="188">
        <f>U7/D7</f>
        <v>4.405263999999999</v>
      </c>
      <c r="V8" s="186">
        <f>V7/D7</f>
        <v>2.0753319999999995</v>
      </c>
      <c r="W8" s="189">
        <f>W7/D7</f>
        <v>2.4727359999999998</v>
      </c>
      <c r="X8" s="188">
        <f>X7/D7</f>
        <v>4.2515919999999996</v>
      </c>
      <c r="Y8" s="187">
        <f>Y7/D7</f>
        <v>1.8752999999999997</v>
      </c>
      <c r="Z8" s="190">
        <f>Z7/D7</f>
        <v>2.2343999999999995</v>
      </c>
      <c r="AA8" s="190">
        <f>AA7/D7</f>
        <v>3.8417999999999997</v>
      </c>
      <c r="AB8" s="186">
        <f>AB7/D7</f>
        <v>1.7502799999999998</v>
      </c>
      <c r="AC8" s="190">
        <f>AC7/D7</f>
        <v>2.0854399999999997</v>
      </c>
      <c r="AD8" s="188">
        <f>AD7/D7</f>
        <v>3.5856799999999995</v>
      </c>
    </row>
    <row r="9" spans="1:32" ht="18" customHeight="1">
      <c r="A9" s="17"/>
      <c r="B9" s="1627" t="s">
        <v>225</v>
      </c>
      <c r="C9" s="1629"/>
      <c r="D9" s="2398">
        <v>1000</v>
      </c>
      <c r="E9" s="2400">
        <f>D9*C10</f>
        <v>850</v>
      </c>
      <c r="F9" s="2400">
        <f>E9*1</f>
        <v>850</v>
      </c>
      <c r="G9" s="2400">
        <f>F9*$G$5</f>
        <v>1190</v>
      </c>
      <c r="H9" s="2393">
        <f>E9*$H$5</f>
        <v>178.5</v>
      </c>
      <c r="I9" s="2393">
        <f t="shared" ref="I9" si="0">E9*21%*8</f>
        <v>1428</v>
      </c>
      <c r="J9" s="2393">
        <f t="shared" ref="J9" si="1">E9*21%*11</f>
        <v>1963.5</v>
      </c>
      <c r="K9" s="2393">
        <f t="shared" ref="K9" si="2">E9*13%*12</f>
        <v>1326</v>
      </c>
      <c r="L9" s="2393">
        <f t="shared" ref="L9" si="3">E9*10.5%*12</f>
        <v>1071</v>
      </c>
      <c r="M9" s="25">
        <f>G9+H9+I9</f>
        <v>2796.5</v>
      </c>
      <c r="N9" s="36">
        <f>G9+H9+J9</f>
        <v>3332</v>
      </c>
      <c r="O9" s="27">
        <f>G9+H9+J9+K9+L9</f>
        <v>5729</v>
      </c>
      <c r="P9" s="36">
        <f>M9*$R$5</f>
        <v>2600.7450000000003</v>
      </c>
      <c r="Q9" s="26">
        <f>N9*$R$5</f>
        <v>3098.76</v>
      </c>
      <c r="R9" s="110">
        <f>O9*$R$5</f>
        <v>5327.97</v>
      </c>
      <c r="S9" s="25">
        <f t="shared" ref="S9" si="4">M9*$U$5</f>
        <v>2404.9899999999998</v>
      </c>
      <c r="T9" s="26">
        <f t="shared" ref="T9" si="5">N9*$U$5</f>
        <v>2865.52</v>
      </c>
      <c r="U9" s="27">
        <f t="shared" ref="U9" si="6">O9*$U$5</f>
        <v>4926.9399999999996</v>
      </c>
      <c r="V9" s="25">
        <f>M9*$X$5</f>
        <v>2321.0949999999998</v>
      </c>
      <c r="W9" s="26">
        <f>N9*$X$5</f>
        <v>2765.56</v>
      </c>
      <c r="X9" s="27">
        <f>O9*$X$5</f>
        <v>4755.07</v>
      </c>
      <c r="Y9" s="36">
        <f>M9*$AA$5</f>
        <v>2097.375</v>
      </c>
      <c r="Z9" s="110">
        <f>N9*$AA$5</f>
        <v>2499</v>
      </c>
      <c r="AA9" s="110">
        <f>O9*$AA$5</f>
        <v>4296.75</v>
      </c>
      <c r="AB9" s="25">
        <f>M9*$AD$5</f>
        <v>1957.55</v>
      </c>
      <c r="AC9" s="110">
        <f>N9*$AD$5</f>
        <v>2332.3999999999996</v>
      </c>
      <c r="AD9" s="27">
        <f>O9*$AD$5</f>
        <v>4010.2999999999997</v>
      </c>
    </row>
    <row r="10" spans="1:32" ht="18" customHeight="1">
      <c r="A10" s="17"/>
      <c r="B10" s="75" t="s">
        <v>226</v>
      </c>
      <c r="C10" s="293">
        <v>0.85</v>
      </c>
      <c r="D10" s="2402"/>
      <c r="E10" s="2403"/>
      <c r="F10" s="2403"/>
      <c r="G10" s="2403"/>
      <c r="H10" s="2394"/>
      <c r="I10" s="2394"/>
      <c r="J10" s="2394"/>
      <c r="K10" s="2394"/>
      <c r="L10" s="2394"/>
      <c r="M10" s="186">
        <f>M9/D9</f>
        <v>2.7965</v>
      </c>
      <c r="N10" s="187">
        <f>N9/D9</f>
        <v>3.3319999999999999</v>
      </c>
      <c r="O10" s="188">
        <f>O9/D9</f>
        <v>5.7290000000000001</v>
      </c>
      <c r="P10" s="187">
        <f>P9/D9</f>
        <v>2.6007450000000003</v>
      </c>
      <c r="Q10" s="189">
        <f>Q9/D9</f>
        <v>3.0987600000000004</v>
      </c>
      <c r="R10" s="190">
        <f>R9/D9</f>
        <v>5.3279700000000005</v>
      </c>
      <c r="S10" s="186">
        <f t="shared" ref="S10" si="7">S9/D9</f>
        <v>2.4049899999999997</v>
      </c>
      <c r="T10" s="189">
        <f t="shared" ref="T10" si="8">T9/D9</f>
        <v>2.8655200000000001</v>
      </c>
      <c r="U10" s="188">
        <f t="shared" ref="U10" si="9">U9/D9</f>
        <v>4.9269399999999992</v>
      </c>
      <c r="V10" s="186">
        <f>V9/D9</f>
        <v>2.3210949999999997</v>
      </c>
      <c r="W10" s="189">
        <f>W9/D9</f>
        <v>2.7655599999999998</v>
      </c>
      <c r="X10" s="188">
        <f>X9/D9</f>
        <v>4.7550699999999999</v>
      </c>
      <c r="Y10" s="187">
        <f>Y9/D9</f>
        <v>2.097375</v>
      </c>
      <c r="Z10" s="190">
        <f>Z9/D9</f>
        <v>2.4990000000000001</v>
      </c>
      <c r="AA10" s="190">
        <f>AA9/D9</f>
        <v>4.2967500000000003</v>
      </c>
      <c r="AB10" s="186">
        <f>AB9/D9</f>
        <v>1.9575499999999999</v>
      </c>
      <c r="AC10" s="190">
        <f>AC9/D9</f>
        <v>2.3323999999999998</v>
      </c>
      <c r="AD10" s="188">
        <f>AD9/D9</f>
        <v>4.0103</v>
      </c>
    </row>
    <row r="11" spans="1:32" ht="18" customHeight="1">
      <c r="A11" s="17"/>
      <c r="B11" s="1627" t="s">
        <v>227</v>
      </c>
      <c r="C11" s="1629"/>
      <c r="D11" s="2398">
        <v>1000</v>
      </c>
      <c r="E11" s="2400">
        <f>D11*C12</f>
        <v>350</v>
      </c>
      <c r="F11" s="2400">
        <f>E11*1</f>
        <v>350</v>
      </c>
      <c r="G11" s="2400">
        <f>F11*$G$5</f>
        <v>489.99999999999994</v>
      </c>
      <c r="H11" s="2393">
        <f>E11*$H$5</f>
        <v>73.5</v>
      </c>
      <c r="I11" s="2393">
        <f t="shared" ref="I11" si="10">E11*21%*8</f>
        <v>588</v>
      </c>
      <c r="J11" s="2393">
        <f t="shared" ref="J11" si="11">E11*21%*11</f>
        <v>808.5</v>
      </c>
      <c r="K11" s="2393">
        <f t="shared" ref="K11" si="12">E11*13%*12</f>
        <v>546</v>
      </c>
      <c r="L11" s="2393">
        <f t="shared" ref="L11" si="13">E11*10.5%*12</f>
        <v>441</v>
      </c>
      <c r="M11" s="25">
        <f>G11+H11+I11</f>
        <v>1151.5</v>
      </c>
      <c r="N11" s="36">
        <f>G11+H11+J11</f>
        <v>1372</v>
      </c>
      <c r="O11" s="27">
        <f>G11+H11+J11+K11+L11</f>
        <v>2359</v>
      </c>
      <c r="P11" s="36">
        <f>M11*$R$5</f>
        <v>1070.895</v>
      </c>
      <c r="Q11" s="26">
        <f>N11*$R$5</f>
        <v>1275.96</v>
      </c>
      <c r="R11" s="110">
        <f>O11*$R$5</f>
        <v>2193.87</v>
      </c>
      <c r="S11" s="25">
        <f t="shared" ref="S11" si="14">M11*$U$5</f>
        <v>990.29</v>
      </c>
      <c r="T11" s="26">
        <f t="shared" ref="T11" si="15">N11*$U$5</f>
        <v>1179.92</v>
      </c>
      <c r="U11" s="27">
        <f t="shared" ref="U11" si="16">O11*$U$5</f>
        <v>2028.74</v>
      </c>
      <c r="V11" s="25">
        <f>M11*$X$5</f>
        <v>955.745</v>
      </c>
      <c r="W11" s="26">
        <f>N11*$X$5</f>
        <v>1138.76</v>
      </c>
      <c r="X11" s="27">
        <f>O11*$X$5</f>
        <v>1957.9699999999998</v>
      </c>
      <c r="Y11" s="36">
        <f>M11*$AA$5</f>
        <v>863.625</v>
      </c>
      <c r="Z11" s="110">
        <f>N11*$AA$5</f>
        <v>1029</v>
      </c>
      <c r="AA11" s="110">
        <f>O11*$AA$5</f>
        <v>1769.25</v>
      </c>
      <c r="AB11" s="25">
        <f>M11*$AD$5</f>
        <v>806.05</v>
      </c>
      <c r="AC11" s="110">
        <f>N11*$AD$5</f>
        <v>960.4</v>
      </c>
      <c r="AD11" s="27">
        <f>O11*$AD$5</f>
        <v>1651.3</v>
      </c>
    </row>
    <row r="12" spans="1:32" ht="18" customHeight="1">
      <c r="A12" s="17"/>
      <c r="B12" s="75" t="s">
        <v>228</v>
      </c>
      <c r="C12" s="293">
        <v>0.35</v>
      </c>
      <c r="D12" s="2402"/>
      <c r="E12" s="2403"/>
      <c r="F12" s="2403"/>
      <c r="G12" s="2403"/>
      <c r="H12" s="2394"/>
      <c r="I12" s="2394"/>
      <c r="J12" s="2394"/>
      <c r="K12" s="2394"/>
      <c r="L12" s="2394"/>
      <c r="M12" s="186">
        <f>M11/D11</f>
        <v>1.1515</v>
      </c>
      <c r="N12" s="187">
        <f>N11/D11</f>
        <v>1.3720000000000001</v>
      </c>
      <c r="O12" s="188">
        <f>O11/D11</f>
        <v>2.359</v>
      </c>
      <c r="P12" s="187">
        <f>P11/D11</f>
        <v>1.0708949999999999</v>
      </c>
      <c r="Q12" s="189">
        <f>Q11/D11</f>
        <v>1.27596</v>
      </c>
      <c r="R12" s="190">
        <f>R11/D11</f>
        <v>2.19387</v>
      </c>
      <c r="S12" s="186">
        <f t="shared" ref="S12" si="17">S11/D11</f>
        <v>0.99029</v>
      </c>
      <c r="T12" s="189">
        <f t="shared" ref="T12" si="18">T11/D11</f>
        <v>1.1799200000000001</v>
      </c>
      <c r="U12" s="188">
        <f t="shared" ref="U12" si="19">U11/D11</f>
        <v>2.02874</v>
      </c>
      <c r="V12" s="186">
        <f>V11/D11</f>
        <v>0.95574499999999996</v>
      </c>
      <c r="W12" s="189">
        <f>W11/D11</f>
        <v>1.13876</v>
      </c>
      <c r="X12" s="188">
        <f>X11/D11</f>
        <v>1.9579699999999998</v>
      </c>
      <c r="Y12" s="187">
        <f>Y11/D11</f>
        <v>0.86362499999999998</v>
      </c>
      <c r="Z12" s="190">
        <f>Z11/D11</f>
        <v>1.0289999999999999</v>
      </c>
      <c r="AA12" s="190">
        <f>AA11/D11</f>
        <v>1.76925</v>
      </c>
      <c r="AB12" s="186">
        <f>AB11/D11</f>
        <v>0.80604999999999993</v>
      </c>
      <c r="AC12" s="190">
        <f>AC11/D11</f>
        <v>0.96040000000000003</v>
      </c>
      <c r="AD12" s="188">
        <f>AD11/D11</f>
        <v>1.6513</v>
      </c>
    </row>
    <row r="13" spans="1:32" ht="18" customHeight="1">
      <c r="A13" s="17"/>
      <c r="B13" s="1627" t="s">
        <v>229</v>
      </c>
      <c r="C13" s="1629"/>
      <c r="D13" s="2398">
        <v>1000</v>
      </c>
      <c r="E13" s="2400">
        <f>D13*C14</f>
        <v>850</v>
      </c>
      <c r="F13" s="2400">
        <f>E13*1</f>
        <v>850</v>
      </c>
      <c r="G13" s="2400">
        <f>F13*$G$5</f>
        <v>1190</v>
      </c>
      <c r="H13" s="2393">
        <f>E13*$H$5</f>
        <v>178.5</v>
      </c>
      <c r="I13" s="2393">
        <f t="shared" ref="I13" si="20">E13*21%*8</f>
        <v>1428</v>
      </c>
      <c r="J13" s="2393">
        <f t="shared" ref="J13" si="21">E13*21%*11</f>
        <v>1963.5</v>
      </c>
      <c r="K13" s="2393">
        <f t="shared" ref="K13" si="22">E13*13%*12</f>
        <v>1326</v>
      </c>
      <c r="L13" s="2393">
        <f t="shared" ref="L13" si="23">E13*10.5%*12</f>
        <v>1071</v>
      </c>
      <c r="M13" s="25">
        <f>G13+H13+I13</f>
        <v>2796.5</v>
      </c>
      <c r="N13" s="36">
        <f>G13+H13+J13</f>
        <v>3332</v>
      </c>
      <c r="O13" s="27">
        <f>G13+H13+J13+K13+L13</f>
        <v>5729</v>
      </c>
      <c r="P13" s="36">
        <f>M13*$R$5</f>
        <v>2600.7450000000003</v>
      </c>
      <c r="Q13" s="26">
        <f>N13*$R$5</f>
        <v>3098.76</v>
      </c>
      <c r="R13" s="110">
        <f>O13*$R$5</f>
        <v>5327.97</v>
      </c>
      <c r="S13" s="25">
        <f t="shared" ref="S13" si="24">M13*$U$5</f>
        <v>2404.9899999999998</v>
      </c>
      <c r="T13" s="26">
        <f t="shared" ref="T13" si="25">N13*$U$5</f>
        <v>2865.52</v>
      </c>
      <c r="U13" s="27">
        <f t="shared" ref="U13" si="26">O13*$U$5</f>
        <v>4926.9399999999996</v>
      </c>
      <c r="V13" s="25">
        <f>M13*$X$5</f>
        <v>2321.0949999999998</v>
      </c>
      <c r="W13" s="26">
        <f>N13*$X$5</f>
        <v>2765.56</v>
      </c>
      <c r="X13" s="27">
        <f>O13*$X$5</f>
        <v>4755.07</v>
      </c>
      <c r="Y13" s="36">
        <f>M13*$AA$5</f>
        <v>2097.375</v>
      </c>
      <c r="Z13" s="110">
        <f>N13*$AA$5</f>
        <v>2499</v>
      </c>
      <c r="AA13" s="110">
        <f>O13*$AA$5</f>
        <v>4296.75</v>
      </c>
      <c r="AB13" s="25">
        <f>M13*$AD$5</f>
        <v>1957.55</v>
      </c>
      <c r="AC13" s="110">
        <f>N13*$AD$5</f>
        <v>2332.3999999999996</v>
      </c>
      <c r="AD13" s="27">
        <f>O13*$AD$5</f>
        <v>4010.2999999999997</v>
      </c>
    </row>
    <row r="14" spans="1:32" ht="18" customHeight="1">
      <c r="A14" s="17"/>
      <c r="B14" s="75" t="s">
        <v>230</v>
      </c>
      <c r="C14" s="293">
        <v>0.85</v>
      </c>
      <c r="D14" s="2402"/>
      <c r="E14" s="2403"/>
      <c r="F14" s="2403"/>
      <c r="G14" s="2403"/>
      <c r="H14" s="2394"/>
      <c r="I14" s="2394"/>
      <c r="J14" s="2394"/>
      <c r="K14" s="2394"/>
      <c r="L14" s="2394"/>
      <c r="M14" s="186">
        <f>M13/D13</f>
        <v>2.7965</v>
      </c>
      <c r="N14" s="187">
        <f>N13/D13</f>
        <v>3.3319999999999999</v>
      </c>
      <c r="O14" s="188">
        <f>O13/D13</f>
        <v>5.7290000000000001</v>
      </c>
      <c r="P14" s="187">
        <f>P13/D13</f>
        <v>2.6007450000000003</v>
      </c>
      <c r="Q14" s="189">
        <f>Q13/D13</f>
        <v>3.0987600000000004</v>
      </c>
      <c r="R14" s="190">
        <f>R13/D13</f>
        <v>5.3279700000000005</v>
      </c>
      <c r="S14" s="186">
        <f t="shared" ref="S14" si="27">S13/D13</f>
        <v>2.4049899999999997</v>
      </c>
      <c r="T14" s="189">
        <f t="shared" ref="T14" si="28">T13/D13</f>
        <v>2.8655200000000001</v>
      </c>
      <c r="U14" s="188">
        <f t="shared" ref="U14" si="29">U13/D13</f>
        <v>4.9269399999999992</v>
      </c>
      <c r="V14" s="186">
        <f>V13/D13</f>
        <v>2.3210949999999997</v>
      </c>
      <c r="W14" s="189">
        <f>W13/D13</f>
        <v>2.7655599999999998</v>
      </c>
      <c r="X14" s="188">
        <f>X13/D13</f>
        <v>4.7550699999999999</v>
      </c>
      <c r="Y14" s="187">
        <f>Y13/D13</f>
        <v>2.097375</v>
      </c>
      <c r="Z14" s="190">
        <f>Z13/D13</f>
        <v>2.4990000000000001</v>
      </c>
      <c r="AA14" s="190">
        <f>AA13/D13</f>
        <v>4.2967500000000003</v>
      </c>
      <c r="AB14" s="186">
        <f>AB13/D13</f>
        <v>1.9575499999999999</v>
      </c>
      <c r="AC14" s="190">
        <f>AC13/D13</f>
        <v>2.3323999999999998</v>
      </c>
      <c r="AD14" s="188">
        <f>AD13/D13</f>
        <v>4.0103</v>
      </c>
    </row>
    <row r="15" spans="1:32" ht="18" customHeight="1">
      <c r="A15" s="17"/>
      <c r="B15" s="2414" t="s">
        <v>903</v>
      </c>
      <c r="C15" s="2415"/>
      <c r="D15" s="2398">
        <v>1000</v>
      </c>
      <c r="E15" s="2400">
        <f>D15*C16</f>
        <v>680</v>
      </c>
      <c r="F15" s="2400">
        <f>E15*1</f>
        <v>680</v>
      </c>
      <c r="G15" s="2400">
        <f>F15*$G$5</f>
        <v>951.99999999999989</v>
      </c>
      <c r="H15" s="2393">
        <f>E15*$H$5</f>
        <v>142.79999999999998</v>
      </c>
      <c r="I15" s="2393">
        <f t="shared" ref="I15" si="30">E15*21%*8</f>
        <v>1142.3999999999999</v>
      </c>
      <c r="J15" s="2393">
        <f t="shared" ref="J15" si="31">E15*21%*11</f>
        <v>1570.7999999999997</v>
      </c>
      <c r="K15" s="2393">
        <f t="shared" ref="K15" si="32">E15*13%*12</f>
        <v>1060.8000000000002</v>
      </c>
      <c r="L15" s="2393">
        <f t="shared" ref="L15" si="33">E15*10.5%*12</f>
        <v>856.8</v>
      </c>
      <c r="M15" s="25">
        <f>G15+H15+I15</f>
        <v>2237.1999999999998</v>
      </c>
      <c r="N15" s="36">
        <f>G15+H15+J15</f>
        <v>2665.5999999999995</v>
      </c>
      <c r="O15" s="27">
        <f>G15+H15+J15+K15+L15</f>
        <v>4583.2</v>
      </c>
      <c r="P15" s="36">
        <f>M15*$R$5</f>
        <v>2080.596</v>
      </c>
      <c r="Q15" s="26">
        <f>N15*$R$5</f>
        <v>2479.0079999999998</v>
      </c>
      <c r="R15" s="110">
        <f>O15*$R$5</f>
        <v>4262.3760000000002</v>
      </c>
      <c r="S15" s="25">
        <f t="shared" ref="S15" si="34">M15*$U$5</f>
        <v>1923.9919999999997</v>
      </c>
      <c r="T15" s="26">
        <f t="shared" ref="T15" si="35">N15*$U$5</f>
        <v>2292.4159999999997</v>
      </c>
      <c r="U15" s="27">
        <f t="shared" ref="U15" si="36">O15*$U$5</f>
        <v>3941.5519999999997</v>
      </c>
      <c r="V15" s="25">
        <f>M15*$X$5</f>
        <v>1856.8759999999997</v>
      </c>
      <c r="W15" s="26">
        <f>N15*$X$5</f>
        <v>2212.4479999999994</v>
      </c>
      <c r="X15" s="27">
        <f>O15*$X$5</f>
        <v>3804.0559999999996</v>
      </c>
      <c r="Y15" s="36">
        <f>M15*$AA$5</f>
        <v>1677.8999999999999</v>
      </c>
      <c r="Z15" s="110">
        <f>N15*$AA$5</f>
        <v>1999.1999999999996</v>
      </c>
      <c r="AA15" s="110">
        <f>O15*$AA$5</f>
        <v>3437.3999999999996</v>
      </c>
      <c r="AB15" s="25">
        <f>M15*$AD$5</f>
        <v>1566.0399999999997</v>
      </c>
      <c r="AC15" s="110">
        <f>N15*$AD$5</f>
        <v>1865.9199999999994</v>
      </c>
      <c r="AD15" s="27">
        <f>O15*$AD$5</f>
        <v>3208.24</v>
      </c>
    </row>
    <row r="16" spans="1:32" ht="18" customHeight="1">
      <c r="A16" s="17"/>
      <c r="B16" s="75" t="s">
        <v>904</v>
      </c>
      <c r="C16" s="293">
        <v>0.68</v>
      </c>
      <c r="D16" s="2402"/>
      <c r="E16" s="2403"/>
      <c r="F16" s="2403"/>
      <c r="G16" s="2403"/>
      <c r="H16" s="2394"/>
      <c r="I16" s="2394"/>
      <c r="J16" s="2394"/>
      <c r="K16" s="2394"/>
      <c r="L16" s="2394"/>
      <c r="M16" s="186">
        <f>M15/D15</f>
        <v>2.2371999999999996</v>
      </c>
      <c r="N16" s="187">
        <f>N15/D15</f>
        <v>2.6655999999999995</v>
      </c>
      <c r="O16" s="188">
        <f>O15/D15</f>
        <v>4.5831999999999997</v>
      </c>
      <c r="P16" s="187">
        <f>P15/D15</f>
        <v>2.0805959999999999</v>
      </c>
      <c r="Q16" s="189">
        <f>Q15/D15</f>
        <v>2.4790079999999999</v>
      </c>
      <c r="R16" s="190">
        <f>R15/D15</f>
        <v>4.2623760000000006</v>
      </c>
      <c r="S16" s="186">
        <f t="shared" ref="S16" si="37">S15/D15</f>
        <v>1.9239919999999997</v>
      </c>
      <c r="T16" s="189">
        <f t="shared" ref="T16" si="38">T15/D15</f>
        <v>2.2924159999999998</v>
      </c>
      <c r="U16" s="188">
        <f t="shared" ref="U16" si="39">U15/D15</f>
        <v>3.9415519999999997</v>
      </c>
      <c r="V16" s="186">
        <f>V15/D15</f>
        <v>1.8568759999999997</v>
      </c>
      <c r="W16" s="189">
        <f>W15/D15</f>
        <v>2.2124479999999993</v>
      </c>
      <c r="X16" s="188">
        <f>X15/D15</f>
        <v>3.8040559999999997</v>
      </c>
      <c r="Y16" s="187">
        <f>Y15/D15</f>
        <v>1.6778999999999999</v>
      </c>
      <c r="Z16" s="190">
        <f>Z15/D15</f>
        <v>1.9991999999999996</v>
      </c>
      <c r="AA16" s="190">
        <f>AA15/D15</f>
        <v>3.4373999999999998</v>
      </c>
      <c r="AB16" s="186">
        <f>AB15/D15</f>
        <v>1.5660399999999997</v>
      </c>
      <c r="AC16" s="190">
        <f>AC15/D15</f>
        <v>1.8659199999999994</v>
      </c>
      <c r="AD16" s="188">
        <f>AD15/D15</f>
        <v>3.20824</v>
      </c>
    </row>
    <row r="17" spans="1:30" ht="18" customHeight="1">
      <c r="A17" s="17"/>
      <c r="B17" s="1627" t="s">
        <v>231</v>
      </c>
      <c r="C17" s="1629"/>
      <c r="D17" s="2398">
        <v>1000</v>
      </c>
      <c r="E17" s="2400">
        <f>D17*C18</f>
        <v>710</v>
      </c>
      <c r="F17" s="2400">
        <f>E17*0.8</f>
        <v>568</v>
      </c>
      <c r="G17" s="2400">
        <f>F17*$G$5</f>
        <v>795.19999999999993</v>
      </c>
      <c r="H17" s="2393">
        <f>E17*$H$5</f>
        <v>149.1</v>
      </c>
      <c r="I17" s="2393">
        <f t="shared" ref="I17" si="40">E17*21%*8</f>
        <v>1192.8</v>
      </c>
      <c r="J17" s="2393">
        <f t="shared" ref="J17" si="41">E17*21%*11</f>
        <v>1640.1</v>
      </c>
      <c r="K17" s="2393">
        <f t="shared" ref="K17" si="42">E17*13%*12</f>
        <v>1107.5999999999999</v>
      </c>
      <c r="L17" s="2393">
        <f t="shared" ref="L17" si="43">E17*10.5%*12</f>
        <v>894.59999999999991</v>
      </c>
      <c r="M17" s="25">
        <f>G17+H17+I17</f>
        <v>2137.1</v>
      </c>
      <c r="N17" s="36">
        <f>G17+H17+J17</f>
        <v>2584.3999999999996</v>
      </c>
      <c r="O17" s="27">
        <f>G17+H17+J17+K17+L17</f>
        <v>4586.5999999999995</v>
      </c>
      <c r="P17" s="36">
        <f>M17*$R$5</f>
        <v>1987.5029999999999</v>
      </c>
      <c r="Q17" s="26">
        <f>N17*$R$5</f>
        <v>2403.4919999999997</v>
      </c>
      <c r="R17" s="110">
        <f>O17*$R$5</f>
        <v>4265.5379999999996</v>
      </c>
      <c r="S17" s="25">
        <f t="shared" ref="S17" si="44">M17*$U$5</f>
        <v>1837.9059999999999</v>
      </c>
      <c r="T17" s="26">
        <f t="shared" ref="T17" si="45">N17*$U$5</f>
        <v>2222.5839999999998</v>
      </c>
      <c r="U17" s="27">
        <f t="shared" ref="U17" si="46">O17*$U$5</f>
        <v>3944.4759999999997</v>
      </c>
      <c r="V17" s="25">
        <f>M17*$X$5</f>
        <v>1773.7929999999999</v>
      </c>
      <c r="W17" s="26">
        <f>N17*$X$5</f>
        <v>2145.0519999999997</v>
      </c>
      <c r="X17" s="27">
        <f>O17*$X$5</f>
        <v>3806.8779999999992</v>
      </c>
      <c r="Y17" s="36">
        <f>M17*$AA$5</f>
        <v>1602.8249999999998</v>
      </c>
      <c r="Z17" s="110">
        <f>N17*$AA$5</f>
        <v>1938.2999999999997</v>
      </c>
      <c r="AA17" s="110">
        <f>O17*$AA$5</f>
        <v>3439.95</v>
      </c>
      <c r="AB17" s="25">
        <f>M17*$AD$5</f>
        <v>1495.9699999999998</v>
      </c>
      <c r="AC17" s="110">
        <f>N17*$AD$5</f>
        <v>1809.0799999999997</v>
      </c>
      <c r="AD17" s="27">
        <f>O17*$AD$5</f>
        <v>3210.6199999999994</v>
      </c>
    </row>
    <row r="18" spans="1:30" ht="18" customHeight="1">
      <c r="A18" s="17"/>
      <c r="B18" s="75" t="s">
        <v>224</v>
      </c>
      <c r="C18" s="293">
        <v>0.71</v>
      </c>
      <c r="D18" s="2402"/>
      <c r="E18" s="2403"/>
      <c r="F18" s="2403"/>
      <c r="G18" s="2403"/>
      <c r="H18" s="2394"/>
      <c r="I18" s="2394"/>
      <c r="J18" s="2394"/>
      <c r="K18" s="2394"/>
      <c r="L18" s="2394"/>
      <c r="M18" s="186">
        <f>M17/D17</f>
        <v>2.1370999999999998</v>
      </c>
      <c r="N18" s="187">
        <f>N17/D17</f>
        <v>2.5843999999999996</v>
      </c>
      <c r="O18" s="188">
        <f>O17/D17</f>
        <v>4.5865999999999998</v>
      </c>
      <c r="P18" s="187">
        <f>P17/D17</f>
        <v>1.987503</v>
      </c>
      <c r="Q18" s="189">
        <f>Q17/D17</f>
        <v>2.4034919999999995</v>
      </c>
      <c r="R18" s="190">
        <f>R17/D17</f>
        <v>4.2655379999999994</v>
      </c>
      <c r="S18" s="186">
        <f t="shared" ref="S18" si="47">S17/D17</f>
        <v>1.837906</v>
      </c>
      <c r="T18" s="189">
        <f t="shared" ref="T18" si="48">T17/D17</f>
        <v>2.2225839999999999</v>
      </c>
      <c r="U18" s="188">
        <f t="shared" ref="U18" si="49">U17/D17</f>
        <v>3.9444759999999999</v>
      </c>
      <c r="V18" s="186">
        <f>V17/D17</f>
        <v>1.773793</v>
      </c>
      <c r="W18" s="189">
        <f>W17/D17</f>
        <v>2.1450519999999997</v>
      </c>
      <c r="X18" s="188">
        <f>X17/D17</f>
        <v>3.8068779999999993</v>
      </c>
      <c r="Y18" s="187">
        <f>Y17/D17</f>
        <v>1.6028249999999997</v>
      </c>
      <c r="Z18" s="190">
        <f>Z17/D17</f>
        <v>1.9382999999999997</v>
      </c>
      <c r="AA18" s="190">
        <f>AA17/D17</f>
        <v>3.4399499999999996</v>
      </c>
      <c r="AB18" s="186">
        <f>AB17/D17</f>
        <v>1.4959699999999998</v>
      </c>
      <c r="AC18" s="190">
        <f>AC17/D17</f>
        <v>1.8090799999999998</v>
      </c>
      <c r="AD18" s="188">
        <f>AD17/D17</f>
        <v>3.2106199999999996</v>
      </c>
    </row>
    <row r="19" spans="1:30" ht="18" customHeight="1">
      <c r="A19" s="17"/>
      <c r="B19" s="1627" t="s">
        <v>232</v>
      </c>
      <c r="C19" s="1629"/>
      <c r="D19" s="2398">
        <v>1000</v>
      </c>
      <c r="E19" s="2400">
        <f>D19*C20</f>
        <v>1950</v>
      </c>
      <c r="F19" s="2400">
        <f>E19*1.1</f>
        <v>2145</v>
      </c>
      <c r="G19" s="2400">
        <f>F19*$G$5</f>
        <v>3003</v>
      </c>
      <c r="H19" s="2393">
        <f>E19*$H$5</f>
        <v>409.5</v>
      </c>
      <c r="I19" s="2393">
        <f t="shared" ref="I19" si="50">E19*21%*8</f>
        <v>3276</v>
      </c>
      <c r="J19" s="2393">
        <f t="shared" ref="J19" si="51">E19*21%*11</f>
        <v>4504.5</v>
      </c>
      <c r="K19" s="2393">
        <f t="shared" ref="K19" si="52">E19*13%*12</f>
        <v>3042</v>
      </c>
      <c r="L19" s="2393">
        <f t="shared" ref="L19" si="53">E19*10.5%*12</f>
        <v>2457</v>
      </c>
      <c r="M19" s="25">
        <f>G19+H19+I19</f>
        <v>6688.5</v>
      </c>
      <c r="N19" s="36">
        <f>G19+H19+J19</f>
        <v>7917</v>
      </c>
      <c r="O19" s="27">
        <f>G19+H19+J19+K19+L19</f>
        <v>13416</v>
      </c>
      <c r="P19" s="36">
        <f>M19*$R$5</f>
        <v>6220.3050000000003</v>
      </c>
      <c r="Q19" s="26">
        <f>N19*$R$5</f>
        <v>7362.81</v>
      </c>
      <c r="R19" s="110">
        <f>O19*$R$5</f>
        <v>12476.880000000001</v>
      </c>
      <c r="S19" s="25">
        <f t="shared" ref="S19" si="54">M19*$U$5</f>
        <v>5752.11</v>
      </c>
      <c r="T19" s="26">
        <f t="shared" ref="T19" si="55">N19*$U$5</f>
        <v>6808.62</v>
      </c>
      <c r="U19" s="27">
        <f t="shared" ref="U19" si="56">O19*$U$5</f>
        <v>11537.76</v>
      </c>
      <c r="V19" s="25">
        <f>M19*$X$5</f>
        <v>5551.4549999999999</v>
      </c>
      <c r="W19" s="26">
        <f>N19*$X$5</f>
        <v>6571.11</v>
      </c>
      <c r="X19" s="27">
        <f>O19*$X$5</f>
        <v>11135.279999999999</v>
      </c>
      <c r="Y19" s="36">
        <f>M19*$AA$5</f>
        <v>5016.375</v>
      </c>
      <c r="Z19" s="110">
        <f>N19*$AA$5</f>
        <v>5937.75</v>
      </c>
      <c r="AA19" s="110">
        <f>O19*$AA$5</f>
        <v>10062</v>
      </c>
      <c r="AB19" s="25">
        <f>M19*$AD$5</f>
        <v>4681.95</v>
      </c>
      <c r="AC19" s="110">
        <f>N19*$AD$5</f>
        <v>5541.9</v>
      </c>
      <c r="AD19" s="27">
        <f>O19*$AD$5</f>
        <v>9391.1999999999989</v>
      </c>
    </row>
    <row r="20" spans="1:30" ht="18" customHeight="1">
      <c r="A20" s="17"/>
      <c r="B20" s="75" t="s">
        <v>249</v>
      </c>
      <c r="C20" s="293">
        <v>1.95</v>
      </c>
      <c r="D20" s="2402"/>
      <c r="E20" s="2403"/>
      <c r="F20" s="2403"/>
      <c r="G20" s="2403"/>
      <c r="H20" s="2394"/>
      <c r="I20" s="2394"/>
      <c r="J20" s="2394"/>
      <c r="K20" s="2394"/>
      <c r="L20" s="2394"/>
      <c r="M20" s="186">
        <f>M19/D19</f>
        <v>6.6885000000000003</v>
      </c>
      <c r="N20" s="187">
        <f>N19/D19</f>
        <v>7.9169999999999998</v>
      </c>
      <c r="O20" s="188">
        <f>O19/D19</f>
        <v>13.416</v>
      </c>
      <c r="P20" s="187">
        <f>P19/D19</f>
        <v>6.2203050000000006</v>
      </c>
      <c r="Q20" s="189">
        <f>Q19/D19</f>
        <v>7.3628100000000005</v>
      </c>
      <c r="R20" s="190">
        <f>R19/D19</f>
        <v>12.476880000000001</v>
      </c>
      <c r="S20" s="186">
        <f t="shared" ref="S20" si="57">S19/D19</f>
        <v>5.7521100000000001</v>
      </c>
      <c r="T20" s="189">
        <f t="shared" ref="T20" si="58">T19/D19</f>
        <v>6.8086199999999995</v>
      </c>
      <c r="U20" s="188">
        <f t="shared" ref="U20" si="59">U19/D19</f>
        <v>11.53776</v>
      </c>
      <c r="V20" s="186">
        <f>V19/D19</f>
        <v>5.5514549999999998</v>
      </c>
      <c r="W20" s="189">
        <f>W19/D19</f>
        <v>6.57111</v>
      </c>
      <c r="X20" s="188">
        <f>X19/D19</f>
        <v>11.135279999999998</v>
      </c>
      <c r="Y20" s="187">
        <f>Y19/D19</f>
        <v>5.016375</v>
      </c>
      <c r="Z20" s="190">
        <f>Z19/D19</f>
        <v>5.9377500000000003</v>
      </c>
      <c r="AA20" s="190">
        <f>AA19/D19</f>
        <v>10.061999999999999</v>
      </c>
      <c r="AB20" s="186">
        <f>AB19/D19</f>
        <v>4.6819499999999996</v>
      </c>
      <c r="AC20" s="190">
        <f>AC19/D19</f>
        <v>5.5419</v>
      </c>
      <c r="AD20" s="188">
        <f>AD19/D19</f>
        <v>9.3911999999999995</v>
      </c>
    </row>
    <row r="21" spans="1:30" ht="18" customHeight="1">
      <c r="A21" s="17"/>
      <c r="B21" s="1627" t="s">
        <v>233</v>
      </c>
      <c r="C21" s="1629"/>
      <c r="D21" s="2398">
        <v>1000</v>
      </c>
      <c r="E21" s="2400">
        <f>D21*C22</f>
        <v>1850</v>
      </c>
      <c r="F21" s="2400">
        <f>E21*1.1</f>
        <v>2035.0000000000002</v>
      </c>
      <c r="G21" s="2400">
        <f>F21*$G$5</f>
        <v>2849</v>
      </c>
      <c r="H21" s="2393">
        <f>E21*$H$5</f>
        <v>388.5</v>
      </c>
      <c r="I21" s="2393">
        <f t="shared" ref="I21" si="60">E21*21%*8</f>
        <v>3108</v>
      </c>
      <c r="J21" s="2393">
        <f t="shared" ref="J21" si="61">E21*21%*11</f>
        <v>4273.5</v>
      </c>
      <c r="K21" s="2393">
        <f t="shared" ref="K21" si="62">E21*13%*12</f>
        <v>2886</v>
      </c>
      <c r="L21" s="2393">
        <f t="shared" ref="L21" si="63">E21*10.5%*12</f>
        <v>2331</v>
      </c>
      <c r="M21" s="25">
        <f>G21+H21+I21</f>
        <v>6345.5</v>
      </c>
      <c r="N21" s="36">
        <f>G21+H21+J21</f>
        <v>7511</v>
      </c>
      <c r="O21" s="27">
        <f>G21+H21+J21+K21+L21</f>
        <v>12728</v>
      </c>
      <c r="P21" s="36">
        <f>M21*$R$5</f>
        <v>5901.3150000000005</v>
      </c>
      <c r="Q21" s="26">
        <f>N21*$R$5</f>
        <v>6985.2300000000005</v>
      </c>
      <c r="R21" s="110">
        <f>O21*$R$5</f>
        <v>11837.04</v>
      </c>
      <c r="S21" s="25">
        <f t="shared" ref="S21" si="64">M21*$U$5</f>
        <v>5457.13</v>
      </c>
      <c r="T21" s="26">
        <f t="shared" ref="T21" si="65">N21*$U$5</f>
        <v>6459.46</v>
      </c>
      <c r="U21" s="27">
        <f t="shared" ref="U21" si="66">O21*$U$5</f>
        <v>10946.08</v>
      </c>
      <c r="V21" s="25">
        <f>M21*$X$5</f>
        <v>5266.7649999999994</v>
      </c>
      <c r="W21" s="26">
        <f>N21*$X$5</f>
        <v>6234.13</v>
      </c>
      <c r="X21" s="27">
        <f>O21*$X$5</f>
        <v>10564.24</v>
      </c>
      <c r="Y21" s="36">
        <f>M21*$AA$5</f>
        <v>4759.125</v>
      </c>
      <c r="Z21" s="110">
        <f>N21*$AA$5</f>
        <v>5633.25</v>
      </c>
      <c r="AA21" s="110">
        <f>O21*$AA$5</f>
        <v>9546</v>
      </c>
      <c r="AB21" s="25">
        <f>M21*$AD$5</f>
        <v>4441.8499999999995</v>
      </c>
      <c r="AC21" s="110">
        <f>N21*$AD$5</f>
        <v>5257.7</v>
      </c>
      <c r="AD21" s="27">
        <f>O21*$AD$5</f>
        <v>8909.5999999999985</v>
      </c>
    </row>
    <row r="22" spans="1:30" ht="18" customHeight="1">
      <c r="A22" s="17"/>
      <c r="B22" s="75" t="s">
        <v>250</v>
      </c>
      <c r="C22" s="293">
        <v>1.85</v>
      </c>
      <c r="D22" s="2402"/>
      <c r="E22" s="2403"/>
      <c r="F22" s="2403"/>
      <c r="G22" s="2403"/>
      <c r="H22" s="2394"/>
      <c r="I22" s="2394"/>
      <c r="J22" s="2394"/>
      <c r="K22" s="2394"/>
      <c r="L22" s="2394"/>
      <c r="M22" s="186">
        <f>M21/D21</f>
        <v>6.3455000000000004</v>
      </c>
      <c r="N22" s="187">
        <f>N21/D21</f>
        <v>7.5110000000000001</v>
      </c>
      <c r="O22" s="188">
        <f>O21/D21</f>
        <v>12.728</v>
      </c>
      <c r="P22" s="187">
        <f>P21/D21</f>
        <v>5.9013150000000003</v>
      </c>
      <c r="Q22" s="189">
        <f>Q21/D21</f>
        <v>6.9852300000000005</v>
      </c>
      <c r="R22" s="190">
        <f>R21/D21</f>
        <v>11.83704</v>
      </c>
      <c r="S22" s="186">
        <f t="shared" ref="S22" si="67">S21/D21</f>
        <v>5.4571300000000003</v>
      </c>
      <c r="T22" s="189">
        <f t="shared" ref="T22" si="68">T21/D21</f>
        <v>6.45946</v>
      </c>
      <c r="U22" s="188">
        <f t="shared" ref="U22" si="69">U21/D21</f>
        <v>10.94608</v>
      </c>
      <c r="V22" s="186">
        <f>V21/D21</f>
        <v>5.2667649999999995</v>
      </c>
      <c r="W22" s="189">
        <f>W21/D21</f>
        <v>6.2341300000000004</v>
      </c>
      <c r="X22" s="188">
        <f>X21/D21</f>
        <v>10.56424</v>
      </c>
      <c r="Y22" s="187">
        <f>Y21/D21</f>
        <v>4.759125</v>
      </c>
      <c r="Z22" s="190">
        <f>Z21/D21</f>
        <v>5.6332500000000003</v>
      </c>
      <c r="AA22" s="190">
        <f>AA21/D21</f>
        <v>9.5459999999999994</v>
      </c>
      <c r="AB22" s="186">
        <f>AB21/D21</f>
        <v>4.4418499999999996</v>
      </c>
      <c r="AC22" s="190">
        <f>AC21/D21</f>
        <v>5.2576999999999998</v>
      </c>
      <c r="AD22" s="188">
        <f>AD21/D21</f>
        <v>8.9095999999999993</v>
      </c>
    </row>
    <row r="23" spans="1:30" ht="18" customHeight="1">
      <c r="A23" s="17"/>
      <c r="B23" s="2396" t="s">
        <v>234</v>
      </c>
      <c r="C23" s="2397"/>
      <c r="D23" s="2398">
        <v>1000</v>
      </c>
      <c r="E23" s="2400">
        <f>D23*C24</f>
        <v>1950</v>
      </c>
      <c r="F23" s="2400">
        <f>E23*1.1</f>
        <v>2145</v>
      </c>
      <c r="G23" s="2400">
        <f>F23*$G$5</f>
        <v>3003</v>
      </c>
      <c r="H23" s="2393">
        <f>E23*$H$5</f>
        <v>409.5</v>
      </c>
      <c r="I23" s="2393">
        <f>E23*21%*8</f>
        <v>3276</v>
      </c>
      <c r="J23" s="2393">
        <f t="shared" ref="J23" si="70">E23*21%*11</f>
        <v>4504.5</v>
      </c>
      <c r="K23" s="2393">
        <f t="shared" ref="K23" si="71">E23*13%*12</f>
        <v>3042</v>
      </c>
      <c r="L23" s="2393">
        <f t="shared" ref="L23" si="72">E23*10.5%*12</f>
        <v>2457</v>
      </c>
      <c r="M23" s="25">
        <f>G23+H23+I23</f>
        <v>6688.5</v>
      </c>
      <c r="N23" s="36">
        <f>G23+H23+J23</f>
        <v>7917</v>
      </c>
      <c r="O23" s="27">
        <f>G23+H23+J23+K23+L23</f>
        <v>13416</v>
      </c>
      <c r="P23" s="36">
        <f>M23*$R$5</f>
        <v>6220.3050000000003</v>
      </c>
      <c r="Q23" s="26">
        <f>N23*$R$5</f>
        <v>7362.81</v>
      </c>
      <c r="R23" s="110">
        <f>O23*$R$5</f>
        <v>12476.880000000001</v>
      </c>
      <c r="S23" s="25">
        <f t="shared" ref="S23" si="73">M23*$U$5</f>
        <v>5752.11</v>
      </c>
      <c r="T23" s="26">
        <f t="shared" ref="T23" si="74">N23*$U$5</f>
        <v>6808.62</v>
      </c>
      <c r="U23" s="27">
        <f t="shared" ref="U23" si="75">O23*$U$5</f>
        <v>11537.76</v>
      </c>
      <c r="V23" s="25">
        <f>M23*$X$5</f>
        <v>5551.4549999999999</v>
      </c>
      <c r="W23" s="26">
        <f>N23*$X$5</f>
        <v>6571.11</v>
      </c>
      <c r="X23" s="27">
        <f>O23*$X$5</f>
        <v>11135.279999999999</v>
      </c>
      <c r="Y23" s="36">
        <f>M23*$AA$5</f>
        <v>5016.375</v>
      </c>
      <c r="Z23" s="110">
        <f>N23*$AA$5</f>
        <v>5937.75</v>
      </c>
      <c r="AA23" s="110">
        <f>O23*$AA$5</f>
        <v>10062</v>
      </c>
      <c r="AB23" s="25">
        <f>M23*$AD$5</f>
        <v>4681.95</v>
      </c>
      <c r="AC23" s="110">
        <f>N23*$AD$5</f>
        <v>5541.9</v>
      </c>
      <c r="AD23" s="27">
        <f>O23*$AD$5</f>
        <v>9391.1999999999989</v>
      </c>
    </row>
    <row r="24" spans="1:30" ht="18" customHeight="1" thickBot="1">
      <c r="A24" s="17"/>
      <c r="B24" s="76" t="s">
        <v>235</v>
      </c>
      <c r="C24" s="294">
        <v>1.95</v>
      </c>
      <c r="D24" s="2399"/>
      <c r="E24" s="2401"/>
      <c r="F24" s="2401"/>
      <c r="G24" s="2401"/>
      <c r="H24" s="2395"/>
      <c r="I24" s="2395"/>
      <c r="J24" s="2395"/>
      <c r="K24" s="2395"/>
      <c r="L24" s="2395"/>
      <c r="M24" s="174">
        <f>M23/D23</f>
        <v>6.6885000000000003</v>
      </c>
      <c r="N24" s="193">
        <f>N23/D23</f>
        <v>7.9169999999999998</v>
      </c>
      <c r="O24" s="176">
        <f>O23/D23</f>
        <v>13.416</v>
      </c>
      <c r="P24" s="193">
        <f>P23/D23</f>
        <v>6.2203050000000006</v>
      </c>
      <c r="Q24" s="175">
        <f>Q23/D23</f>
        <v>7.3628100000000005</v>
      </c>
      <c r="R24" s="194">
        <f>R23/D23</f>
        <v>12.476880000000001</v>
      </c>
      <c r="S24" s="174">
        <f t="shared" ref="S24" si="76">S23/D23</f>
        <v>5.7521100000000001</v>
      </c>
      <c r="T24" s="175">
        <f t="shared" ref="T24" si="77">T23/D23</f>
        <v>6.8086199999999995</v>
      </c>
      <c r="U24" s="176">
        <f t="shared" ref="U24" si="78">U23/D23</f>
        <v>11.53776</v>
      </c>
      <c r="V24" s="174">
        <f>V23/D23</f>
        <v>5.5514549999999998</v>
      </c>
      <c r="W24" s="175">
        <f>W23/D23</f>
        <v>6.57111</v>
      </c>
      <c r="X24" s="176">
        <f>X23/D23</f>
        <v>11.135279999999998</v>
      </c>
      <c r="Y24" s="193">
        <f>Y23/D23</f>
        <v>5.016375</v>
      </c>
      <c r="Z24" s="194">
        <f>Z23/D23</f>
        <v>5.9377500000000003</v>
      </c>
      <c r="AA24" s="194">
        <f>AA23/D23</f>
        <v>10.061999999999999</v>
      </c>
      <c r="AB24" s="174">
        <f>AB23/D23</f>
        <v>4.6819499999999996</v>
      </c>
      <c r="AC24" s="194">
        <f>AC23/D23</f>
        <v>5.5419</v>
      </c>
      <c r="AD24" s="176">
        <f>AD23/D23</f>
        <v>9.3911999999999995</v>
      </c>
    </row>
    <row r="25" spans="1:30" ht="18" customHeight="1">
      <c r="A25" s="17"/>
      <c r="B25" s="2411" t="s">
        <v>236</v>
      </c>
      <c r="C25" s="2412"/>
      <c r="D25" s="2413">
        <v>100000</v>
      </c>
      <c r="E25" s="2404">
        <f>D25*C26</f>
        <v>600</v>
      </c>
      <c r="F25" s="2417">
        <f>E25*1</f>
        <v>600</v>
      </c>
      <c r="G25" s="2404">
        <f>F25*$G$5</f>
        <v>840</v>
      </c>
      <c r="H25" s="2406">
        <f>E25*420%</f>
        <v>2520</v>
      </c>
      <c r="I25" s="2406">
        <v>0</v>
      </c>
      <c r="J25" s="2405">
        <v>0</v>
      </c>
      <c r="K25" s="2405">
        <v>0</v>
      </c>
      <c r="L25" s="2405">
        <v>0</v>
      </c>
      <c r="M25" s="152">
        <f>G25+H25</f>
        <v>3360</v>
      </c>
      <c r="N25" s="36">
        <f>G25+H25+J25</f>
        <v>3360</v>
      </c>
      <c r="O25" s="27">
        <f>G25+H25+J25+K25+L25</f>
        <v>3360</v>
      </c>
      <c r="P25" s="153">
        <f>M25*$R$5</f>
        <v>3124.8</v>
      </c>
      <c r="Q25" s="155">
        <f>N25*$R$5</f>
        <v>3124.8</v>
      </c>
      <c r="R25" s="156">
        <f>O25*$R$5</f>
        <v>3124.8</v>
      </c>
      <c r="S25" s="152">
        <f t="shared" ref="S25" si="79">M25*$U$5</f>
        <v>2889.6</v>
      </c>
      <c r="T25" s="155">
        <f t="shared" ref="T25" si="80">N25*$U$5</f>
        <v>2889.6</v>
      </c>
      <c r="U25" s="154">
        <f t="shared" ref="U25" si="81">O25*$U$5</f>
        <v>2889.6</v>
      </c>
      <c r="V25" s="152">
        <f>M25*$X$5</f>
        <v>2788.7999999999997</v>
      </c>
      <c r="W25" s="155">
        <f>N25*$X$5</f>
        <v>2788.7999999999997</v>
      </c>
      <c r="X25" s="154">
        <f>O25*$X$5</f>
        <v>2788.7999999999997</v>
      </c>
      <c r="Y25" s="153">
        <f>M25*$AA$5</f>
        <v>2520</v>
      </c>
      <c r="Z25" s="156">
        <f>N25*$AA$5</f>
        <v>2520</v>
      </c>
      <c r="AA25" s="156">
        <f>O25*$AA$5</f>
        <v>2520</v>
      </c>
      <c r="AB25" s="152">
        <f>M25*$AD$5</f>
        <v>2352</v>
      </c>
      <c r="AC25" s="156">
        <f>N25*$AD$5</f>
        <v>2352</v>
      </c>
      <c r="AD25" s="154">
        <f>O25*$AD$5</f>
        <v>2352</v>
      </c>
    </row>
    <row r="26" spans="1:30" ht="18" customHeight="1">
      <c r="A26" s="17"/>
      <c r="B26" s="435" t="s">
        <v>237</v>
      </c>
      <c r="C26" s="512">
        <v>6.0000000000000001E-3</v>
      </c>
      <c r="D26" s="2402"/>
      <c r="E26" s="2403"/>
      <c r="F26" s="2418"/>
      <c r="G26" s="2403"/>
      <c r="H26" s="2407"/>
      <c r="I26" s="2407"/>
      <c r="J26" s="2394"/>
      <c r="K26" s="2394"/>
      <c r="L26" s="2394"/>
      <c r="M26" s="186">
        <f>M25/D25</f>
        <v>3.3599999999999998E-2</v>
      </c>
      <c r="N26" s="187">
        <f>N25/D25</f>
        <v>3.3599999999999998E-2</v>
      </c>
      <c r="O26" s="188">
        <f>O25/D25</f>
        <v>3.3599999999999998E-2</v>
      </c>
      <c r="P26" s="187">
        <f>P25/D25</f>
        <v>3.1248000000000001E-2</v>
      </c>
      <c r="Q26" s="189">
        <f>Q25/D25</f>
        <v>3.1248000000000001E-2</v>
      </c>
      <c r="R26" s="190">
        <f>R25/D25</f>
        <v>3.1248000000000001E-2</v>
      </c>
      <c r="S26" s="186">
        <f t="shared" ref="S26" si="82">S25/D25</f>
        <v>2.8895999999999998E-2</v>
      </c>
      <c r="T26" s="189">
        <f t="shared" ref="T26" si="83">T25/D25</f>
        <v>2.8895999999999998E-2</v>
      </c>
      <c r="U26" s="188">
        <f t="shared" ref="U26" si="84">U25/D25</f>
        <v>2.8895999999999998E-2</v>
      </c>
      <c r="V26" s="186">
        <f>V25/D25</f>
        <v>2.7887999999999996E-2</v>
      </c>
      <c r="W26" s="189">
        <f>W25/D25</f>
        <v>2.7887999999999996E-2</v>
      </c>
      <c r="X26" s="188">
        <f>X25/D25</f>
        <v>2.7887999999999996E-2</v>
      </c>
      <c r="Y26" s="187">
        <f>Y25/D25</f>
        <v>2.52E-2</v>
      </c>
      <c r="Z26" s="190">
        <f>Z25/D25</f>
        <v>2.52E-2</v>
      </c>
      <c r="AA26" s="190">
        <f>AA25/D25</f>
        <v>2.52E-2</v>
      </c>
      <c r="AB26" s="186">
        <f>AB25/D25</f>
        <v>2.3519999999999999E-2</v>
      </c>
      <c r="AC26" s="190">
        <f>AC25/D25</f>
        <v>2.3519999999999999E-2</v>
      </c>
      <c r="AD26" s="188">
        <f>AD25/D25</f>
        <v>2.3519999999999999E-2</v>
      </c>
    </row>
    <row r="27" spans="1:30" ht="18" customHeight="1">
      <c r="A27" s="17"/>
      <c r="B27" s="2396" t="s">
        <v>238</v>
      </c>
      <c r="C27" s="2397"/>
      <c r="D27" s="2416">
        <v>100000</v>
      </c>
      <c r="E27" s="2400">
        <f>D27*C28</f>
        <v>0</v>
      </c>
      <c r="F27" s="2400">
        <f>E27*0.8</f>
        <v>0</v>
      </c>
      <c r="G27" s="2400">
        <f>F27*$G$5</f>
        <v>0</v>
      </c>
      <c r="H27" s="2393">
        <f>D27*2.7%</f>
        <v>2700.0000000000005</v>
      </c>
      <c r="I27" s="2393">
        <f t="shared" ref="I27" si="85">E27*21%*8</f>
        <v>0</v>
      </c>
      <c r="J27" s="2393">
        <f>E27*20%*11</f>
        <v>0</v>
      </c>
      <c r="K27" s="2393">
        <f>E27*10%*12</f>
        <v>0</v>
      </c>
      <c r="L27" s="2393">
        <f>E27*5%*12</f>
        <v>0</v>
      </c>
      <c r="M27" s="25">
        <f>G27+H27</f>
        <v>2700.0000000000005</v>
      </c>
      <c r="N27" s="36">
        <f>G27+H27+J27</f>
        <v>2700.0000000000005</v>
      </c>
      <c r="O27" s="27">
        <f>G27+H27+J27+K27+L27</f>
        <v>2700.0000000000005</v>
      </c>
      <c r="P27" s="36">
        <f>M27*$R$5</f>
        <v>2511.0000000000005</v>
      </c>
      <c r="Q27" s="26">
        <f>N27*$R$5</f>
        <v>2511.0000000000005</v>
      </c>
      <c r="R27" s="110">
        <f>O27*$R$5</f>
        <v>2511.0000000000005</v>
      </c>
      <c r="S27" s="25">
        <f t="shared" ref="S27" si="86">M27*$U$5</f>
        <v>2322.0000000000005</v>
      </c>
      <c r="T27" s="26">
        <f t="shared" ref="T27" si="87">N27*$U$5</f>
        <v>2322.0000000000005</v>
      </c>
      <c r="U27" s="27">
        <f t="shared" ref="U27" si="88">O27*$U$5</f>
        <v>2322.0000000000005</v>
      </c>
      <c r="V27" s="25">
        <f>M27*$X$5</f>
        <v>2241.0000000000005</v>
      </c>
      <c r="W27" s="26">
        <f>N27*$X$5</f>
        <v>2241.0000000000005</v>
      </c>
      <c r="X27" s="27">
        <f>O27*$X$5</f>
        <v>2241.0000000000005</v>
      </c>
      <c r="Y27" s="36">
        <f>M27*$AA$5</f>
        <v>2025.0000000000005</v>
      </c>
      <c r="Z27" s="110">
        <f>N27*$AA$5</f>
        <v>2025.0000000000005</v>
      </c>
      <c r="AA27" s="110">
        <f>O27*$AA$5</f>
        <v>2025.0000000000005</v>
      </c>
      <c r="AB27" s="25">
        <f>M27*$AD$5</f>
        <v>1890.0000000000002</v>
      </c>
      <c r="AC27" s="110">
        <f>N27*$AD$5</f>
        <v>1890.0000000000002</v>
      </c>
      <c r="AD27" s="27">
        <f>O27*$AD$5</f>
        <v>1890.0000000000002</v>
      </c>
    </row>
    <row r="28" spans="1:30" ht="18" customHeight="1" thickBot="1">
      <c r="A28" s="17"/>
      <c r="B28" s="436" t="s">
        <v>239</v>
      </c>
      <c r="C28" s="294">
        <v>0</v>
      </c>
      <c r="D28" s="2399"/>
      <c r="E28" s="2401"/>
      <c r="F28" s="2401"/>
      <c r="G28" s="2401"/>
      <c r="H28" s="2395"/>
      <c r="I28" s="2395"/>
      <c r="J28" s="2395"/>
      <c r="K28" s="2395"/>
      <c r="L28" s="2395"/>
      <c r="M28" s="296">
        <f>M27/D27</f>
        <v>2.7000000000000003E-2</v>
      </c>
      <c r="N28" s="297">
        <f>N27/D27</f>
        <v>2.7000000000000003E-2</v>
      </c>
      <c r="O28" s="298">
        <f>O27/D27</f>
        <v>2.7000000000000003E-2</v>
      </c>
      <c r="P28" s="297">
        <f>P27/D27</f>
        <v>2.5110000000000004E-2</v>
      </c>
      <c r="Q28" s="299">
        <f>Q27/D27</f>
        <v>2.5110000000000004E-2</v>
      </c>
      <c r="R28" s="300">
        <f>R27/D27</f>
        <v>2.5110000000000004E-2</v>
      </c>
      <c r="S28" s="296">
        <f t="shared" ref="S28" si="89">S27/D27</f>
        <v>2.3220000000000005E-2</v>
      </c>
      <c r="T28" s="299">
        <f t="shared" ref="T28" si="90">T27/D27</f>
        <v>2.3220000000000005E-2</v>
      </c>
      <c r="U28" s="298">
        <f t="shared" ref="U28" si="91">U27/D27</f>
        <v>2.3220000000000005E-2</v>
      </c>
      <c r="V28" s="296">
        <f>V27/D27</f>
        <v>2.2410000000000003E-2</v>
      </c>
      <c r="W28" s="299">
        <f>W27/D27</f>
        <v>2.2410000000000003E-2</v>
      </c>
      <c r="X28" s="298">
        <f>X27/D27</f>
        <v>2.2410000000000003E-2</v>
      </c>
      <c r="Y28" s="297">
        <f>Y27/D27</f>
        <v>2.0250000000000004E-2</v>
      </c>
      <c r="Z28" s="300">
        <f>Z27/D27</f>
        <v>2.0250000000000004E-2</v>
      </c>
      <c r="AA28" s="300">
        <f>AA27/D27</f>
        <v>2.0250000000000004E-2</v>
      </c>
      <c r="AB28" s="296">
        <f>AB27/D27</f>
        <v>1.8900000000000004E-2</v>
      </c>
      <c r="AC28" s="300">
        <f>AC27/D27</f>
        <v>1.8900000000000004E-2</v>
      </c>
      <c r="AD28" s="298">
        <f>AD27/D27</f>
        <v>1.8900000000000004E-2</v>
      </c>
    </row>
    <row r="29" spans="1:30" ht="18" customHeight="1">
      <c r="A29" s="17"/>
      <c r="B29" s="28"/>
      <c r="C29" s="28"/>
      <c r="D29" s="28"/>
      <c r="E29" s="28"/>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row>
    <row r="30" spans="1:30" s="3" customFormat="1" ht="18" customHeight="1">
      <c r="A30" s="6"/>
      <c r="B30" s="4" t="s">
        <v>240</v>
      </c>
      <c r="C30" s="5"/>
      <c r="D30" s="5"/>
      <c r="E30" s="5"/>
      <c r="F30" s="6"/>
      <c r="G30" s="6"/>
      <c r="H30" s="6"/>
      <c r="I30" s="6"/>
      <c r="J30" s="6"/>
      <c r="K30" s="39"/>
      <c r="L30" s="6"/>
      <c r="M30" s="6"/>
      <c r="N30" s="39"/>
      <c r="O30" s="6"/>
      <c r="P30" s="6"/>
      <c r="Q30" s="6"/>
      <c r="R30" s="6"/>
      <c r="S30" s="6"/>
      <c r="T30" s="6"/>
      <c r="U30" s="6"/>
      <c r="V30" s="6"/>
      <c r="W30" s="6"/>
      <c r="X30" s="6"/>
      <c r="Y30" s="6"/>
      <c r="Z30" s="6"/>
      <c r="AA30" s="6"/>
      <c r="AB30" s="6"/>
      <c r="AC30" s="6"/>
      <c r="AD30" s="6"/>
    </row>
    <row r="31" spans="1:30" s="3" customFormat="1" ht="18" customHeight="1">
      <c r="A31" s="6"/>
      <c r="B31" s="6" t="s">
        <v>241</v>
      </c>
      <c r="C31" s="4"/>
      <c r="D31" s="5"/>
      <c r="E31" s="5"/>
      <c r="F31" s="6"/>
      <c r="G31" s="6"/>
      <c r="H31" s="6"/>
      <c r="I31" s="6"/>
      <c r="J31" s="6"/>
      <c r="K31" s="6"/>
      <c r="L31" s="6"/>
      <c r="M31" s="6"/>
      <c r="N31" s="6"/>
      <c r="O31" s="6"/>
      <c r="P31" s="6"/>
      <c r="Q31" s="6"/>
      <c r="R31" s="6"/>
      <c r="S31" s="6"/>
      <c r="T31" s="6"/>
      <c r="U31" s="6"/>
      <c r="V31" s="6"/>
      <c r="W31" s="6"/>
      <c r="X31" s="6"/>
      <c r="Y31" s="6"/>
      <c r="Z31" s="6"/>
      <c r="AA31" s="6"/>
      <c r="AB31" s="6"/>
      <c r="AC31" s="6"/>
      <c r="AD31" s="6"/>
    </row>
    <row r="32" spans="1:30" s="564" customFormat="1" ht="18" customHeight="1">
      <c r="B32" s="157" t="s">
        <v>621</v>
      </c>
      <c r="C32" s="565"/>
      <c r="D32" s="566"/>
      <c r="E32" s="566"/>
    </row>
    <row r="33" spans="1:30" s="159" customFormat="1" ht="18" customHeight="1">
      <c r="A33" s="157"/>
      <c r="B33" s="31" t="s">
        <v>242</v>
      </c>
      <c r="C33" s="157"/>
      <c r="D33" s="158"/>
      <c r="E33" s="158"/>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row>
    <row r="34" spans="1:30" s="139" customFormat="1" ht="18" customHeight="1">
      <c r="A34" s="31"/>
      <c r="B34" s="31" t="s">
        <v>243</v>
      </c>
      <c r="C34" s="33"/>
      <c r="D34" s="33"/>
      <c r="E34" s="33"/>
      <c r="F34" s="31"/>
      <c r="G34" s="31"/>
      <c r="H34" s="31"/>
      <c r="I34" s="31"/>
      <c r="J34" s="31"/>
      <c r="K34" s="31"/>
      <c r="L34" s="31"/>
      <c r="M34" s="31"/>
      <c r="N34" s="31"/>
      <c r="O34" s="6"/>
      <c r="P34" s="31"/>
      <c r="Q34" s="31"/>
      <c r="R34" s="31"/>
      <c r="S34" s="31"/>
      <c r="T34" s="31"/>
      <c r="U34" s="31"/>
      <c r="V34" s="31"/>
      <c r="W34" s="31"/>
      <c r="X34" s="31"/>
      <c r="Y34" s="31"/>
      <c r="Z34" s="31"/>
      <c r="AA34" s="31"/>
      <c r="AB34" s="31"/>
      <c r="AC34" s="31"/>
      <c r="AD34" s="31"/>
    </row>
    <row r="35" spans="1:30" s="139" customFormat="1" ht="18" customHeight="1">
      <c r="A35" s="31"/>
      <c r="B35" s="31" t="s">
        <v>1721</v>
      </c>
      <c r="C35" s="33"/>
      <c r="D35" s="33"/>
      <c r="E35" s="33"/>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row>
    <row r="36" spans="1:30" s="139" customFormat="1" ht="18" customHeight="1">
      <c r="A36" s="31"/>
      <c r="B36" s="31" t="s">
        <v>244</v>
      </c>
      <c r="C36" s="33"/>
      <c r="D36" s="33"/>
      <c r="E36" s="33"/>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row>
    <row r="37" spans="1:30" s="3" customFormat="1" ht="18" customHeight="1">
      <c r="A37" s="6"/>
      <c r="B37" s="31" t="s">
        <v>303</v>
      </c>
      <c r="C37" s="33"/>
      <c r="D37" s="33"/>
      <c r="E37" s="33"/>
      <c r="F37" s="31"/>
      <c r="G37" s="31"/>
      <c r="H37" s="31"/>
      <c r="I37" s="31"/>
      <c r="J37" s="31"/>
      <c r="K37" s="31"/>
      <c r="L37" s="6"/>
      <c r="M37" s="6"/>
      <c r="N37" s="6"/>
      <c r="O37" s="6"/>
      <c r="P37" s="6"/>
      <c r="Q37" s="6"/>
      <c r="R37" s="6"/>
      <c r="S37" s="6"/>
      <c r="T37" s="6"/>
      <c r="U37" s="6"/>
      <c r="V37" s="6"/>
      <c r="W37" s="6"/>
      <c r="X37" s="6"/>
      <c r="Y37" s="6"/>
      <c r="Z37" s="6"/>
      <c r="AA37" s="6"/>
      <c r="AB37" s="6"/>
      <c r="AC37" s="6"/>
      <c r="AD37" s="6"/>
    </row>
    <row r="38" spans="1:30" s="3" customFormat="1" ht="18" customHeight="1">
      <c r="A38" s="6"/>
      <c r="B38" s="6" t="s">
        <v>245</v>
      </c>
      <c r="C38" s="5"/>
      <c r="D38" s="5"/>
      <c r="E38" s="5"/>
      <c r="F38" s="6"/>
      <c r="G38" s="6"/>
      <c r="H38" s="6"/>
      <c r="I38" s="6"/>
      <c r="J38" s="6"/>
      <c r="K38" s="6"/>
      <c r="L38" s="6"/>
      <c r="M38" s="6"/>
      <c r="N38" s="6"/>
      <c r="O38" s="6"/>
      <c r="P38" s="6"/>
      <c r="Q38" s="6"/>
      <c r="R38" s="6"/>
      <c r="S38" s="6"/>
      <c r="T38" s="6"/>
      <c r="U38" s="6"/>
      <c r="V38" s="6"/>
      <c r="W38" s="6"/>
      <c r="X38" s="6"/>
      <c r="Y38" s="6"/>
      <c r="Z38" s="6"/>
      <c r="AA38" s="6"/>
      <c r="AB38" s="6"/>
      <c r="AC38" s="6"/>
      <c r="AD38" s="6"/>
    </row>
    <row r="39" spans="1:30" s="3" customFormat="1" ht="18" customHeight="1">
      <c r="A39" s="6"/>
      <c r="B39" s="6" t="s">
        <v>246</v>
      </c>
      <c r="C39" s="5"/>
      <c r="D39" s="5"/>
      <c r="E39" s="5"/>
      <c r="F39" s="6"/>
      <c r="G39" s="6"/>
      <c r="H39" s="6"/>
      <c r="I39" s="6"/>
      <c r="J39" s="6"/>
      <c r="K39" s="6"/>
      <c r="L39" s="6"/>
      <c r="M39" s="6"/>
      <c r="N39" s="6"/>
      <c r="O39" s="6"/>
      <c r="P39" s="6"/>
      <c r="Q39" s="6"/>
      <c r="R39" s="6"/>
      <c r="S39" s="6"/>
      <c r="T39" s="6"/>
      <c r="U39" s="6"/>
      <c r="V39" s="6"/>
      <c r="W39" s="6"/>
      <c r="X39" s="6"/>
      <c r="Y39" s="6"/>
      <c r="Z39" s="6"/>
      <c r="AA39" s="6"/>
      <c r="AB39" s="6"/>
      <c r="AC39" s="6"/>
      <c r="AD39" s="6"/>
    </row>
    <row r="40" spans="1:30" s="3" customFormat="1" ht="18" customHeight="1">
      <c r="A40" s="6"/>
      <c r="B40" s="6" t="s">
        <v>59</v>
      </c>
      <c r="C40" s="5"/>
      <c r="D40" s="5"/>
      <c r="E40" s="5"/>
      <c r="F40" s="6"/>
      <c r="G40" s="6"/>
      <c r="H40" s="6"/>
      <c r="I40" s="6"/>
      <c r="J40" s="6"/>
      <c r="K40" s="6"/>
      <c r="L40" s="6"/>
      <c r="M40" s="6"/>
      <c r="N40" s="6"/>
      <c r="O40" s="6"/>
      <c r="P40" s="6"/>
      <c r="Q40" s="6"/>
      <c r="R40" s="6"/>
      <c r="S40" s="6"/>
      <c r="T40" s="6"/>
      <c r="U40" s="6"/>
      <c r="V40" s="6"/>
      <c r="W40" s="6"/>
      <c r="X40" s="6"/>
      <c r="Y40" s="6"/>
      <c r="Z40" s="6"/>
      <c r="AA40" s="6"/>
      <c r="AB40" s="6"/>
      <c r="AC40" s="6"/>
      <c r="AD40" s="6"/>
    </row>
    <row r="41" spans="1:30" s="3" customFormat="1" ht="18" customHeight="1">
      <c r="A41" s="6"/>
      <c r="B41" s="32" t="s">
        <v>248</v>
      </c>
      <c r="C41" s="5"/>
      <c r="D41" s="5"/>
      <c r="E41" s="5"/>
      <c r="F41" s="6"/>
      <c r="G41" s="6"/>
      <c r="H41" s="6"/>
      <c r="I41" s="6"/>
      <c r="J41" s="6"/>
      <c r="K41" s="6"/>
      <c r="L41" s="6"/>
      <c r="M41" s="6"/>
      <c r="N41" s="6"/>
      <c r="O41" s="6"/>
      <c r="P41" s="6"/>
      <c r="Q41" s="6"/>
      <c r="R41" s="6"/>
      <c r="S41" s="6"/>
      <c r="T41" s="6"/>
      <c r="U41" s="6"/>
      <c r="V41" s="6"/>
      <c r="W41" s="6"/>
      <c r="X41" s="6"/>
      <c r="Y41" s="6"/>
      <c r="Z41" s="6"/>
      <c r="AA41" s="6"/>
      <c r="AB41" s="6"/>
      <c r="AC41" s="6"/>
      <c r="AD41" s="6"/>
    </row>
    <row r="42" spans="1:30" ht="18" customHeight="1">
      <c r="A42" s="17"/>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row>
    <row r="43" spans="1:30" ht="18" customHeight="1">
      <c r="A43" s="17"/>
      <c r="B43" s="74"/>
      <c r="C43" s="74"/>
      <c r="D43" s="74"/>
      <c r="E43" s="74"/>
      <c r="F43" s="74"/>
      <c r="G43" s="17"/>
      <c r="H43" s="17"/>
      <c r="I43" s="17"/>
      <c r="J43" s="17"/>
      <c r="K43" s="17"/>
      <c r="L43" s="17"/>
      <c r="M43" s="17"/>
      <c r="N43" s="17"/>
      <c r="O43" s="17"/>
      <c r="P43" s="17"/>
      <c r="Q43" s="17"/>
      <c r="R43" s="17"/>
      <c r="S43" s="17"/>
      <c r="T43" s="17"/>
      <c r="U43" s="17"/>
      <c r="V43" s="17"/>
      <c r="W43" s="17"/>
      <c r="X43" s="17"/>
      <c r="Y43" s="17"/>
      <c r="Z43" s="17"/>
      <c r="AA43" s="17"/>
      <c r="AB43" s="59"/>
      <c r="AC43" s="59"/>
      <c r="AD43" s="17"/>
    </row>
    <row r="44" spans="1:30" ht="18" customHeight="1">
      <c r="A44" s="17"/>
      <c r="B44" s="74"/>
      <c r="C44" s="74"/>
      <c r="D44" s="74"/>
      <c r="E44" s="74"/>
      <c r="F44" s="74"/>
      <c r="G44" s="17"/>
      <c r="H44" s="17"/>
      <c r="I44" s="17"/>
      <c r="J44" s="17"/>
      <c r="K44" s="17"/>
      <c r="L44" s="17"/>
      <c r="M44" s="17"/>
      <c r="N44" s="17"/>
      <c r="O44" s="17"/>
      <c r="P44" s="17"/>
      <c r="Q44" s="17"/>
      <c r="R44" s="17"/>
      <c r="S44" s="17"/>
      <c r="T44" s="17"/>
      <c r="U44" s="17"/>
      <c r="V44" s="17"/>
      <c r="W44" s="17"/>
      <c r="X44" s="17"/>
      <c r="Y44" s="17"/>
      <c r="Z44" s="17"/>
      <c r="AA44" s="17"/>
      <c r="AB44" s="59"/>
      <c r="AC44" s="59"/>
      <c r="AD44" s="17"/>
    </row>
    <row r="45" spans="1:30" ht="18" customHeight="1">
      <c r="A45" s="17"/>
      <c r="B45" s="74"/>
      <c r="C45" s="74"/>
      <c r="D45" s="74"/>
      <c r="E45" s="74"/>
      <c r="F45" s="74"/>
      <c r="G45" s="17"/>
      <c r="H45" s="17"/>
      <c r="I45" s="17"/>
      <c r="J45" s="17"/>
      <c r="K45" s="17"/>
      <c r="L45" s="17"/>
      <c r="M45" s="17"/>
      <c r="N45" s="17"/>
      <c r="O45" s="17"/>
      <c r="P45" s="17"/>
      <c r="Q45" s="17"/>
      <c r="R45" s="17"/>
      <c r="S45" s="17"/>
      <c r="T45" s="17"/>
      <c r="U45" s="17"/>
      <c r="V45" s="17"/>
      <c r="W45" s="17"/>
      <c r="X45" s="17"/>
      <c r="Y45" s="17"/>
      <c r="Z45" s="17"/>
      <c r="AA45" s="17"/>
      <c r="AB45" s="59"/>
      <c r="AC45" s="59"/>
      <c r="AD45" s="17"/>
    </row>
    <row r="46" spans="1:30" ht="18" customHeight="1">
      <c r="A46" s="17"/>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row>
    <row r="47" spans="1:30" s="161" customFormat="1" ht="18"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row>
    <row r="48" spans="1:30" s="161" customFormat="1" ht="18"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row>
    <row r="49" s="161" customFormat="1" ht="18" customHeight="1"/>
    <row r="50" s="161" customFormat="1" ht="18" customHeight="1"/>
  </sheetData>
  <mergeCells count="120">
    <mergeCell ref="I21:I22"/>
    <mergeCell ref="I23:I24"/>
    <mergeCell ref="I25:I26"/>
    <mergeCell ref="I27:I28"/>
    <mergeCell ref="I9:I10"/>
    <mergeCell ref="I11:I12"/>
    <mergeCell ref="I13:I14"/>
    <mergeCell ref="I17:I18"/>
    <mergeCell ref="I19:I20"/>
    <mergeCell ref="I15:I16"/>
    <mergeCell ref="J21:J22"/>
    <mergeCell ref="K21:K22"/>
    <mergeCell ref="L27:L28"/>
    <mergeCell ref="B27:C27"/>
    <mergeCell ref="D27:D28"/>
    <mergeCell ref="E27:E28"/>
    <mergeCell ref="F27:F28"/>
    <mergeCell ref="G27:G28"/>
    <mergeCell ref="H27:H28"/>
    <mergeCell ref="J27:J28"/>
    <mergeCell ref="K27:K28"/>
    <mergeCell ref="L21:L22"/>
    <mergeCell ref="B25:C25"/>
    <mergeCell ref="D25:D26"/>
    <mergeCell ref="E25:E26"/>
    <mergeCell ref="F25:F26"/>
    <mergeCell ref="G25:G26"/>
    <mergeCell ref="H25:H26"/>
    <mergeCell ref="J25:J26"/>
    <mergeCell ref="K25:K26"/>
    <mergeCell ref="L25:L26"/>
    <mergeCell ref="B21:C21"/>
    <mergeCell ref="D21:D22"/>
    <mergeCell ref="E21:E22"/>
    <mergeCell ref="G21:G22"/>
    <mergeCell ref="H21:H22"/>
    <mergeCell ref="G9:G10"/>
    <mergeCell ref="H9:H10"/>
    <mergeCell ref="F19:F20"/>
    <mergeCell ref="G19:G20"/>
    <mergeCell ref="H19:H20"/>
    <mergeCell ref="G13:G14"/>
    <mergeCell ref="H13:H14"/>
    <mergeCell ref="H11:H12"/>
    <mergeCell ref="G15:G16"/>
    <mergeCell ref="H15:H16"/>
    <mergeCell ref="E7:E8"/>
    <mergeCell ref="F7:F8"/>
    <mergeCell ref="B17:C17"/>
    <mergeCell ref="D17:D18"/>
    <mergeCell ref="E17:E18"/>
    <mergeCell ref="F17:F18"/>
    <mergeCell ref="D9:D10"/>
    <mergeCell ref="E9:E10"/>
    <mergeCell ref="F9:F10"/>
    <mergeCell ref="B9:C9"/>
    <mergeCell ref="B7:C7"/>
    <mergeCell ref="D7:D8"/>
    <mergeCell ref="B13:C13"/>
    <mergeCell ref="D13:D14"/>
    <mergeCell ref="E13:E14"/>
    <mergeCell ref="F13:F14"/>
    <mergeCell ref="B11:C11"/>
    <mergeCell ref="D11:D12"/>
    <mergeCell ref="E11:E12"/>
    <mergeCell ref="F11:F12"/>
    <mergeCell ref="B15:C15"/>
    <mergeCell ref="D15:D16"/>
    <mergeCell ref="E15:E16"/>
    <mergeCell ref="F15:F16"/>
    <mergeCell ref="B1:AD1"/>
    <mergeCell ref="M5:O5"/>
    <mergeCell ref="P5:Q5"/>
    <mergeCell ref="V5:W5"/>
    <mergeCell ref="Y5:Z5"/>
    <mergeCell ref="AB5:AC5"/>
    <mergeCell ref="B5:C5"/>
    <mergeCell ref="D5:D6"/>
    <mergeCell ref="I5:L5"/>
    <mergeCell ref="S5:T5"/>
    <mergeCell ref="G7:G8"/>
    <mergeCell ref="H7:H8"/>
    <mergeCell ref="J7:J8"/>
    <mergeCell ref="K7:K8"/>
    <mergeCell ref="L7:L8"/>
    <mergeCell ref="I7:I8"/>
    <mergeCell ref="J13:J14"/>
    <mergeCell ref="K9:K10"/>
    <mergeCell ref="L9:L10"/>
    <mergeCell ref="J11:J12"/>
    <mergeCell ref="K11:K12"/>
    <mergeCell ref="L11:L12"/>
    <mergeCell ref="K13:K14"/>
    <mergeCell ref="L13:L14"/>
    <mergeCell ref="J9:J10"/>
    <mergeCell ref="G11:G12"/>
    <mergeCell ref="J15:J16"/>
    <mergeCell ref="K15:K16"/>
    <mergeCell ref="L15:L16"/>
    <mergeCell ref="L23:L24"/>
    <mergeCell ref="B23:C23"/>
    <mergeCell ref="D23:D24"/>
    <mergeCell ref="E23:E24"/>
    <mergeCell ref="F23:F24"/>
    <mergeCell ref="G23:G24"/>
    <mergeCell ref="H23:H24"/>
    <mergeCell ref="J23:J24"/>
    <mergeCell ref="K23:K24"/>
    <mergeCell ref="J17:J18"/>
    <mergeCell ref="K17:K18"/>
    <mergeCell ref="L17:L18"/>
    <mergeCell ref="B19:C19"/>
    <mergeCell ref="D19:D20"/>
    <mergeCell ref="E19:E20"/>
    <mergeCell ref="G17:G18"/>
    <mergeCell ref="H17:H18"/>
    <mergeCell ref="J19:J20"/>
    <mergeCell ref="K19:K20"/>
    <mergeCell ref="L19:L20"/>
    <mergeCell ref="F21:F22"/>
  </mergeCells>
  <phoneticPr fontId="34" type="noConversion"/>
  <pageMargins left="0.31496062992125984" right="0.31496062992125984" top="0.31496062992125984" bottom="0.31496062992125984" header="0" footer="0"/>
  <pageSetup paperSize="9" scale="65"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S49"/>
  <sheetViews>
    <sheetView zoomScaleNormal="100" workbookViewId="0">
      <pane ySplit="1" topLeftCell="A2" activePane="bottomLeft" state="frozen"/>
      <selection pane="bottomLeft"/>
    </sheetView>
  </sheetViews>
  <sheetFormatPr defaultColWidth="7.625" defaultRowHeight="18" customHeight="1"/>
  <cols>
    <col min="1" max="1" width="0.875" style="1076" customWidth="1"/>
    <col min="2" max="3" width="10.125" style="1076" customWidth="1"/>
    <col min="4" max="7" width="11.625" style="1076" customWidth="1"/>
    <col min="8" max="8" width="13.25" style="1076" customWidth="1"/>
    <col min="9" max="10" width="9.25" style="1076" customWidth="1"/>
    <col min="11" max="16" width="10.125" style="1076" customWidth="1"/>
    <col min="17" max="42" width="10.125" style="1063" customWidth="1"/>
    <col min="43" max="16384" width="7.625" style="1063"/>
  </cols>
  <sheetData>
    <row r="1" spans="1:17" s="366" customFormat="1" ht="30" customHeight="1" thickBot="1">
      <c r="A1" s="365"/>
      <c r="B1" s="2419" t="s">
        <v>1742</v>
      </c>
      <c r="C1" s="2419"/>
      <c r="D1" s="2419"/>
      <c r="E1" s="2419"/>
      <c r="F1" s="2419"/>
      <c r="G1" s="2419"/>
      <c r="H1" s="2419"/>
      <c r="I1" s="2419"/>
      <c r="J1" s="2419"/>
      <c r="K1" s="2419"/>
      <c r="L1" s="2419"/>
      <c r="M1" s="2419"/>
      <c r="N1" s="2419"/>
      <c r="O1" s="2419"/>
      <c r="P1" s="2419"/>
      <c r="Q1" s="2419"/>
    </row>
    <row r="2" spans="1:17" s="367" customFormat="1" ht="18" customHeight="1" thickTop="1">
      <c r="B2" s="368"/>
      <c r="C2" s="368"/>
      <c r="F2" s="369"/>
      <c r="G2" s="369"/>
      <c r="H2" s="369"/>
    </row>
    <row r="3" spans="1:17" s="370" customFormat="1" ht="18" customHeight="1" thickBot="1">
      <c r="B3" s="371" t="s">
        <v>1342</v>
      </c>
      <c r="C3" s="372"/>
      <c r="D3" s="372"/>
    </row>
    <row r="4" spans="1:17" s="374" customFormat="1" ht="18" customHeight="1">
      <c r="A4" s="373"/>
      <c r="B4" s="2420" t="s">
        <v>1343</v>
      </c>
      <c r="C4" s="2421"/>
      <c r="D4" s="2422" t="s">
        <v>1344</v>
      </c>
      <c r="E4" s="2423"/>
      <c r="F4" s="2423"/>
      <c r="G4" s="2423"/>
      <c r="H4" s="2423"/>
      <c r="I4" s="2423"/>
      <c r="J4" s="2423"/>
      <c r="K4" s="2423" t="s">
        <v>1345</v>
      </c>
      <c r="L4" s="2423"/>
      <c r="M4" s="2423"/>
      <c r="N4" s="2423"/>
      <c r="O4" s="2423"/>
      <c r="P4" s="2423"/>
      <c r="Q4" s="2421"/>
    </row>
    <row r="5" spans="1:17" s="374" customFormat="1" ht="30" customHeight="1">
      <c r="A5" s="373"/>
      <c r="B5" s="2424" t="s">
        <v>1346</v>
      </c>
      <c r="C5" s="2425"/>
      <c r="D5" s="2426" t="s">
        <v>1347</v>
      </c>
      <c r="E5" s="2427"/>
      <c r="F5" s="2427"/>
      <c r="G5" s="2427"/>
      <c r="H5" s="2427"/>
      <c r="I5" s="2427"/>
      <c r="J5" s="2428"/>
      <c r="K5" s="2429" t="s">
        <v>1348</v>
      </c>
      <c r="L5" s="2429"/>
      <c r="M5" s="2429"/>
      <c r="N5" s="2429"/>
      <c r="O5" s="2429"/>
      <c r="P5" s="2429"/>
      <c r="Q5" s="2430"/>
    </row>
    <row r="6" spans="1:17" s="370" customFormat="1" ht="18" customHeight="1" thickBot="1">
      <c r="A6" s="375"/>
      <c r="B6" s="2431" t="s">
        <v>1349</v>
      </c>
      <c r="C6" s="2432"/>
      <c r="D6" s="2433" t="s">
        <v>1350</v>
      </c>
      <c r="E6" s="2434"/>
      <c r="F6" s="2434"/>
      <c r="G6" s="2434"/>
      <c r="H6" s="2434"/>
      <c r="I6" s="2434"/>
      <c r="J6" s="2434"/>
      <c r="K6" s="2435" t="s">
        <v>1351</v>
      </c>
      <c r="L6" s="2435"/>
      <c r="M6" s="2435"/>
      <c r="N6" s="2435"/>
      <c r="O6" s="2435"/>
      <c r="P6" s="2435"/>
      <c r="Q6" s="2436"/>
    </row>
    <row r="7" spans="1:17" s="370" customFormat="1" ht="18" customHeight="1">
      <c r="A7" s="375"/>
      <c r="B7" s="917"/>
      <c r="C7" s="917"/>
      <c r="D7" s="917"/>
      <c r="E7" s="917"/>
      <c r="F7" s="917"/>
      <c r="G7" s="917"/>
      <c r="H7" s="917"/>
      <c r="I7" s="917"/>
      <c r="J7" s="917"/>
      <c r="K7" s="917"/>
      <c r="L7" s="917"/>
      <c r="M7" s="917"/>
      <c r="N7" s="917"/>
      <c r="O7" s="917"/>
      <c r="P7" s="917"/>
      <c r="Q7" s="917"/>
    </row>
    <row r="8" spans="1:17" s="370" customFormat="1" ht="18" customHeight="1" thickBot="1">
      <c r="B8" s="371" t="s">
        <v>1352</v>
      </c>
      <c r="C8" s="372"/>
      <c r="D8" s="372"/>
    </row>
    <row r="9" spans="1:17" s="374" customFormat="1" ht="18" customHeight="1">
      <c r="A9" s="373"/>
      <c r="B9" s="2420" t="s">
        <v>1343</v>
      </c>
      <c r="C9" s="2421"/>
      <c r="D9" s="2422" t="s">
        <v>1344</v>
      </c>
      <c r="E9" s="2423"/>
      <c r="F9" s="2423"/>
      <c r="G9" s="2423"/>
      <c r="H9" s="2423"/>
      <c r="I9" s="2423"/>
      <c r="J9" s="2423"/>
      <c r="K9" s="2437" t="s">
        <v>1345</v>
      </c>
      <c r="L9" s="2438"/>
      <c r="M9" s="2438"/>
      <c r="N9" s="2438"/>
      <c r="O9" s="2438"/>
      <c r="P9" s="2438"/>
      <c r="Q9" s="2439"/>
    </row>
    <row r="10" spans="1:17" s="374" customFormat="1" ht="18" customHeight="1" thickBot="1">
      <c r="A10" s="373"/>
      <c r="B10" s="2431" t="s">
        <v>1353</v>
      </c>
      <c r="C10" s="2432"/>
      <c r="D10" s="2440" t="s">
        <v>1354</v>
      </c>
      <c r="E10" s="2441"/>
      <c r="F10" s="2441"/>
      <c r="G10" s="2441"/>
      <c r="H10" s="2441"/>
      <c r="I10" s="2441"/>
      <c r="J10" s="2441"/>
      <c r="K10" s="2442"/>
      <c r="L10" s="2443"/>
      <c r="M10" s="2443"/>
      <c r="N10" s="2443"/>
      <c r="O10" s="2443"/>
      <c r="P10" s="2443"/>
      <c r="Q10" s="2444"/>
    </row>
    <row r="11" spans="1:17" s="374" customFormat="1" ht="18" customHeight="1">
      <c r="A11" s="373"/>
      <c r="N11" s="373"/>
    </row>
    <row r="12" spans="1:17" s="370" customFormat="1" ht="18" customHeight="1" thickBot="1">
      <c r="B12" s="371" t="s">
        <v>1355</v>
      </c>
      <c r="C12" s="372"/>
      <c r="D12" s="372"/>
    </row>
    <row r="13" spans="1:17" s="374" customFormat="1" ht="18" customHeight="1">
      <c r="A13" s="373"/>
      <c r="B13" s="2420" t="s">
        <v>1343</v>
      </c>
      <c r="C13" s="2421"/>
      <c r="D13" s="2422" t="s">
        <v>1356</v>
      </c>
      <c r="E13" s="2423"/>
      <c r="F13" s="2423"/>
      <c r="G13" s="2423"/>
      <c r="H13" s="2423"/>
      <c r="I13" s="2423"/>
      <c r="J13" s="2423"/>
      <c r="K13" s="2423"/>
      <c r="L13" s="2423"/>
      <c r="M13" s="2423" t="s">
        <v>1345</v>
      </c>
      <c r="N13" s="2423"/>
      <c r="O13" s="2423"/>
      <c r="P13" s="2423"/>
      <c r="Q13" s="2421"/>
    </row>
    <row r="14" spans="1:17" s="374" customFormat="1" ht="18" customHeight="1">
      <c r="A14" s="373"/>
      <c r="B14" s="2445" t="s">
        <v>1357</v>
      </c>
      <c r="C14" s="2446"/>
      <c r="D14" s="2447" t="s">
        <v>1358</v>
      </c>
      <c r="E14" s="2448"/>
      <c r="F14" s="2448"/>
      <c r="G14" s="2448"/>
      <c r="H14" s="2448"/>
      <c r="I14" s="2448"/>
      <c r="J14" s="2448"/>
      <c r="K14" s="2448"/>
      <c r="L14" s="2448"/>
      <c r="M14" s="2449"/>
      <c r="N14" s="2450"/>
      <c r="O14" s="2450"/>
      <c r="P14" s="2450"/>
      <c r="Q14" s="2451"/>
    </row>
    <row r="15" spans="1:17" s="374" customFormat="1" ht="18" customHeight="1" thickBot="1">
      <c r="A15" s="373"/>
      <c r="B15" s="2452" t="s">
        <v>1359</v>
      </c>
      <c r="C15" s="2453"/>
      <c r="D15" s="2454" t="s">
        <v>1360</v>
      </c>
      <c r="E15" s="2455"/>
      <c r="F15" s="2455"/>
      <c r="G15" s="2455"/>
      <c r="H15" s="2455"/>
      <c r="I15" s="2455"/>
      <c r="J15" s="2455"/>
      <c r="K15" s="2455"/>
      <c r="L15" s="2455"/>
      <c r="M15" s="2456" t="s">
        <v>1361</v>
      </c>
      <c r="N15" s="2456"/>
      <c r="O15" s="2456"/>
      <c r="P15" s="2456"/>
      <c r="Q15" s="2457"/>
    </row>
    <row r="16" spans="1:17" s="374" customFormat="1" ht="18" customHeight="1">
      <c r="A16" s="373"/>
    </row>
    <row r="17" spans="1:19" s="370" customFormat="1" ht="18" customHeight="1" thickBot="1">
      <c r="A17" s="372"/>
      <c r="B17" s="376" t="s">
        <v>1362</v>
      </c>
      <c r="C17" s="372"/>
      <c r="D17" s="372"/>
      <c r="E17" s="377"/>
      <c r="K17" s="372"/>
      <c r="L17" s="372"/>
      <c r="M17" s="372"/>
      <c r="N17" s="372"/>
      <c r="O17" s="372"/>
      <c r="P17" s="372"/>
    </row>
    <row r="18" spans="1:19" s="374" customFormat="1" ht="18" customHeight="1" thickBot="1">
      <c r="A18" s="373"/>
      <c r="B18" s="2420" t="s">
        <v>1343</v>
      </c>
      <c r="C18" s="2421"/>
      <c r="D18" s="1397" t="s">
        <v>1363</v>
      </c>
      <c r="E18" s="1202"/>
      <c r="F18" s="1202"/>
      <c r="G18" s="1202"/>
      <c r="H18" s="2458"/>
      <c r="I18" s="2458"/>
      <c r="J18" s="2458"/>
      <c r="K18" s="2458"/>
      <c r="L18" s="2458"/>
      <c r="M18" s="2458"/>
      <c r="N18" s="2458"/>
      <c r="O18" s="1640" t="s">
        <v>1345</v>
      </c>
      <c r="P18" s="1640"/>
      <c r="Q18" s="1420"/>
    </row>
    <row r="19" spans="1:19" s="370" customFormat="1" ht="18" customHeight="1">
      <c r="A19" s="372"/>
      <c r="B19" s="2445" t="s">
        <v>1364</v>
      </c>
      <c r="C19" s="2446"/>
      <c r="D19" s="2459" t="s">
        <v>1365</v>
      </c>
      <c r="E19" s="2460"/>
      <c r="F19" s="2460"/>
      <c r="G19" s="2461"/>
      <c r="H19" s="1419" t="s">
        <v>1366</v>
      </c>
      <c r="I19" s="1641"/>
      <c r="J19" s="1057" t="s">
        <v>1367</v>
      </c>
      <c r="K19" s="378" t="s">
        <v>1368</v>
      </c>
      <c r="L19" s="1058" t="s">
        <v>1369</v>
      </c>
      <c r="M19" s="921" t="s">
        <v>1370</v>
      </c>
      <c r="N19" s="1059" t="s">
        <v>1371</v>
      </c>
      <c r="O19" s="2462"/>
      <c r="P19" s="2429"/>
      <c r="Q19" s="2430"/>
    </row>
    <row r="20" spans="1:19" s="370" customFormat="1" ht="18" customHeight="1" thickBot="1">
      <c r="A20" s="372"/>
      <c r="B20" s="2445"/>
      <c r="C20" s="2446"/>
      <c r="D20" s="2459"/>
      <c r="E20" s="2460"/>
      <c r="F20" s="2460"/>
      <c r="G20" s="2461"/>
      <c r="H20" s="1410" t="s">
        <v>1372</v>
      </c>
      <c r="I20" s="2463"/>
      <c r="J20" s="1060">
        <v>2.8</v>
      </c>
      <c r="K20" s="1061">
        <v>2.7</v>
      </c>
      <c r="L20" s="1062">
        <v>2.6</v>
      </c>
      <c r="M20" s="489">
        <v>2.5</v>
      </c>
      <c r="N20" s="272">
        <v>2.4</v>
      </c>
      <c r="O20" s="2462"/>
      <c r="P20" s="2429"/>
      <c r="Q20" s="2430"/>
    </row>
    <row r="21" spans="1:19" s="370" customFormat="1" ht="18" customHeight="1">
      <c r="A21" s="372"/>
      <c r="B21" s="2445" t="s">
        <v>1373</v>
      </c>
      <c r="C21" s="2446"/>
      <c r="D21" s="2464" t="s">
        <v>1374</v>
      </c>
      <c r="E21" s="2465"/>
      <c r="F21" s="2465"/>
      <c r="G21" s="2466"/>
      <c r="H21" s="2467" t="s">
        <v>1375</v>
      </c>
      <c r="I21" s="2468" t="s">
        <v>1376</v>
      </c>
      <c r="J21" s="2468"/>
      <c r="K21" s="2468"/>
      <c r="L21" s="2468" t="s">
        <v>1377</v>
      </c>
      <c r="M21" s="2468"/>
      <c r="N21" s="2475" t="s">
        <v>1378</v>
      </c>
      <c r="O21" s="2469" t="s">
        <v>1379</v>
      </c>
      <c r="P21" s="2470"/>
      <c r="Q21" s="2471"/>
      <c r="S21" s="1063"/>
    </row>
    <row r="22" spans="1:19" s="370" customFormat="1" ht="24">
      <c r="A22" s="372"/>
      <c r="B22" s="2445"/>
      <c r="C22" s="2446"/>
      <c r="D22" s="2464"/>
      <c r="E22" s="2465"/>
      <c r="F22" s="2465"/>
      <c r="G22" s="2466"/>
      <c r="H22" s="1203"/>
      <c r="I22" s="1043" t="s">
        <v>1380</v>
      </c>
      <c r="J22" s="1204" t="s">
        <v>80</v>
      </c>
      <c r="K22" s="1204"/>
      <c r="L22" s="922" t="s">
        <v>1381</v>
      </c>
      <c r="M22" s="1043" t="s">
        <v>71</v>
      </c>
      <c r="N22" s="2277"/>
      <c r="O22" s="2469"/>
      <c r="P22" s="2470"/>
      <c r="Q22" s="2471"/>
      <c r="S22" s="1063"/>
    </row>
    <row r="23" spans="1:19" s="370" customFormat="1" ht="18" customHeight="1">
      <c r="A23" s="372"/>
      <c r="B23" s="2445"/>
      <c r="C23" s="2446"/>
      <c r="D23" s="2464"/>
      <c r="E23" s="2465"/>
      <c r="F23" s="2465"/>
      <c r="G23" s="2466"/>
      <c r="H23" s="1042" t="s">
        <v>81</v>
      </c>
      <c r="I23" s="339">
        <v>1.08</v>
      </c>
      <c r="J23" s="1170" t="s">
        <v>1382</v>
      </c>
      <c r="K23" s="1170"/>
      <c r="L23" s="339">
        <v>0.36</v>
      </c>
      <c r="M23" s="339">
        <v>7.0000000000000007E-2</v>
      </c>
      <c r="N23" s="2472">
        <v>2.76</v>
      </c>
      <c r="O23" s="2469"/>
      <c r="P23" s="2470"/>
      <c r="Q23" s="2471"/>
      <c r="S23" s="1063"/>
    </row>
    <row r="24" spans="1:19" s="370" customFormat="1" ht="18" customHeight="1">
      <c r="A24" s="372"/>
      <c r="B24" s="2445"/>
      <c r="C24" s="2446"/>
      <c r="D24" s="2464"/>
      <c r="E24" s="2465"/>
      <c r="F24" s="2465"/>
      <c r="G24" s="2466"/>
      <c r="H24" s="923" t="s">
        <v>1383</v>
      </c>
      <c r="I24" s="339">
        <v>1.2</v>
      </c>
      <c r="J24" s="1170" t="s">
        <v>1384</v>
      </c>
      <c r="K24" s="1170"/>
      <c r="L24" s="339">
        <v>0.36</v>
      </c>
      <c r="M24" s="339">
        <v>7.0000000000000007E-2</v>
      </c>
      <c r="N24" s="2472"/>
      <c r="O24" s="2469"/>
      <c r="P24" s="2470"/>
      <c r="Q24" s="2471"/>
      <c r="S24" s="1063"/>
    </row>
    <row r="25" spans="1:19" s="370" customFormat="1" ht="24.75" thickBot="1">
      <c r="A25" s="372"/>
      <c r="B25" s="2445"/>
      <c r="C25" s="2446"/>
      <c r="D25" s="2464"/>
      <c r="E25" s="2465"/>
      <c r="F25" s="2465"/>
      <c r="G25" s="2466"/>
      <c r="H25" s="924" t="s">
        <v>1385</v>
      </c>
      <c r="I25" s="1045">
        <v>0.84</v>
      </c>
      <c r="J25" s="2474" t="s">
        <v>1386</v>
      </c>
      <c r="K25" s="2474"/>
      <c r="L25" s="1045"/>
      <c r="M25" s="430">
        <v>7.0000000000000007E-2</v>
      </c>
      <c r="N25" s="2473"/>
      <c r="O25" s="2469"/>
      <c r="P25" s="2470"/>
      <c r="Q25" s="2471"/>
      <c r="S25" s="1063"/>
    </row>
    <row r="26" spans="1:19" s="370" customFormat="1" ht="18" customHeight="1">
      <c r="A26" s="372"/>
      <c r="B26" s="2476" t="s">
        <v>1387</v>
      </c>
      <c r="C26" s="2477"/>
      <c r="D26" s="2464" t="s">
        <v>1388</v>
      </c>
      <c r="E26" s="2465"/>
      <c r="F26" s="2465"/>
      <c r="G26" s="2466"/>
      <c r="H26" s="1064" t="s">
        <v>1389</v>
      </c>
      <c r="I26" s="1065" t="s">
        <v>1390</v>
      </c>
      <c r="J26" s="1066" t="s">
        <v>1391</v>
      </c>
      <c r="K26" s="1067" t="s">
        <v>1392</v>
      </c>
      <c r="L26" s="974" t="s">
        <v>1393</v>
      </c>
      <c r="M26" s="1065" t="s">
        <v>1394</v>
      </c>
      <c r="N26" s="1068" t="s">
        <v>1395</v>
      </c>
      <c r="O26" s="2469" t="s">
        <v>1396</v>
      </c>
      <c r="P26" s="2470"/>
      <c r="Q26" s="2471"/>
      <c r="S26" s="1063"/>
    </row>
    <row r="27" spans="1:19" s="370" customFormat="1" ht="18" customHeight="1" thickBot="1">
      <c r="A27" s="372"/>
      <c r="B27" s="2476"/>
      <c r="C27" s="2477"/>
      <c r="D27" s="2464"/>
      <c r="E27" s="2465"/>
      <c r="F27" s="2465"/>
      <c r="G27" s="2466"/>
      <c r="H27" s="1069" t="s">
        <v>1397</v>
      </c>
      <c r="I27" s="973">
        <v>0.7</v>
      </c>
      <c r="J27" s="1070" t="s">
        <v>1398</v>
      </c>
      <c r="K27" s="975">
        <v>0.66</v>
      </c>
      <c r="L27" s="976">
        <v>0.62</v>
      </c>
      <c r="M27" s="973">
        <v>0.57999999999999996</v>
      </c>
      <c r="N27" s="502">
        <v>0.54</v>
      </c>
      <c r="O27" s="2469"/>
      <c r="P27" s="2470"/>
      <c r="Q27" s="2471"/>
      <c r="S27" s="1063"/>
    </row>
    <row r="28" spans="1:19" s="370" customFormat="1" ht="18" customHeight="1">
      <c r="A28" s="372"/>
      <c r="B28" s="2476" t="s">
        <v>1399</v>
      </c>
      <c r="C28" s="2477"/>
      <c r="D28" s="2464" t="s">
        <v>1400</v>
      </c>
      <c r="E28" s="2465"/>
      <c r="F28" s="2465"/>
      <c r="G28" s="2466"/>
      <c r="H28" s="2478" t="s">
        <v>1401</v>
      </c>
      <c r="I28" s="2479"/>
      <c r="J28" s="925" t="s">
        <v>1402</v>
      </c>
      <c r="K28" s="926" t="s">
        <v>1403</v>
      </c>
      <c r="L28" s="378" t="s">
        <v>1404</v>
      </c>
      <c r="M28" s="927" t="s">
        <v>1405</v>
      </c>
      <c r="N28" s="928" t="s">
        <v>1406</v>
      </c>
      <c r="O28" s="2469"/>
      <c r="P28" s="2470"/>
      <c r="Q28" s="2471"/>
      <c r="S28" s="1063"/>
    </row>
    <row r="29" spans="1:19" s="370" customFormat="1" ht="18" customHeight="1" thickBot="1">
      <c r="A29" s="372"/>
      <c r="B29" s="2476"/>
      <c r="C29" s="2477"/>
      <c r="D29" s="2464"/>
      <c r="E29" s="2465"/>
      <c r="F29" s="2465"/>
      <c r="G29" s="2466"/>
      <c r="H29" s="2431" t="s">
        <v>1407</v>
      </c>
      <c r="I29" s="2480"/>
      <c r="J29" s="379">
        <v>0.2</v>
      </c>
      <c r="K29" s="380">
        <v>0.17</v>
      </c>
      <c r="L29" s="381">
        <v>0.15</v>
      </c>
      <c r="M29" s="929">
        <v>0.12</v>
      </c>
      <c r="N29" s="930">
        <v>0.05</v>
      </c>
      <c r="O29" s="2469"/>
      <c r="P29" s="2470"/>
      <c r="Q29" s="2471"/>
      <c r="S29" s="1063"/>
    </row>
    <row r="30" spans="1:19" s="370" customFormat="1" ht="18" customHeight="1">
      <c r="A30" s="372"/>
      <c r="B30" s="2445" t="s">
        <v>1408</v>
      </c>
      <c r="C30" s="2446"/>
      <c r="D30" s="2464" t="s">
        <v>1409</v>
      </c>
      <c r="E30" s="2465"/>
      <c r="F30" s="2465"/>
      <c r="G30" s="2465"/>
      <c r="H30" s="2481"/>
      <c r="I30" s="2481"/>
      <c r="J30" s="2481"/>
      <c r="K30" s="2481"/>
      <c r="L30" s="2481"/>
      <c r="M30" s="2481"/>
      <c r="N30" s="2481"/>
      <c r="O30" s="2429" t="s">
        <v>1410</v>
      </c>
      <c r="P30" s="2429"/>
      <c r="Q30" s="2430"/>
      <c r="S30" s="1063"/>
    </row>
    <row r="31" spans="1:19" s="370" customFormat="1" ht="18" customHeight="1" thickBot="1">
      <c r="A31" s="372"/>
      <c r="B31" s="2445"/>
      <c r="C31" s="2446"/>
      <c r="D31" s="2464"/>
      <c r="E31" s="2465"/>
      <c r="F31" s="2465"/>
      <c r="G31" s="2465"/>
      <c r="H31" s="2465"/>
      <c r="I31" s="2465"/>
      <c r="J31" s="2482"/>
      <c r="K31" s="2482"/>
      <c r="L31" s="2482"/>
      <c r="M31" s="2482"/>
      <c r="N31" s="2482"/>
      <c r="O31" s="2429"/>
      <c r="P31" s="2429"/>
      <c r="Q31" s="2430"/>
      <c r="S31" s="1063"/>
    </row>
    <row r="32" spans="1:19" s="370" customFormat="1" ht="18" customHeight="1">
      <c r="A32" s="372"/>
      <c r="B32" s="2445" t="s">
        <v>1411</v>
      </c>
      <c r="C32" s="2446"/>
      <c r="D32" s="2483" t="s">
        <v>1412</v>
      </c>
      <c r="E32" s="2484"/>
      <c r="F32" s="2484"/>
      <c r="G32" s="2484"/>
      <c r="H32" s="2484"/>
      <c r="I32" s="2484"/>
      <c r="J32" s="2487" t="s">
        <v>1413</v>
      </c>
      <c r="K32" s="2488"/>
      <c r="L32" s="1071" t="s">
        <v>1414</v>
      </c>
      <c r="M32" s="1071" t="s">
        <v>1415</v>
      </c>
      <c r="N32" s="1072" t="s">
        <v>1416</v>
      </c>
      <c r="O32" s="2462"/>
      <c r="P32" s="2429"/>
      <c r="Q32" s="2430"/>
      <c r="S32" s="1063"/>
    </row>
    <row r="33" spans="1:19" s="370" customFormat="1" ht="18" customHeight="1" thickBot="1">
      <c r="A33" s="372"/>
      <c r="B33" s="2445"/>
      <c r="C33" s="2446"/>
      <c r="D33" s="2485"/>
      <c r="E33" s="2486"/>
      <c r="F33" s="2486"/>
      <c r="G33" s="2486"/>
      <c r="H33" s="2486"/>
      <c r="I33" s="2486"/>
      <c r="J33" s="2489" t="s">
        <v>1372</v>
      </c>
      <c r="K33" s="2490"/>
      <c r="L33" s="915">
        <v>4.4999999999999998E-2</v>
      </c>
      <c r="M33" s="915">
        <v>0.04</v>
      </c>
      <c r="N33" s="916">
        <v>0.03</v>
      </c>
      <c r="O33" s="2462"/>
      <c r="P33" s="2429"/>
      <c r="Q33" s="2430"/>
      <c r="S33" s="1063"/>
    </row>
    <row r="34" spans="1:19" s="370" customFormat="1" ht="18" customHeight="1" thickBot="1">
      <c r="A34" s="372"/>
      <c r="B34" s="2499" t="s">
        <v>1417</v>
      </c>
      <c r="C34" s="2500"/>
      <c r="D34" s="2483" t="s">
        <v>1418</v>
      </c>
      <c r="E34" s="2484"/>
      <c r="F34" s="2484"/>
      <c r="G34" s="2484"/>
      <c r="H34" s="2484"/>
      <c r="I34" s="2505"/>
      <c r="J34" s="2512" t="s">
        <v>1419</v>
      </c>
      <c r="K34" s="2513"/>
      <c r="L34" s="2513"/>
      <c r="M34" s="2514"/>
      <c r="N34" s="1073" t="s">
        <v>1397</v>
      </c>
      <c r="O34" s="2515" t="s">
        <v>1420</v>
      </c>
      <c r="P34" s="2515"/>
      <c r="Q34" s="2516"/>
      <c r="S34" s="1063"/>
    </row>
    <row r="35" spans="1:19" s="370" customFormat="1" ht="18" customHeight="1">
      <c r="A35" s="372"/>
      <c r="B35" s="2501"/>
      <c r="C35" s="2502"/>
      <c r="D35" s="2506"/>
      <c r="E35" s="2507"/>
      <c r="F35" s="2507"/>
      <c r="G35" s="2507"/>
      <c r="H35" s="2507"/>
      <c r="I35" s="2508"/>
      <c r="J35" s="2521" t="s">
        <v>1421</v>
      </c>
      <c r="K35" s="2522"/>
      <c r="L35" s="2522"/>
      <c r="M35" s="2523"/>
      <c r="N35" s="1074">
        <v>7.0000000000000007E-2</v>
      </c>
      <c r="O35" s="2517"/>
      <c r="P35" s="2517"/>
      <c r="Q35" s="2518"/>
      <c r="S35" s="1063"/>
    </row>
    <row r="36" spans="1:19" s="370" customFormat="1" ht="18" customHeight="1">
      <c r="A36" s="372"/>
      <c r="B36" s="2501"/>
      <c r="C36" s="2502"/>
      <c r="D36" s="2506"/>
      <c r="E36" s="2507"/>
      <c r="F36" s="2507"/>
      <c r="G36" s="2507"/>
      <c r="H36" s="2507"/>
      <c r="I36" s="2508"/>
      <c r="J36" s="2491" t="s">
        <v>1422</v>
      </c>
      <c r="K36" s="2492"/>
      <c r="L36" s="2492"/>
      <c r="M36" s="2493"/>
      <c r="N36" s="1074">
        <v>3.5000000000000003E-2</v>
      </c>
      <c r="O36" s="2517"/>
      <c r="P36" s="2517"/>
      <c r="Q36" s="2518"/>
      <c r="S36" s="1063"/>
    </row>
    <row r="37" spans="1:19" s="370" customFormat="1" ht="18" customHeight="1">
      <c r="A37" s="372"/>
      <c r="B37" s="2501"/>
      <c r="C37" s="2502"/>
      <c r="D37" s="2506"/>
      <c r="E37" s="2507"/>
      <c r="F37" s="2507"/>
      <c r="G37" s="2507"/>
      <c r="H37" s="2507"/>
      <c r="I37" s="2508"/>
      <c r="J37" s="2491" t="s">
        <v>1423</v>
      </c>
      <c r="K37" s="2492"/>
      <c r="L37" s="2492"/>
      <c r="M37" s="2493"/>
      <c r="N37" s="1074">
        <v>3.5000000000000003E-2</v>
      </c>
      <c r="O37" s="2517"/>
      <c r="P37" s="2517"/>
      <c r="Q37" s="2518"/>
      <c r="S37" s="1063"/>
    </row>
    <row r="38" spans="1:19" s="370" customFormat="1" ht="18" customHeight="1" thickBot="1">
      <c r="A38" s="372"/>
      <c r="B38" s="2503"/>
      <c r="C38" s="2504"/>
      <c r="D38" s="2509"/>
      <c r="E38" s="2510"/>
      <c r="F38" s="2510"/>
      <c r="G38" s="2510"/>
      <c r="H38" s="2510"/>
      <c r="I38" s="2511"/>
      <c r="J38" s="2494" t="s">
        <v>1424</v>
      </c>
      <c r="K38" s="2495"/>
      <c r="L38" s="2495"/>
      <c r="M38" s="2496"/>
      <c r="N38" s="1075">
        <v>3.5000000000000003E-2</v>
      </c>
      <c r="O38" s="2519"/>
      <c r="P38" s="2519"/>
      <c r="Q38" s="2520"/>
      <c r="S38" s="1063"/>
    </row>
    <row r="39" spans="1:19" ht="18" customHeight="1" thickBot="1">
      <c r="B39" s="2431" t="s">
        <v>1425</v>
      </c>
      <c r="C39" s="2432"/>
      <c r="D39" s="2497" t="s">
        <v>1426</v>
      </c>
      <c r="E39" s="2498"/>
      <c r="F39" s="2498"/>
      <c r="G39" s="2498"/>
      <c r="H39" s="2498"/>
      <c r="I39" s="2498"/>
      <c r="J39" s="2498"/>
      <c r="K39" s="2498"/>
      <c r="L39" s="2498"/>
      <c r="M39" s="2498"/>
      <c r="N39" s="2498"/>
      <c r="O39" s="2435" t="s">
        <v>1427</v>
      </c>
      <c r="P39" s="2435"/>
      <c r="Q39" s="2436"/>
    </row>
    <row r="40" spans="1:19" ht="18" customHeight="1">
      <c r="Q40" s="1076"/>
    </row>
    <row r="41" spans="1:19" ht="18" customHeight="1">
      <c r="A41" s="1063"/>
      <c r="B41" s="1063"/>
      <c r="C41" s="1063"/>
      <c r="D41" s="1063"/>
      <c r="E41" s="1063"/>
      <c r="F41" s="1063"/>
      <c r="G41" s="1063"/>
      <c r="H41" s="1063"/>
      <c r="I41" s="1063"/>
      <c r="J41" s="1063"/>
      <c r="K41" s="1063"/>
      <c r="L41" s="1063"/>
      <c r="M41" s="1063"/>
      <c r="N41" s="1063"/>
      <c r="O41" s="1063"/>
      <c r="P41" s="1063"/>
      <c r="Q41" s="1076"/>
      <c r="R41" s="1076"/>
    </row>
    <row r="42" spans="1:19" ht="18" customHeight="1">
      <c r="H42" s="1063"/>
      <c r="I42" s="1063"/>
      <c r="J42" s="1063"/>
      <c r="K42" s="1063"/>
      <c r="L42" s="1063"/>
      <c r="M42" s="1063"/>
      <c r="N42" s="1063"/>
    </row>
    <row r="43" spans="1:19" ht="18" customHeight="1">
      <c r="H43" s="1063"/>
      <c r="I43" s="1063"/>
      <c r="J43" s="1063"/>
      <c r="K43" s="1063"/>
      <c r="L43" s="1063"/>
      <c r="M43" s="1063"/>
      <c r="N43" s="1063"/>
    </row>
    <row r="44" spans="1:19" ht="18" customHeight="1">
      <c r="H44" s="1063"/>
      <c r="I44" s="1063"/>
      <c r="J44" s="1063"/>
      <c r="K44" s="1063"/>
      <c r="L44" s="1063"/>
      <c r="M44" s="1063"/>
      <c r="N44" s="1063"/>
    </row>
    <row r="45" spans="1:19" ht="18" customHeight="1">
      <c r="A45" s="1063"/>
      <c r="B45" s="1063"/>
      <c r="C45" s="1063"/>
      <c r="D45" s="1063"/>
      <c r="E45" s="1063"/>
      <c r="F45" s="1063"/>
      <c r="G45" s="1063"/>
      <c r="H45" s="1063"/>
      <c r="I45" s="1063"/>
      <c r="J45" s="1063"/>
      <c r="K45" s="1063"/>
      <c r="L45" s="1063"/>
      <c r="M45" s="1063"/>
      <c r="N45" s="1063"/>
      <c r="O45" s="1063"/>
      <c r="P45" s="1063"/>
    </row>
    <row r="46" spans="1:19" ht="18" customHeight="1">
      <c r="A46" s="1063"/>
      <c r="B46" s="1063"/>
      <c r="C46" s="1063"/>
      <c r="D46" s="1063"/>
      <c r="E46" s="1063"/>
      <c r="F46" s="1063"/>
      <c r="G46" s="1063"/>
      <c r="H46" s="1063"/>
      <c r="I46" s="1063"/>
      <c r="J46" s="1063"/>
      <c r="K46" s="1063"/>
      <c r="L46" s="1063"/>
      <c r="M46" s="1063"/>
      <c r="N46" s="1063"/>
      <c r="O46" s="1063"/>
      <c r="P46" s="1063"/>
    </row>
    <row r="47" spans="1:19" ht="18" customHeight="1">
      <c r="A47" s="1063"/>
      <c r="B47" s="1063"/>
      <c r="C47" s="1063"/>
      <c r="D47" s="1063"/>
      <c r="E47" s="1063"/>
      <c r="F47" s="1063"/>
      <c r="G47" s="1063"/>
      <c r="H47" s="1063"/>
      <c r="I47" s="1063"/>
      <c r="J47" s="1063"/>
      <c r="K47" s="1063"/>
      <c r="L47" s="1063"/>
      <c r="M47" s="1063"/>
      <c r="N47" s="1063"/>
      <c r="O47" s="1063"/>
      <c r="P47" s="1063"/>
    </row>
    <row r="48" spans="1:19" ht="18" customHeight="1">
      <c r="A48" s="1063"/>
      <c r="B48" s="1063"/>
      <c r="C48" s="1063"/>
      <c r="D48" s="1063"/>
      <c r="E48" s="1063"/>
      <c r="F48" s="1063"/>
      <c r="G48" s="1063"/>
      <c r="O48" s="1063"/>
      <c r="P48" s="1063"/>
    </row>
    <row r="49" spans="1:16" ht="18" customHeight="1">
      <c r="A49" s="1063"/>
      <c r="B49" s="1063"/>
      <c r="C49" s="1063"/>
      <c r="D49" s="1063"/>
      <c r="E49" s="1063"/>
      <c r="F49" s="1063"/>
      <c r="G49" s="1063"/>
      <c r="O49" s="1063"/>
      <c r="P49" s="1063"/>
    </row>
  </sheetData>
  <mergeCells count="70">
    <mergeCell ref="J37:M37"/>
    <mergeCell ref="J38:M38"/>
    <mergeCell ref="B39:C39"/>
    <mergeCell ref="D39:N39"/>
    <mergeCell ref="O39:Q39"/>
    <mergeCell ref="B34:C38"/>
    <mergeCell ref="D34:I38"/>
    <mergeCell ref="J34:M34"/>
    <mergeCell ref="O34:Q38"/>
    <mergeCell ref="J35:M35"/>
    <mergeCell ref="J36:M36"/>
    <mergeCell ref="B30:C31"/>
    <mergeCell ref="D30:N31"/>
    <mergeCell ref="O30:Q33"/>
    <mergeCell ref="B32:C33"/>
    <mergeCell ref="D32:I33"/>
    <mergeCell ref="J32:K32"/>
    <mergeCell ref="J33:K33"/>
    <mergeCell ref="B26:C27"/>
    <mergeCell ref="D26:G27"/>
    <mergeCell ref="O26:Q29"/>
    <mergeCell ref="B28:C29"/>
    <mergeCell ref="D28:G29"/>
    <mergeCell ref="H28:I28"/>
    <mergeCell ref="H29:I29"/>
    <mergeCell ref="O21:Q25"/>
    <mergeCell ref="J22:K22"/>
    <mergeCell ref="J23:K23"/>
    <mergeCell ref="N23:N25"/>
    <mergeCell ref="J24:K24"/>
    <mergeCell ref="J25:K25"/>
    <mergeCell ref="N21:N22"/>
    <mergeCell ref="B21:C25"/>
    <mergeCell ref="D21:G25"/>
    <mergeCell ref="H21:H22"/>
    <mergeCell ref="I21:K21"/>
    <mergeCell ref="L21:M21"/>
    <mergeCell ref="B18:C18"/>
    <mergeCell ref="D18:N18"/>
    <mergeCell ref="O18:Q18"/>
    <mergeCell ref="B19:C20"/>
    <mergeCell ref="D19:G20"/>
    <mergeCell ref="H19:I19"/>
    <mergeCell ref="O19:Q20"/>
    <mergeCell ref="H20:I20"/>
    <mergeCell ref="B14:C14"/>
    <mergeCell ref="D14:L14"/>
    <mergeCell ref="M14:Q14"/>
    <mergeCell ref="B15:C15"/>
    <mergeCell ref="D15:L15"/>
    <mergeCell ref="M15:Q15"/>
    <mergeCell ref="B10:C10"/>
    <mergeCell ref="D10:J10"/>
    <mergeCell ref="K10:Q10"/>
    <mergeCell ref="B13:C13"/>
    <mergeCell ref="D13:L13"/>
    <mergeCell ref="M13:Q13"/>
    <mergeCell ref="B6:C6"/>
    <mergeCell ref="D6:J6"/>
    <mergeCell ref="K6:Q6"/>
    <mergeCell ref="B9:C9"/>
    <mergeCell ref="D9:J9"/>
    <mergeCell ref="K9:Q9"/>
    <mergeCell ref="B1:Q1"/>
    <mergeCell ref="B4:C4"/>
    <mergeCell ref="D4:J4"/>
    <mergeCell ref="K4:Q4"/>
    <mergeCell ref="B5:C5"/>
    <mergeCell ref="D5:J5"/>
    <mergeCell ref="K5:Q5"/>
  </mergeCells>
  <phoneticPr fontId="99" type="noConversion"/>
  <printOptions horizontalCentered="1" verticalCentered="1"/>
  <pageMargins left="0.31496062992125984" right="0.31496062992125984" top="0.31496062992125984" bottom="0.31496062992125984" header="0" footer="0"/>
  <pageSetup paperSize="9" scale="75" orientation="landscape"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3"/>
  <sheetViews>
    <sheetView zoomScaleNormal="100" workbookViewId="0">
      <pane ySplit="1" topLeftCell="A2" activePane="bottomLeft" state="frozen"/>
      <selection pane="bottomLeft" activeCell="B1" sqref="B1:AK1"/>
    </sheetView>
  </sheetViews>
  <sheetFormatPr defaultRowHeight="18" customHeight="1"/>
  <cols>
    <col min="1" max="1" width="0.625" style="1077" customWidth="1"/>
    <col min="2" max="2" width="5" style="1077" customWidth="1"/>
    <col min="3" max="3" width="16.75" style="1077" bestFit="1" customWidth="1"/>
    <col min="4" max="4" width="5.625" style="1079" customWidth="1"/>
    <col min="5" max="5" width="9" style="1079" bestFit="1" customWidth="1"/>
    <col min="6" max="6" width="7.625" style="1077" bestFit="1" customWidth="1"/>
    <col min="7" max="7" width="6.625" style="1077" customWidth="1"/>
    <col min="8" max="8" width="6" style="1077" bestFit="1" customWidth="1"/>
    <col min="9" max="9" width="6.625" style="1077" customWidth="1"/>
    <col min="10" max="10" width="4.625" style="1077" bestFit="1" customWidth="1"/>
    <col min="11" max="11" width="5.875" style="1077" bestFit="1" customWidth="1"/>
    <col min="12" max="12" width="6.625" style="1077" customWidth="1"/>
    <col min="13" max="13" width="7.5" style="1077" bestFit="1" customWidth="1"/>
    <col min="14" max="14" width="6.625" style="1077" customWidth="1"/>
    <col min="15" max="18" width="7.5" style="1077" bestFit="1" customWidth="1"/>
    <col min="19" max="19" width="6" style="1077" bestFit="1" customWidth="1"/>
    <col min="20" max="20" width="5.875" style="1077" bestFit="1" customWidth="1"/>
    <col min="21" max="21" width="8.5" style="1077" bestFit="1" customWidth="1"/>
    <col min="22" max="22" width="6.75" style="1077" bestFit="1" customWidth="1"/>
    <col min="23" max="23" width="5.875" style="1077" bestFit="1" customWidth="1"/>
    <col min="24" max="24" width="8.5" style="1077" bestFit="1" customWidth="1"/>
    <col min="25" max="25" width="6.75" style="1077" bestFit="1" customWidth="1"/>
    <col min="26" max="26" width="5.875" style="1077" bestFit="1" customWidth="1"/>
    <col min="27" max="27" width="8.5" style="1077" bestFit="1" customWidth="1"/>
    <col min="28" max="28" width="6.75" style="1077" bestFit="1" customWidth="1"/>
    <col min="29" max="29" width="5.875" style="1077" bestFit="1" customWidth="1"/>
    <col min="30" max="30" width="8.5" style="1077" bestFit="1" customWidth="1"/>
    <col min="31" max="31" width="6.75" style="1077" bestFit="1" customWidth="1"/>
    <col min="32" max="32" width="5.875" style="1077" bestFit="1" customWidth="1"/>
    <col min="33" max="33" width="8.5" style="1077" bestFit="1" customWidth="1"/>
    <col min="34" max="34" width="6.75" style="1077" bestFit="1" customWidth="1"/>
    <col min="35" max="35" width="5.875" style="1077" bestFit="1" customWidth="1"/>
    <col min="36" max="36" width="8.5" style="1077" bestFit="1" customWidth="1"/>
    <col min="37" max="37" width="6.75" style="1077" bestFit="1" customWidth="1"/>
    <col min="38" max="38" width="9.75" style="1077" bestFit="1" customWidth="1"/>
    <col min="39" max="16384" width="9" style="1077"/>
  </cols>
  <sheetData>
    <row r="1" spans="1:41" s="147" customFormat="1" ht="30" customHeight="1" thickBot="1">
      <c r="B1" s="2419" t="s">
        <v>1742</v>
      </c>
      <c r="C1" s="2419"/>
      <c r="D1" s="2419"/>
      <c r="E1" s="2419"/>
      <c r="F1" s="2419"/>
      <c r="G1" s="2419"/>
      <c r="H1" s="2419"/>
      <c r="I1" s="2419"/>
      <c r="J1" s="2419"/>
      <c r="K1" s="2419"/>
      <c r="L1" s="2419"/>
      <c r="M1" s="2419"/>
      <c r="N1" s="2419"/>
      <c r="O1" s="2419"/>
      <c r="P1" s="2419"/>
      <c r="Q1" s="2419"/>
      <c r="R1" s="2419"/>
      <c r="S1" s="2419"/>
      <c r="T1" s="2419"/>
      <c r="U1" s="2419"/>
      <c r="V1" s="2419"/>
      <c r="W1" s="2419"/>
      <c r="X1" s="2419"/>
      <c r="Y1" s="2419"/>
      <c r="Z1" s="2419"/>
      <c r="AA1" s="2419"/>
      <c r="AB1" s="2419"/>
      <c r="AC1" s="2419"/>
      <c r="AD1" s="2419"/>
      <c r="AE1" s="2419"/>
      <c r="AF1" s="2419"/>
      <c r="AG1" s="2419"/>
      <c r="AH1" s="2419"/>
      <c r="AI1" s="2419"/>
      <c r="AJ1" s="2419"/>
      <c r="AK1" s="2419"/>
    </row>
    <row r="2" spans="1:41" s="246" customFormat="1" ht="6" customHeight="1" thickTop="1">
      <c r="A2" s="68"/>
      <c r="B2" s="67"/>
      <c r="C2" s="67"/>
      <c r="D2" s="382"/>
      <c r="E2" s="382"/>
      <c r="F2" s="67"/>
      <c r="G2" s="67"/>
      <c r="H2" s="68"/>
      <c r="I2" s="68"/>
      <c r="J2" s="68"/>
      <c r="K2" s="68"/>
      <c r="L2" s="68"/>
      <c r="M2" s="69"/>
      <c r="N2" s="69"/>
      <c r="O2" s="68"/>
      <c r="P2" s="68"/>
      <c r="Q2" s="68"/>
      <c r="R2" s="68"/>
      <c r="S2" s="68"/>
      <c r="T2" s="68"/>
      <c r="U2" s="68"/>
      <c r="V2" s="68"/>
      <c r="W2" s="68"/>
      <c r="X2" s="68"/>
      <c r="Y2" s="68"/>
      <c r="Z2" s="68"/>
      <c r="AA2" s="68"/>
      <c r="AB2" s="68"/>
      <c r="AC2" s="68"/>
      <c r="AD2" s="68"/>
      <c r="AE2" s="68"/>
      <c r="AF2" s="68"/>
      <c r="AG2" s="68"/>
      <c r="AH2" s="68"/>
      <c r="AI2" s="68"/>
      <c r="AJ2" s="68"/>
      <c r="AK2" s="68"/>
    </row>
    <row r="3" spans="1:41" s="274" customFormat="1" ht="18" customHeight="1">
      <c r="B3" s="364" t="s">
        <v>1746</v>
      </c>
      <c r="C3" s="273"/>
      <c r="D3" s="273"/>
      <c r="E3" s="273"/>
      <c r="F3" s="273"/>
      <c r="G3" s="273"/>
      <c r="M3" s="275"/>
      <c r="N3" s="275"/>
      <c r="O3" s="275"/>
    </row>
    <row r="4" spans="1:41" s="246" customFormat="1" ht="6" customHeight="1" thickBot="1">
      <c r="A4" s="68"/>
      <c r="B4" s="67"/>
      <c r="C4" s="67"/>
      <c r="D4" s="382"/>
      <c r="E4" s="382"/>
      <c r="F4" s="67"/>
      <c r="G4" s="67"/>
      <c r="H4" s="68"/>
      <c r="I4" s="68"/>
      <c r="J4" s="68"/>
      <c r="K4" s="68"/>
      <c r="L4" s="68"/>
      <c r="M4" s="69"/>
      <c r="N4" s="69"/>
      <c r="O4" s="68"/>
      <c r="P4" s="68"/>
      <c r="Q4" s="68"/>
      <c r="R4" s="68"/>
      <c r="S4" s="68"/>
      <c r="T4" s="68"/>
      <c r="U4" s="68"/>
      <c r="V4" s="68"/>
      <c r="W4" s="68"/>
      <c r="X4" s="68"/>
      <c r="Y4" s="68"/>
      <c r="Z4" s="68"/>
      <c r="AA4" s="68"/>
      <c r="AB4" s="68"/>
      <c r="AC4" s="68"/>
      <c r="AD4" s="68"/>
      <c r="AE4" s="68"/>
      <c r="AF4" s="68"/>
      <c r="AG4" s="68"/>
      <c r="AH4" s="68"/>
      <c r="AI4" s="68"/>
      <c r="AJ4" s="68"/>
      <c r="AK4" s="68"/>
    </row>
    <row r="5" spans="1:41" ht="24" customHeight="1">
      <c r="B5" s="2530" t="s">
        <v>1428</v>
      </c>
      <c r="C5" s="2531"/>
      <c r="D5" s="2531"/>
      <c r="E5" s="2532"/>
      <c r="F5" s="1275" t="s">
        <v>1429</v>
      </c>
      <c r="G5" s="1277" t="s">
        <v>1430</v>
      </c>
      <c r="H5" s="977" t="s">
        <v>1431</v>
      </c>
      <c r="I5" s="2533" t="s">
        <v>1432</v>
      </c>
      <c r="J5" s="2534"/>
      <c r="K5" s="2534"/>
      <c r="L5" s="2533" t="s">
        <v>1433</v>
      </c>
      <c r="M5" s="2535"/>
      <c r="N5" s="2533" t="s">
        <v>1434</v>
      </c>
      <c r="O5" s="2535"/>
      <c r="P5" s="1047" t="s">
        <v>1435</v>
      </c>
      <c r="Q5" s="484" t="s">
        <v>1436</v>
      </c>
      <c r="R5" s="1047" t="s">
        <v>1437</v>
      </c>
      <c r="S5" s="2536" t="s">
        <v>1438</v>
      </c>
      <c r="T5" s="2524" t="s">
        <v>1439</v>
      </c>
      <c r="U5" s="2525"/>
      <c r="V5" s="2538"/>
      <c r="W5" s="2539" t="s">
        <v>1440</v>
      </c>
      <c r="X5" s="2540"/>
      <c r="Y5" s="931">
        <v>0.93</v>
      </c>
      <c r="Z5" s="2524" t="s">
        <v>1441</v>
      </c>
      <c r="AA5" s="2525"/>
      <c r="AB5" s="1048">
        <v>0.86</v>
      </c>
      <c r="AC5" s="2526" t="s">
        <v>1442</v>
      </c>
      <c r="AD5" s="2525"/>
      <c r="AE5" s="1048">
        <v>0.83</v>
      </c>
      <c r="AF5" s="2524" t="s">
        <v>1443</v>
      </c>
      <c r="AG5" s="2525"/>
      <c r="AH5" s="1048">
        <v>0.75</v>
      </c>
      <c r="AI5" s="2526" t="s">
        <v>1444</v>
      </c>
      <c r="AJ5" s="2525"/>
      <c r="AK5" s="1048">
        <v>0.7</v>
      </c>
      <c r="AL5" s="932"/>
    </row>
    <row r="6" spans="1:41" ht="24" customHeight="1" thickBot="1">
      <c r="B6" s="1044" t="s">
        <v>1445</v>
      </c>
      <c r="C6" s="2527" t="s">
        <v>1446</v>
      </c>
      <c r="D6" s="2527"/>
      <c r="E6" s="383" t="s">
        <v>1447</v>
      </c>
      <c r="F6" s="1276"/>
      <c r="G6" s="1278"/>
      <c r="H6" s="978">
        <v>2.7</v>
      </c>
      <c r="I6" s="933" t="s">
        <v>1448</v>
      </c>
      <c r="J6" s="2528" t="s">
        <v>1449</v>
      </c>
      <c r="K6" s="2529"/>
      <c r="L6" s="933" t="s">
        <v>1448</v>
      </c>
      <c r="M6" s="933" t="s">
        <v>1450</v>
      </c>
      <c r="N6" s="933" t="s">
        <v>1448</v>
      </c>
      <c r="O6" s="933" t="s">
        <v>1450</v>
      </c>
      <c r="P6" s="1046" t="s">
        <v>1448</v>
      </c>
      <c r="Q6" s="933" t="s">
        <v>1451</v>
      </c>
      <c r="R6" s="934" t="s">
        <v>1452</v>
      </c>
      <c r="S6" s="2537"/>
      <c r="T6" s="979" t="s">
        <v>1453</v>
      </c>
      <c r="U6" s="980" t="s">
        <v>1454</v>
      </c>
      <c r="V6" s="981" t="s">
        <v>1455</v>
      </c>
      <c r="W6" s="982" t="s">
        <v>1453</v>
      </c>
      <c r="X6" s="980" t="s">
        <v>1454</v>
      </c>
      <c r="Y6" s="983" t="s">
        <v>1455</v>
      </c>
      <c r="Z6" s="979" t="s">
        <v>1453</v>
      </c>
      <c r="AA6" s="980" t="s">
        <v>1454</v>
      </c>
      <c r="AB6" s="981" t="s">
        <v>1455</v>
      </c>
      <c r="AC6" s="982" t="s">
        <v>1453</v>
      </c>
      <c r="AD6" s="980" t="s">
        <v>1454</v>
      </c>
      <c r="AE6" s="981" t="s">
        <v>1455</v>
      </c>
      <c r="AF6" s="979" t="s">
        <v>1453</v>
      </c>
      <c r="AG6" s="980" t="s">
        <v>1454</v>
      </c>
      <c r="AH6" s="981" t="s">
        <v>1455</v>
      </c>
      <c r="AI6" s="979" t="s">
        <v>1453</v>
      </c>
      <c r="AJ6" s="980" t="s">
        <v>1454</v>
      </c>
      <c r="AK6" s="981" t="s">
        <v>1455</v>
      </c>
      <c r="AL6" s="932"/>
      <c r="AM6" s="935"/>
      <c r="AN6" s="935"/>
      <c r="AO6" s="935"/>
    </row>
    <row r="7" spans="1:41" ht="18" customHeight="1">
      <c r="B7" s="2553" t="s">
        <v>1456</v>
      </c>
      <c r="C7" s="2543" t="s">
        <v>1457</v>
      </c>
      <c r="D7" s="2543"/>
      <c r="E7" s="2544"/>
      <c r="F7" s="2545">
        <v>1000</v>
      </c>
      <c r="G7" s="2547">
        <f>F7*E8</f>
        <v>2000</v>
      </c>
      <c r="H7" s="2549">
        <f>G7*$H$6</f>
        <v>5400</v>
      </c>
      <c r="I7" s="2550">
        <f>G7*12%*12</f>
        <v>2880</v>
      </c>
      <c r="J7" s="2549">
        <f>G7*3%*12</f>
        <v>720</v>
      </c>
      <c r="K7" s="2549">
        <f>G7*7%*12</f>
        <v>1680</v>
      </c>
      <c r="L7" s="2549">
        <f>I7*70%*58%</f>
        <v>1169.2799999999997</v>
      </c>
      <c r="M7" s="2541">
        <f>(J7+K7)*70%*58%</f>
        <v>974.4</v>
      </c>
      <c r="N7" s="2541">
        <f>I7*15%</f>
        <v>432</v>
      </c>
      <c r="O7" s="2541">
        <f>(J7+K7)*15%</f>
        <v>360</v>
      </c>
      <c r="P7" s="2560"/>
      <c r="Q7" s="2541">
        <f>G7*4.5%*12</f>
        <v>1080</v>
      </c>
      <c r="R7" s="2560"/>
      <c r="S7" s="2560"/>
      <c r="T7" s="936">
        <f>H7+(I7/12*9)+J7+(L7/12)+(N7/12)</f>
        <v>8413.44</v>
      </c>
      <c r="U7" s="937">
        <f>H7+I7+J7+L7+N7</f>
        <v>10601.279999999999</v>
      </c>
      <c r="V7" s="938">
        <f>H7+I7+J7+K7+L7+M7+N7+O7+Q7</f>
        <v>14695.679999999998</v>
      </c>
      <c r="W7" s="936">
        <f>T7*$Y$5</f>
        <v>7824.4992000000011</v>
      </c>
      <c r="X7" s="937">
        <f>U7*$Y$5</f>
        <v>9859.1903999999995</v>
      </c>
      <c r="Y7" s="938">
        <f>V7*$Y$5</f>
        <v>13666.982399999999</v>
      </c>
      <c r="Z7" s="936">
        <f>T7*$AB$5</f>
        <v>7235.5583999999999</v>
      </c>
      <c r="AA7" s="937">
        <f t="shared" ref="AA7:AB7" si="0">U7*$AB$5</f>
        <v>9117.1007999999983</v>
      </c>
      <c r="AB7" s="939">
        <f t="shared" si="0"/>
        <v>12638.284799999998</v>
      </c>
      <c r="AC7" s="940">
        <f>T7*$AE$5</f>
        <v>6983.1552000000001</v>
      </c>
      <c r="AD7" s="937">
        <f>U7*$AE$5</f>
        <v>8799.0623999999989</v>
      </c>
      <c r="AE7" s="938">
        <f>V7*$AE$5</f>
        <v>12197.414399999998</v>
      </c>
      <c r="AF7" s="936">
        <f>T7*$AH$5</f>
        <v>6310.08</v>
      </c>
      <c r="AG7" s="937">
        <f>U7*$AH$5</f>
        <v>7950.9599999999991</v>
      </c>
      <c r="AH7" s="939">
        <f>V7*$AH$5</f>
        <v>11021.759999999998</v>
      </c>
      <c r="AI7" s="940">
        <f>T7*$AK$5</f>
        <v>5889.4080000000004</v>
      </c>
      <c r="AJ7" s="937">
        <f>U7*$AK$5</f>
        <v>7420.8959999999988</v>
      </c>
      <c r="AK7" s="939">
        <f>V7*$AK$5</f>
        <v>10286.975999999999</v>
      </c>
      <c r="AL7" s="932"/>
      <c r="AM7" s="935"/>
      <c r="AN7" s="935"/>
      <c r="AO7" s="935"/>
    </row>
    <row r="8" spans="1:41" ht="18" customHeight="1">
      <c r="B8" s="2554"/>
      <c r="C8" s="2561" t="s">
        <v>1458</v>
      </c>
      <c r="D8" s="2561"/>
      <c r="E8" s="388">
        <v>2</v>
      </c>
      <c r="F8" s="2546"/>
      <c r="G8" s="2548"/>
      <c r="H8" s="2541"/>
      <c r="I8" s="2541"/>
      <c r="J8" s="2541"/>
      <c r="K8" s="2549"/>
      <c r="L8" s="2541"/>
      <c r="M8" s="2542"/>
      <c r="N8" s="2542"/>
      <c r="O8" s="2542"/>
      <c r="P8" s="2551"/>
      <c r="Q8" s="2542"/>
      <c r="R8" s="2551"/>
      <c r="S8" s="2551"/>
      <c r="T8" s="389">
        <f t="shared" ref="T8:AK8" si="1">T7/$F$7</f>
        <v>8.4134400000000014</v>
      </c>
      <c r="U8" s="390">
        <f t="shared" si="1"/>
        <v>10.601279999999999</v>
      </c>
      <c r="V8" s="649">
        <f t="shared" si="1"/>
        <v>14.695679999999998</v>
      </c>
      <c r="W8" s="389">
        <f t="shared" si="1"/>
        <v>7.8244992000000009</v>
      </c>
      <c r="X8" s="390">
        <f t="shared" si="1"/>
        <v>9.8591903999999992</v>
      </c>
      <c r="Y8" s="649">
        <f t="shared" si="1"/>
        <v>13.666982399999998</v>
      </c>
      <c r="Z8" s="389">
        <f t="shared" si="1"/>
        <v>7.2355583999999995</v>
      </c>
      <c r="AA8" s="390">
        <f t="shared" si="1"/>
        <v>9.1171007999999976</v>
      </c>
      <c r="AB8" s="391">
        <f t="shared" si="1"/>
        <v>12.638284799999997</v>
      </c>
      <c r="AC8" s="392">
        <f t="shared" si="1"/>
        <v>6.9831552000000006</v>
      </c>
      <c r="AD8" s="390">
        <f t="shared" si="1"/>
        <v>8.7990623999999986</v>
      </c>
      <c r="AE8" s="649">
        <f t="shared" si="1"/>
        <v>12.197414399999998</v>
      </c>
      <c r="AF8" s="389">
        <f t="shared" si="1"/>
        <v>6.3100800000000001</v>
      </c>
      <c r="AG8" s="390">
        <f t="shared" si="1"/>
        <v>7.9509599999999994</v>
      </c>
      <c r="AH8" s="391">
        <f t="shared" si="1"/>
        <v>11.021759999999999</v>
      </c>
      <c r="AI8" s="392">
        <f t="shared" si="1"/>
        <v>5.8894080000000004</v>
      </c>
      <c r="AJ8" s="390">
        <f t="shared" si="1"/>
        <v>7.420895999999999</v>
      </c>
      <c r="AK8" s="391">
        <f t="shared" si="1"/>
        <v>10.286975999999999</v>
      </c>
      <c r="AL8" s="932"/>
      <c r="AM8" s="935"/>
      <c r="AN8" s="935"/>
      <c r="AO8" s="935"/>
    </row>
    <row r="9" spans="1:41" ht="18" customHeight="1">
      <c r="B9" s="2554"/>
      <c r="C9" s="2562" t="s">
        <v>1459</v>
      </c>
      <c r="D9" s="2562"/>
      <c r="E9" s="2563"/>
      <c r="F9" s="2564">
        <v>1000</v>
      </c>
      <c r="G9" s="2565">
        <f>F9*E10</f>
        <v>1700</v>
      </c>
      <c r="H9" s="2557">
        <f t="shared" ref="H9" si="2">G9*$H$6</f>
        <v>4590</v>
      </c>
      <c r="I9" s="2557">
        <f t="shared" ref="I9" si="3">G9*12%*12</f>
        <v>2448</v>
      </c>
      <c r="J9" s="2557">
        <f t="shared" ref="J9" si="4">G9*3%*12</f>
        <v>612</v>
      </c>
      <c r="K9" s="2557">
        <f t="shared" ref="K9" si="5">G9*7%*12</f>
        <v>1428.0000000000002</v>
      </c>
      <c r="L9" s="2557">
        <f t="shared" ref="L9:L19" si="6">I9*70%*58%</f>
        <v>993.88799999999992</v>
      </c>
      <c r="M9" s="2541">
        <f t="shared" ref="M9" si="7">(J9+K9)*70%*58%</f>
        <v>828.2399999999999</v>
      </c>
      <c r="N9" s="2541">
        <f t="shared" ref="N9" si="8">I9*15%</f>
        <v>367.2</v>
      </c>
      <c r="O9" s="2542">
        <f>(J9+K9)*15%</f>
        <v>306</v>
      </c>
      <c r="P9" s="2551"/>
      <c r="Q9" s="2542">
        <f>G9*4.5%*12</f>
        <v>918</v>
      </c>
      <c r="R9" s="2551"/>
      <c r="S9" s="2551"/>
      <c r="T9" s="393">
        <f>H9+(I9/12*9)+J9+(L9/12)+(N9/12)</f>
        <v>7151.424</v>
      </c>
      <c r="U9" s="394">
        <f>H9+I9+J9+L9+N9</f>
        <v>9011.0879999999997</v>
      </c>
      <c r="V9" s="650">
        <f>H9+I9+J9+K9+L9+M9+N9+O9+Q9</f>
        <v>12491.328</v>
      </c>
      <c r="W9" s="393">
        <f>T9*$Y$5</f>
        <v>6650.8243200000006</v>
      </c>
      <c r="X9" s="394">
        <f>U9*$Y$5</f>
        <v>8380.3118400000003</v>
      </c>
      <c r="Y9" s="650">
        <f>V9*$Y$5</f>
        <v>11616.93504</v>
      </c>
      <c r="Z9" s="393">
        <f t="shared" ref="Z9:AB9" si="9">T9*$AB$5</f>
        <v>6150.2246399999995</v>
      </c>
      <c r="AA9" s="394">
        <f t="shared" si="9"/>
        <v>7749.53568</v>
      </c>
      <c r="AB9" s="395">
        <f t="shared" si="9"/>
        <v>10742.542079999999</v>
      </c>
      <c r="AC9" s="396">
        <f>T9*$AE$5</f>
        <v>5935.68192</v>
      </c>
      <c r="AD9" s="394">
        <f>U9*$AE$5</f>
        <v>7479.2030399999994</v>
      </c>
      <c r="AE9" s="650">
        <f>V9*$AE$5</f>
        <v>10367.802239999999</v>
      </c>
      <c r="AF9" s="393">
        <f>T9*$AH$5</f>
        <v>5363.5680000000002</v>
      </c>
      <c r="AG9" s="394">
        <f>U9*$AH$5</f>
        <v>6758.3159999999998</v>
      </c>
      <c r="AH9" s="395">
        <f>V9*$AH$5</f>
        <v>9368.4959999999992</v>
      </c>
      <c r="AI9" s="396">
        <f>T9*$AK$5</f>
        <v>5005.9967999999999</v>
      </c>
      <c r="AJ9" s="394">
        <f>U9*$AK$5</f>
        <v>6307.7615999999998</v>
      </c>
      <c r="AK9" s="395">
        <f>V9*$AK$5</f>
        <v>8743.9295999999995</v>
      </c>
      <c r="AL9" s="932"/>
      <c r="AM9" s="935"/>
      <c r="AN9" s="935"/>
      <c r="AO9" s="935"/>
    </row>
    <row r="10" spans="1:41" ht="18" customHeight="1" thickBot="1">
      <c r="B10" s="2555"/>
      <c r="C10" s="2566" t="s">
        <v>1460</v>
      </c>
      <c r="D10" s="2566"/>
      <c r="E10" s="400">
        <v>1.7</v>
      </c>
      <c r="F10" s="2545"/>
      <c r="G10" s="2547"/>
      <c r="H10" s="2549"/>
      <c r="I10" s="2549"/>
      <c r="J10" s="2549"/>
      <c r="K10" s="2549"/>
      <c r="L10" s="2549"/>
      <c r="M10" s="2557"/>
      <c r="N10" s="2557"/>
      <c r="O10" s="2557"/>
      <c r="P10" s="2552"/>
      <c r="Q10" s="2557"/>
      <c r="R10" s="2552"/>
      <c r="S10" s="2552"/>
      <c r="T10" s="941">
        <f t="shared" ref="T10:AK10" si="10">T9/$F$9</f>
        <v>7.1514239999999996</v>
      </c>
      <c r="U10" s="942">
        <f t="shared" si="10"/>
        <v>9.0110879999999991</v>
      </c>
      <c r="V10" s="943">
        <f t="shared" si="10"/>
        <v>12.491327999999999</v>
      </c>
      <c r="W10" s="944">
        <f t="shared" si="10"/>
        <v>6.6508243200000008</v>
      </c>
      <c r="X10" s="945">
        <f t="shared" si="10"/>
        <v>8.380311840000001</v>
      </c>
      <c r="Y10" s="946">
        <f t="shared" si="10"/>
        <v>11.61693504</v>
      </c>
      <c r="Z10" s="944">
        <f t="shared" si="10"/>
        <v>6.1502246399999994</v>
      </c>
      <c r="AA10" s="945">
        <f t="shared" si="10"/>
        <v>7.7495356800000001</v>
      </c>
      <c r="AB10" s="947">
        <f t="shared" si="10"/>
        <v>10.74254208</v>
      </c>
      <c r="AC10" s="948">
        <f t="shared" si="10"/>
        <v>5.9356819200000004</v>
      </c>
      <c r="AD10" s="945">
        <f t="shared" si="10"/>
        <v>7.4792030399999998</v>
      </c>
      <c r="AE10" s="946">
        <f t="shared" si="10"/>
        <v>10.36780224</v>
      </c>
      <c r="AF10" s="944">
        <f t="shared" si="10"/>
        <v>5.3635679999999999</v>
      </c>
      <c r="AG10" s="945">
        <f t="shared" si="10"/>
        <v>6.7583159999999998</v>
      </c>
      <c r="AH10" s="947">
        <f t="shared" si="10"/>
        <v>9.3684959999999986</v>
      </c>
      <c r="AI10" s="948">
        <f t="shared" si="10"/>
        <v>5.0059968000000001</v>
      </c>
      <c r="AJ10" s="945">
        <f t="shared" si="10"/>
        <v>6.3077616000000001</v>
      </c>
      <c r="AK10" s="947">
        <f t="shared" si="10"/>
        <v>8.7439295999999995</v>
      </c>
      <c r="AL10" s="932"/>
      <c r="AM10" s="935"/>
      <c r="AN10" s="935"/>
      <c r="AO10" s="935"/>
    </row>
    <row r="11" spans="1:41" ht="18" customHeight="1">
      <c r="B11" s="2317" t="s">
        <v>1461</v>
      </c>
      <c r="C11" s="2567" t="s">
        <v>1462</v>
      </c>
      <c r="D11" s="2568"/>
      <c r="E11" s="2569"/>
      <c r="F11" s="2570">
        <v>1000</v>
      </c>
      <c r="G11" s="2550">
        <f>F11*E12</f>
        <v>2000</v>
      </c>
      <c r="H11" s="2550">
        <f t="shared" ref="H11" si="11">G11*$H$6</f>
        <v>5400</v>
      </c>
      <c r="I11" s="2550">
        <f>G11*12%*12</f>
        <v>2880</v>
      </c>
      <c r="J11" s="2550">
        <f>G11*3%*12</f>
        <v>720</v>
      </c>
      <c r="K11" s="2550">
        <f>G11*7%*12</f>
        <v>1680</v>
      </c>
      <c r="L11" s="2550">
        <f t="shared" si="6"/>
        <v>1169.2799999999997</v>
      </c>
      <c r="M11" s="2556">
        <f>(J11+K11)*70%*58%</f>
        <v>974.4</v>
      </c>
      <c r="N11" s="2556">
        <f>I11*15%</f>
        <v>432</v>
      </c>
      <c r="O11" s="2556">
        <f>(J11+K11)*15%</f>
        <v>360</v>
      </c>
      <c r="P11" s="2558"/>
      <c r="Q11" s="2556">
        <f>G11*4.5%*12</f>
        <v>1080</v>
      </c>
      <c r="R11" s="2558">
        <f>G11*7%*24</f>
        <v>3360</v>
      </c>
      <c r="S11" s="2558"/>
      <c r="T11" s="384">
        <f>H11+(I11/12*9)+J11+(L11/12)+(N11/12)</f>
        <v>8413.44</v>
      </c>
      <c r="U11" s="385">
        <f>H11+I11+J11+L11+N11</f>
        <v>10601.279999999999</v>
      </c>
      <c r="V11" s="648">
        <f>H11+I11+J11+K11+L11+M11+N11+O11+Q11+R11</f>
        <v>18055.68</v>
      </c>
      <c r="W11" s="384">
        <f>T11*$Y$5</f>
        <v>7824.4992000000011</v>
      </c>
      <c r="X11" s="385">
        <f>U11*$Y$5</f>
        <v>9859.1903999999995</v>
      </c>
      <c r="Y11" s="648">
        <f>V11*$Y$5</f>
        <v>16791.7824</v>
      </c>
      <c r="Z11" s="384">
        <f>T11*$AB$5</f>
        <v>7235.5583999999999</v>
      </c>
      <c r="AA11" s="385">
        <f>U11*$AB$5</f>
        <v>9117.1007999999983</v>
      </c>
      <c r="AB11" s="386">
        <f>V11*$AB$5</f>
        <v>15527.8848</v>
      </c>
      <c r="AC11" s="387">
        <f>T11*$AE$5</f>
        <v>6983.1552000000001</v>
      </c>
      <c r="AD11" s="385">
        <f>U11*$AE$5</f>
        <v>8799.0623999999989</v>
      </c>
      <c r="AE11" s="648">
        <f>V11*$AE$5</f>
        <v>14986.214399999999</v>
      </c>
      <c r="AF11" s="384">
        <f>T11*$AH$5</f>
        <v>6310.08</v>
      </c>
      <c r="AG11" s="385">
        <f>U11*$AH$5</f>
        <v>7950.9599999999991</v>
      </c>
      <c r="AH11" s="386">
        <f>V11*$AH$5</f>
        <v>13541.76</v>
      </c>
      <c r="AI11" s="387">
        <f>T11*$AK$5</f>
        <v>5889.4080000000004</v>
      </c>
      <c r="AJ11" s="385">
        <f>U11*$AK$5</f>
        <v>7420.8959999999988</v>
      </c>
      <c r="AK11" s="386">
        <f>V11*$AK$5</f>
        <v>12638.975999999999</v>
      </c>
      <c r="AL11" s="932"/>
      <c r="AM11" s="935"/>
      <c r="AN11" s="935"/>
      <c r="AO11" s="935"/>
    </row>
    <row r="12" spans="1:41" ht="18" customHeight="1" thickBot="1">
      <c r="B12" s="2318"/>
      <c r="C12" s="2559" t="s">
        <v>1463</v>
      </c>
      <c r="D12" s="2559"/>
      <c r="E12" s="185">
        <v>2</v>
      </c>
      <c r="F12" s="2546"/>
      <c r="G12" s="2541"/>
      <c r="H12" s="2541"/>
      <c r="I12" s="2549"/>
      <c r="J12" s="2549"/>
      <c r="K12" s="2549"/>
      <c r="L12" s="2541"/>
      <c r="M12" s="2557"/>
      <c r="N12" s="2542"/>
      <c r="O12" s="2557"/>
      <c r="P12" s="2551"/>
      <c r="Q12" s="2542"/>
      <c r="R12" s="2551"/>
      <c r="S12" s="2551"/>
      <c r="T12" s="398">
        <f t="shared" ref="T12:AK12" si="12">T11/$F$11</f>
        <v>8.4134400000000014</v>
      </c>
      <c r="U12" s="399">
        <f t="shared" si="12"/>
        <v>10.601279999999999</v>
      </c>
      <c r="V12" s="653">
        <f t="shared" si="12"/>
        <v>18.055679999999999</v>
      </c>
      <c r="W12" s="389">
        <f t="shared" si="12"/>
        <v>7.8244992000000009</v>
      </c>
      <c r="X12" s="390">
        <f t="shared" si="12"/>
        <v>9.8591903999999992</v>
      </c>
      <c r="Y12" s="649">
        <f t="shared" si="12"/>
        <v>16.791782399999999</v>
      </c>
      <c r="Z12" s="389">
        <f>Z11/$F$11</f>
        <v>7.2355583999999995</v>
      </c>
      <c r="AA12" s="390">
        <f>AA11/$F$11</f>
        <v>9.1171007999999976</v>
      </c>
      <c r="AB12" s="391">
        <f>AB11/$F$11</f>
        <v>15.527884799999999</v>
      </c>
      <c r="AC12" s="392">
        <f t="shared" si="12"/>
        <v>6.9831552000000006</v>
      </c>
      <c r="AD12" s="390">
        <f t="shared" si="12"/>
        <v>8.7990623999999986</v>
      </c>
      <c r="AE12" s="649">
        <f t="shared" si="12"/>
        <v>14.9862144</v>
      </c>
      <c r="AF12" s="389">
        <f t="shared" si="12"/>
        <v>6.3100800000000001</v>
      </c>
      <c r="AG12" s="390">
        <f t="shared" si="12"/>
        <v>7.9509599999999994</v>
      </c>
      <c r="AH12" s="391">
        <f t="shared" si="12"/>
        <v>13.54176</v>
      </c>
      <c r="AI12" s="392">
        <f t="shared" si="12"/>
        <v>5.8894080000000004</v>
      </c>
      <c r="AJ12" s="390">
        <f t="shared" si="12"/>
        <v>7.420895999999999</v>
      </c>
      <c r="AK12" s="391">
        <f t="shared" si="12"/>
        <v>12.638976</v>
      </c>
      <c r="AL12" s="932"/>
      <c r="AM12" s="935"/>
      <c r="AN12" s="935"/>
      <c r="AO12" s="935"/>
    </row>
    <row r="13" spans="1:41" ht="18" customHeight="1">
      <c r="B13" s="2318"/>
      <c r="C13" s="2567" t="s">
        <v>1464</v>
      </c>
      <c r="D13" s="2568"/>
      <c r="E13" s="2569"/>
      <c r="F13" s="2570">
        <v>1000</v>
      </c>
      <c r="G13" s="2550">
        <f>F13*E14</f>
        <v>1800</v>
      </c>
      <c r="H13" s="2550">
        <f t="shared" ref="H13" si="13">G13*$H$6</f>
        <v>4860</v>
      </c>
      <c r="I13" s="2550">
        <f>G13*12%*12</f>
        <v>2592</v>
      </c>
      <c r="J13" s="2550">
        <f>G13*3%*12</f>
        <v>648</v>
      </c>
      <c r="K13" s="2550">
        <f>G13*7%*12</f>
        <v>1512.0000000000002</v>
      </c>
      <c r="L13" s="2550">
        <f t="shared" si="6"/>
        <v>1052.3519999999999</v>
      </c>
      <c r="M13" s="2556">
        <f>(J13+K13)*70%*58%</f>
        <v>876.95999999999992</v>
      </c>
      <c r="N13" s="2556">
        <f>I13*15%</f>
        <v>388.8</v>
      </c>
      <c r="O13" s="2556">
        <f>(J13+K13)*15%</f>
        <v>324</v>
      </c>
      <c r="P13" s="2558"/>
      <c r="Q13" s="2556">
        <f>G13*4.5%*12</f>
        <v>972</v>
      </c>
      <c r="R13" s="2558">
        <f>G13*3.5%*24</f>
        <v>1512.0000000000002</v>
      </c>
      <c r="S13" s="2558"/>
      <c r="T13" s="384">
        <f>H13+(I13/12*9)+J13+(L13/12)+(N13/12)</f>
        <v>7572.0959999999995</v>
      </c>
      <c r="U13" s="385">
        <f>H13+I13+J13+L13+N13</f>
        <v>9541.1519999999982</v>
      </c>
      <c r="V13" s="648">
        <f>H13+I13+J13+K13+L13+M13+N13+O13+Q13+R13</f>
        <v>14738.111999999997</v>
      </c>
      <c r="W13" s="384">
        <f>T13*$Y$5</f>
        <v>7042.0492800000002</v>
      </c>
      <c r="X13" s="385">
        <f>U13*$Y$5</f>
        <v>8873.2713599999988</v>
      </c>
      <c r="Y13" s="648">
        <f>V13*$Y$5</f>
        <v>13706.444159999999</v>
      </c>
      <c r="Z13" s="384">
        <f>T13*$AB$5</f>
        <v>6512.0025599999999</v>
      </c>
      <c r="AA13" s="385">
        <f>U13*$AB$5</f>
        <v>8205.3907199999976</v>
      </c>
      <c r="AB13" s="386">
        <f>V13*$AB$5</f>
        <v>12674.776319999997</v>
      </c>
      <c r="AC13" s="387">
        <f>T13*$AE$5</f>
        <v>6284.8396799999991</v>
      </c>
      <c r="AD13" s="385">
        <f>U13*$AE$5</f>
        <v>7919.1561599999977</v>
      </c>
      <c r="AE13" s="648">
        <f>V13*$AE$5</f>
        <v>12232.632959999997</v>
      </c>
      <c r="AF13" s="384">
        <f>T13*$AH$5</f>
        <v>5679.0720000000001</v>
      </c>
      <c r="AG13" s="385">
        <f>U13*$AH$5</f>
        <v>7155.8639999999987</v>
      </c>
      <c r="AH13" s="386">
        <f>V13*$AH$5</f>
        <v>11053.583999999999</v>
      </c>
      <c r="AI13" s="387">
        <f>T13*$AK$5</f>
        <v>5300.4671999999991</v>
      </c>
      <c r="AJ13" s="385">
        <f>U13*$AK$5</f>
        <v>6678.8063999999986</v>
      </c>
      <c r="AK13" s="386">
        <f>V13*$AK$5</f>
        <v>10316.678399999997</v>
      </c>
      <c r="AL13" s="932"/>
      <c r="AM13" s="935"/>
      <c r="AN13" s="935"/>
      <c r="AO13" s="935"/>
    </row>
    <row r="14" spans="1:41" ht="18" customHeight="1" thickBot="1">
      <c r="B14" s="2318"/>
      <c r="C14" s="2559" t="s">
        <v>1465</v>
      </c>
      <c r="D14" s="2559"/>
      <c r="E14" s="185">
        <v>1.8</v>
      </c>
      <c r="F14" s="2546"/>
      <c r="G14" s="2541"/>
      <c r="H14" s="2541"/>
      <c r="I14" s="2549"/>
      <c r="J14" s="2549"/>
      <c r="K14" s="2549"/>
      <c r="L14" s="2541"/>
      <c r="M14" s="2557"/>
      <c r="N14" s="2542"/>
      <c r="O14" s="2557"/>
      <c r="P14" s="2551"/>
      <c r="Q14" s="2542"/>
      <c r="R14" s="2551"/>
      <c r="S14" s="2551"/>
      <c r="T14" s="398">
        <f>T13/$F$13</f>
        <v>7.5720959999999993</v>
      </c>
      <c r="U14" s="399">
        <f t="shared" ref="U14:AK14" si="14">U13/$F$13</f>
        <v>9.5411519999999985</v>
      </c>
      <c r="V14" s="653">
        <f t="shared" si="14"/>
        <v>14.738111999999997</v>
      </c>
      <c r="W14" s="389">
        <f t="shared" si="14"/>
        <v>7.0420492800000005</v>
      </c>
      <c r="X14" s="390">
        <f t="shared" si="14"/>
        <v>8.8732713599999986</v>
      </c>
      <c r="Y14" s="649">
        <f t="shared" si="14"/>
        <v>13.706444159999998</v>
      </c>
      <c r="Z14" s="389">
        <f t="shared" si="14"/>
        <v>6.51200256</v>
      </c>
      <c r="AA14" s="390">
        <f t="shared" si="14"/>
        <v>8.2053907199999969</v>
      </c>
      <c r="AB14" s="391">
        <f t="shared" si="14"/>
        <v>12.674776319999998</v>
      </c>
      <c r="AC14" s="392">
        <f t="shared" si="14"/>
        <v>6.2848396799999993</v>
      </c>
      <c r="AD14" s="390">
        <f t="shared" si="14"/>
        <v>7.9191561599999973</v>
      </c>
      <c r="AE14" s="649">
        <f t="shared" si="14"/>
        <v>12.232632959999997</v>
      </c>
      <c r="AF14" s="389">
        <f t="shared" si="14"/>
        <v>5.6790719999999997</v>
      </c>
      <c r="AG14" s="390">
        <f t="shared" si="14"/>
        <v>7.1558639999999984</v>
      </c>
      <c r="AH14" s="391">
        <f t="shared" si="14"/>
        <v>11.053583999999999</v>
      </c>
      <c r="AI14" s="392">
        <f t="shared" si="14"/>
        <v>5.300467199999999</v>
      </c>
      <c r="AJ14" s="390">
        <f t="shared" si="14"/>
        <v>6.6788063999999983</v>
      </c>
      <c r="AK14" s="391">
        <f t="shared" si="14"/>
        <v>10.316678399999997</v>
      </c>
      <c r="AL14" s="932"/>
      <c r="AM14" s="935"/>
      <c r="AN14" s="935"/>
      <c r="AO14" s="935"/>
    </row>
    <row r="15" spans="1:41" ht="18" customHeight="1">
      <c r="B15" s="2318"/>
      <c r="C15" s="2567" t="s">
        <v>1466</v>
      </c>
      <c r="D15" s="2568"/>
      <c r="E15" s="2569"/>
      <c r="F15" s="2570">
        <v>1000</v>
      </c>
      <c r="G15" s="2550">
        <f>F15*E16</f>
        <v>2000</v>
      </c>
      <c r="H15" s="2550">
        <f t="shared" ref="H15" si="15">G15*$H$6</f>
        <v>5400</v>
      </c>
      <c r="I15" s="2550">
        <f>G15*12%*12</f>
        <v>2880</v>
      </c>
      <c r="J15" s="2550">
        <f>G15*3%*12</f>
        <v>720</v>
      </c>
      <c r="K15" s="2550">
        <f>G15*7%*12</f>
        <v>1680</v>
      </c>
      <c r="L15" s="2550">
        <f t="shared" si="6"/>
        <v>1169.2799999999997</v>
      </c>
      <c r="M15" s="2556">
        <f>(J15+K15)*70%*58%</f>
        <v>974.4</v>
      </c>
      <c r="N15" s="2556">
        <f>I15*15%</f>
        <v>432</v>
      </c>
      <c r="O15" s="2556">
        <f>(J15+K15)*15%</f>
        <v>360</v>
      </c>
      <c r="P15" s="2558"/>
      <c r="Q15" s="2556">
        <f>G15*4.5%*12</f>
        <v>1080</v>
      </c>
      <c r="R15" s="2558">
        <f>G15*3.5%*24</f>
        <v>1680</v>
      </c>
      <c r="S15" s="2558"/>
      <c r="T15" s="384">
        <f>H15+(I15/12*9)+J15+(L15/12)+(N15/12)</f>
        <v>8413.44</v>
      </c>
      <c r="U15" s="385">
        <f>H15+I15+J15+L15+N15</f>
        <v>10601.279999999999</v>
      </c>
      <c r="V15" s="648">
        <f>H15+I15+J15+K15+L15+M15+N15+O15+Q15+R15</f>
        <v>16375.679999999998</v>
      </c>
      <c r="W15" s="384">
        <f>T15*$Y$5</f>
        <v>7824.4992000000011</v>
      </c>
      <c r="X15" s="385">
        <f>U15*$Y$5</f>
        <v>9859.1903999999995</v>
      </c>
      <c r="Y15" s="648">
        <f>V15*$Y$5</f>
        <v>15229.382399999999</v>
      </c>
      <c r="Z15" s="384">
        <f>T15*$AB$5</f>
        <v>7235.5583999999999</v>
      </c>
      <c r="AA15" s="385">
        <f>U15*$AB$5</f>
        <v>9117.1007999999983</v>
      </c>
      <c r="AB15" s="386">
        <f>V15*$AB$5</f>
        <v>14083.084799999999</v>
      </c>
      <c r="AC15" s="387">
        <f>T15*$AE$5</f>
        <v>6983.1552000000001</v>
      </c>
      <c r="AD15" s="385">
        <f>U15*$AE$5</f>
        <v>8799.0623999999989</v>
      </c>
      <c r="AE15" s="648">
        <f>V15*$AE$5</f>
        <v>13591.814399999997</v>
      </c>
      <c r="AF15" s="384">
        <f>T15*$AH$5</f>
        <v>6310.08</v>
      </c>
      <c r="AG15" s="385">
        <f>U15*$AH$5</f>
        <v>7950.9599999999991</v>
      </c>
      <c r="AH15" s="386">
        <f>V15*$AH$5</f>
        <v>12281.759999999998</v>
      </c>
      <c r="AI15" s="387">
        <f>T15*$AK$5</f>
        <v>5889.4080000000004</v>
      </c>
      <c r="AJ15" s="385">
        <f>U15*$AK$5</f>
        <v>7420.8959999999988</v>
      </c>
      <c r="AK15" s="386">
        <f>V15*$AK$5</f>
        <v>11462.975999999999</v>
      </c>
      <c r="AL15" s="932"/>
      <c r="AM15" s="935"/>
      <c r="AN15" s="935"/>
      <c r="AO15" s="935"/>
    </row>
    <row r="16" spans="1:41" ht="18" customHeight="1">
      <c r="B16" s="2318"/>
      <c r="C16" s="2559" t="s">
        <v>1467</v>
      </c>
      <c r="D16" s="2559"/>
      <c r="E16" s="185">
        <v>2</v>
      </c>
      <c r="F16" s="2546"/>
      <c r="G16" s="2541"/>
      <c r="H16" s="2541"/>
      <c r="I16" s="2549"/>
      <c r="J16" s="2549"/>
      <c r="K16" s="2549"/>
      <c r="L16" s="2541"/>
      <c r="M16" s="2557"/>
      <c r="N16" s="2542"/>
      <c r="O16" s="2557"/>
      <c r="P16" s="2551"/>
      <c r="Q16" s="2542"/>
      <c r="R16" s="2551"/>
      <c r="S16" s="2551"/>
      <c r="T16" s="398">
        <f>T15/$F$15</f>
        <v>8.4134400000000014</v>
      </c>
      <c r="U16" s="399">
        <f t="shared" ref="U16:AK16" si="16">U15/$F$15</f>
        <v>10.601279999999999</v>
      </c>
      <c r="V16" s="653">
        <f t="shared" si="16"/>
        <v>16.375679999999999</v>
      </c>
      <c r="W16" s="389">
        <f t="shared" si="16"/>
        <v>7.8244992000000009</v>
      </c>
      <c r="X16" s="390">
        <f t="shared" si="16"/>
        <v>9.8591903999999992</v>
      </c>
      <c r="Y16" s="649">
        <f t="shared" si="16"/>
        <v>15.229382399999999</v>
      </c>
      <c r="Z16" s="389">
        <f t="shared" si="16"/>
        <v>7.2355583999999995</v>
      </c>
      <c r="AA16" s="390">
        <f t="shared" si="16"/>
        <v>9.1171007999999976</v>
      </c>
      <c r="AB16" s="391">
        <f t="shared" si="16"/>
        <v>14.083084799999998</v>
      </c>
      <c r="AC16" s="392">
        <f t="shared" si="16"/>
        <v>6.9831552000000006</v>
      </c>
      <c r="AD16" s="390">
        <f t="shared" si="16"/>
        <v>8.7990623999999986</v>
      </c>
      <c r="AE16" s="649">
        <f t="shared" si="16"/>
        <v>13.591814399999997</v>
      </c>
      <c r="AF16" s="389">
        <f t="shared" si="16"/>
        <v>6.3100800000000001</v>
      </c>
      <c r="AG16" s="390">
        <f t="shared" si="16"/>
        <v>7.9509599999999994</v>
      </c>
      <c r="AH16" s="391">
        <f t="shared" si="16"/>
        <v>12.281759999999998</v>
      </c>
      <c r="AI16" s="392">
        <f t="shared" si="16"/>
        <v>5.8894080000000004</v>
      </c>
      <c r="AJ16" s="390">
        <f t="shared" si="16"/>
        <v>7.420895999999999</v>
      </c>
      <c r="AK16" s="391">
        <f t="shared" si="16"/>
        <v>11.462975999999999</v>
      </c>
      <c r="AL16" s="932"/>
      <c r="AM16" s="935"/>
      <c r="AN16" s="935"/>
      <c r="AO16" s="935"/>
    </row>
    <row r="17" spans="2:41" ht="18" customHeight="1">
      <c r="B17" s="2318"/>
      <c r="C17" s="2571" t="s">
        <v>1468</v>
      </c>
      <c r="D17" s="2571"/>
      <c r="E17" s="2572"/>
      <c r="F17" s="2573">
        <v>1000</v>
      </c>
      <c r="G17" s="2557">
        <f>F17*E18</f>
        <v>2050</v>
      </c>
      <c r="H17" s="2557">
        <f t="shared" ref="H17" si="17">G17*$H$6</f>
        <v>5535</v>
      </c>
      <c r="I17" s="2542">
        <f>G17*12%*12</f>
        <v>2952</v>
      </c>
      <c r="J17" s="2542">
        <f>G17*3%*12</f>
        <v>738</v>
      </c>
      <c r="K17" s="2542">
        <f>G17*7%*12</f>
        <v>1722</v>
      </c>
      <c r="L17" s="2557">
        <f t="shared" si="6"/>
        <v>1198.5119999999999</v>
      </c>
      <c r="M17" s="2542">
        <f>(J17+K17)*70%*58%</f>
        <v>998.75999999999988</v>
      </c>
      <c r="N17" s="2542">
        <f>I17*15%</f>
        <v>442.8</v>
      </c>
      <c r="O17" s="2542">
        <f>(J17+K17)*15%</f>
        <v>369</v>
      </c>
      <c r="P17" s="2551"/>
      <c r="Q17" s="2542">
        <f>G17*4.5%*12</f>
        <v>1107</v>
      </c>
      <c r="R17" s="2551"/>
      <c r="S17" s="2575"/>
      <c r="T17" s="393">
        <f>H17+(I17/12*9)+J17+(L17/12)+(N17/12)</f>
        <v>8623.7759999999998</v>
      </c>
      <c r="U17" s="394">
        <f>H17+I17+J17+L17+N17</f>
        <v>10866.312</v>
      </c>
      <c r="V17" s="650">
        <f>H17+I17+J17+K17+L17+M17+N17+O17+Q17</f>
        <v>15063.072</v>
      </c>
      <c r="W17" s="393">
        <f>T17*$Y$5</f>
        <v>8020.11168</v>
      </c>
      <c r="X17" s="394">
        <f>U17*$Y$5</f>
        <v>10105.67016</v>
      </c>
      <c r="Y17" s="650">
        <f>V17*$Y$5</f>
        <v>14008.65696</v>
      </c>
      <c r="Z17" s="393">
        <f>T17*$AB$5</f>
        <v>7416.4473600000001</v>
      </c>
      <c r="AA17" s="394">
        <f>U17*$AB$5</f>
        <v>9345.0283199999994</v>
      </c>
      <c r="AB17" s="395">
        <f>V17*$AB$5</f>
        <v>12954.24192</v>
      </c>
      <c r="AC17" s="396">
        <f>T17*$AE$5</f>
        <v>7157.7340799999993</v>
      </c>
      <c r="AD17" s="394">
        <f>U17*$AE$5</f>
        <v>9019.0389599999999</v>
      </c>
      <c r="AE17" s="650">
        <f>V17*$AE$5</f>
        <v>12502.349759999999</v>
      </c>
      <c r="AF17" s="393">
        <f>T17*$AH$5</f>
        <v>6467.8320000000003</v>
      </c>
      <c r="AG17" s="394">
        <f>U17*$AH$5</f>
        <v>8149.7340000000004</v>
      </c>
      <c r="AH17" s="395">
        <f>V17*$AH$5</f>
        <v>11297.304</v>
      </c>
      <c r="AI17" s="396">
        <f>T17*$AK$5</f>
        <v>6036.6431999999995</v>
      </c>
      <c r="AJ17" s="394">
        <f>U17*$AK$5</f>
        <v>7606.4183999999996</v>
      </c>
      <c r="AK17" s="395">
        <f>V17*$AK$5</f>
        <v>10544.150399999999</v>
      </c>
      <c r="AL17" s="932"/>
      <c r="AM17" s="935"/>
      <c r="AN17" s="935"/>
      <c r="AO17" s="935"/>
    </row>
    <row r="18" spans="2:41" ht="18" customHeight="1">
      <c r="B18" s="2318"/>
      <c r="C18" s="2576" t="s">
        <v>1469</v>
      </c>
      <c r="D18" s="2576"/>
      <c r="E18" s="1078">
        <v>2.0499999999999998</v>
      </c>
      <c r="F18" s="2574"/>
      <c r="G18" s="2541"/>
      <c r="H18" s="2541"/>
      <c r="I18" s="2542"/>
      <c r="J18" s="2542"/>
      <c r="K18" s="2542"/>
      <c r="L18" s="2541"/>
      <c r="M18" s="2542"/>
      <c r="N18" s="2542"/>
      <c r="O18" s="2542"/>
      <c r="P18" s="2551"/>
      <c r="Q18" s="2542"/>
      <c r="R18" s="2551"/>
      <c r="S18" s="2575"/>
      <c r="T18" s="398">
        <f>T17/$F$17</f>
        <v>8.6237759999999994</v>
      </c>
      <c r="U18" s="399">
        <f t="shared" ref="U18:AK18" si="18">U17/$F$17</f>
        <v>10.866312000000001</v>
      </c>
      <c r="V18" s="653">
        <f t="shared" si="18"/>
        <v>15.063072</v>
      </c>
      <c r="W18" s="389">
        <f t="shared" si="18"/>
        <v>8.0201116799999994</v>
      </c>
      <c r="X18" s="390">
        <f t="shared" si="18"/>
        <v>10.105670159999999</v>
      </c>
      <c r="Y18" s="649">
        <f t="shared" si="18"/>
        <v>14.00865696</v>
      </c>
      <c r="Z18" s="389">
        <f t="shared" si="18"/>
        <v>7.4164473600000003</v>
      </c>
      <c r="AA18" s="390">
        <f t="shared" si="18"/>
        <v>9.3450283199999991</v>
      </c>
      <c r="AB18" s="391">
        <f t="shared" si="18"/>
        <v>12.954241920000001</v>
      </c>
      <c r="AC18" s="392">
        <f t="shared" si="18"/>
        <v>7.1577340799999991</v>
      </c>
      <c r="AD18" s="390">
        <f t="shared" si="18"/>
        <v>9.0190389599999996</v>
      </c>
      <c r="AE18" s="649">
        <f t="shared" si="18"/>
        <v>12.50234976</v>
      </c>
      <c r="AF18" s="389">
        <f t="shared" si="18"/>
        <v>6.4678320000000005</v>
      </c>
      <c r="AG18" s="390">
        <f t="shared" si="18"/>
        <v>8.1497340000000005</v>
      </c>
      <c r="AH18" s="391">
        <f t="shared" si="18"/>
        <v>11.297304</v>
      </c>
      <c r="AI18" s="392">
        <f t="shared" si="18"/>
        <v>6.0366431999999994</v>
      </c>
      <c r="AJ18" s="390">
        <f t="shared" si="18"/>
        <v>7.6064183999999999</v>
      </c>
      <c r="AK18" s="391">
        <f t="shared" si="18"/>
        <v>10.544150399999999</v>
      </c>
      <c r="AL18" s="932"/>
      <c r="AM18" s="935"/>
      <c r="AN18" s="935"/>
      <c r="AO18" s="935"/>
    </row>
    <row r="19" spans="2:41" ht="18" customHeight="1">
      <c r="B19" s="2318"/>
      <c r="C19" s="2562" t="s">
        <v>1470</v>
      </c>
      <c r="D19" s="2562"/>
      <c r="E19" s="2562"/>
      <c r="F19" s="2545">
        <v>1000</v>
      </c>
      <c r="G19" s="2549">
        <f>F19*E20</f>
        <v>1800</v>
      </c>
      <c r="H19" s="2549">
        <f t="shared" ref="H19" si="19">G19*$H$6</f>
        <v>4860</v>
      </c>
      <c r="I19" s="2541">
        <f>G19*12%*12</f>
        <v>2592</v>
      </c>
      <c r="J19" s="2541">
        <f>G19*3%*12</f>
        <v>648</v>
      </c>
      <c r="K19" s="2541">
        <f>G19*7%*12</f>
        <v>1512.0000000000002</v>
      </c>
      <c r="L19" s="2549">
        <f t="shared" si="6"/>
        <v>1052.3519999999999</v>
      </c>
      <c r="M19" s="2541">
        <f>(J19+K19)*70%*58%</f>
        <v>876.95999999999992</v>
      </c>
      <c r="N19" s="2541">
        <f>I19*15%</f>
        <v>388.8</v>
      </c>
      <c r="O19" s="2541">
        <f>(J19+K19)*15%</f>
        <v>324</v>
      </c>
      <c r="P19" s="2560"/>
      <c r="Q19" s="2541">
        <f>G19*4.5%*12</f>
        <v>972</v>
      </c>
      <c r="R19" s="2560">
        <f>G19*3.5%*24</f>
        <v>1512.0000000000002</v>
      </c>
      <c r="S19" s="2560"/>
      <c r="T19" s="393">
        <f>H19+(I19/12*9)+J19+(L19/12)+(N19/12)</f>
        <v>7572.0959999999995</v>
      </c>
      <c r="U19" s="394">
        <f>H19+I19+J19+L19+N19</f>
        <v>9541.1519999999982</v>
      </c>
      <c r="V19" s="650">
        <f>H19+I19+J19+K19+L19+M19+N19+O19+Q19</f>
        <v>13226.111999999997</v>
      </c>
      <c r="W19" s="393">
        <f>T19*$Y$5</f>
        <v>7042.0492800000002</v>
      </c>
      <c r="X19" s="394">
        <f>U19*$Y$5</f>
        <v>8873.2713599999988</v>
      </c>
      <c r="Y19" s="650">
        <f>V19*$Y$5</f>
        <v>12300.284159999997</v>
      </c>
      <c r="Z19" s="393">
        <f>T19*$AB$5</f>
        <v>6512.0025599999999</v>
      </c>
      <c r="AA19" s="394">
        <f>U19*$AB$5</f>
        <v>8205.3907199999976</v>
      </c>
      <c r="AB19" s="395">
        <f>V19*$AB$5</f>
        <v>11374.456319999998</v>
      </c>
      <c r="AC19" s="396">
        <f>T19*$AE$5</f>
        <v>6284.8396799999991</v>
      </c>
      <c r="AD19" s="394">
        <f>U19*$AE$5</f>
        <v>7919.1561599999977</v>
      </c>
      <c r="AE19" s="650">
        <f>V19*$AE$5</f>
        <v>10977.672959999998</v>
      </c>
      <c r="AF19" s="393">
        <f>T19*$AH$5</f>
        <v>5679.0720000000001</v>
      </c>
      <c r="AG19" s="394">
        <f>U19*$AH$5</f>
        <v>7155.8639999999987</v>
      </c>
      <c r="AH19" s="395">
        <f>V19*$AH$5</f>
        <v>9919.5839999999989</v>
      </c>
      <c r="AI19" s="396">
        <f>T19*$AK$5</f>
        <v>5300.4671999999991</v>
      </c>
      <c r="AJ19" s="394">
        <f>U19*$AK$5</f>
        <v>6678.8063999999986</v>
      </c>
      <c r="AK19" s="395">
        <f>V19*$AK$5</f>
        <v>9258.2783999999974</v>
      </c>
      <c r="AL19" s="932"/>
      <c r="AM19" s="935"/>
      <c r="AN19" s="935"/>
      <c r="AO19" s="935"/>
    </row>
    <row r="20" spans="2:41" ht="18" customHeight="1" thickBot="1">
      <c r="B20" s="2583"/>
      <c r="C20" s="2576" t="s">
        <v>1471</v>
      </c>
      <c r="D20" s="2576"/>
      <c r="E20" s="1078">
        <v>1.8</v>
      </c>
      <c r="F20" s="2545"/>
      <c r="G20" s="2549"/>
      <c r="H20" s="2541"/>
      <c r="I20" s="2542"/>
      <c r="J20" s="2542"/>
      <c r="K20" s="2542"/>
      <c r="L20" s="2549"/>
      <c r="M20" s="2542"/>
      <c r="N20" s="2557"/>
      <c r="O20" s="2542"/>
      <c r="P20" s="2552"/>
      <c r="Q20" s="2557"/>
      <c r="R20" s="2551"/>
      <c r="S20" s="2552"/>
      <c r="T20" s="398">
        <f>T19/$F$19</f>
        <v>7.5720959999999993</v>
      </c>
      <c r="U20" s="399">
        <f t="shared" ref="U20:AK20" si="20">U19/$F$19</f>
        <v>9.5411519999999985</v>
      </c>
      <c r="V20" s="653">
        <f t="shared" si="20"/>
        <v>13.226111999999997</v>
      </c>
      <c r="W20" s="389">
        <f t="shared" si="20"/>
        <v>7.0420492800000005</v>
      </c>
      <c r="X20" s="390">
        <f t="shared" si="20"/>
        <v>8.8732713599999986</v>
      </c>
      <c r="Y20" s="649">
        <f t="shared" si="20"/>
        <v>12.300284159999997</v>
      </c>
      <c r="Z20" s="389">
        <f t="shared" si="20"/>
        <v>6.51200256</v>
      </c>
      <c r="AA20" s="390">
        <f t="shared" si="20"/>
        <v>8.2053907199999969</v>
      </c>
      <c r="AB20" s="391">
        <f t="shared" si="20"/>
        <v>11.374456319999997</v>
      </c>
      <c r="AC20" s="392">
        <f t="shared" si="20"/>
        <v>6.2848396799999993</v>
      </c>
      <c r="AD20" s="390">
        <f t="shared" si="20"/>
        <v>7.9191561599999973</v>
      </c>
      <c r="AE20" s="649">
        <f t="shared" si="20"/>
        <v>10.977672959999998</v>
      </c>
      <c r="AF20" s="389">
        <f t="shared" si="20"/>
        <v>5.6790719999999997</v>
      </c>
      <c r="AG20" s="390">
        <f t="shared" si="20"/>
        <v>7.1558639999999984</v>
      </c>
      <c r="AH20" s="391">
        <f t="shared" si="20"/>
        <v>9.9195839999999986</v>
      </c>
      <c r="AI20" s="392">
        <f t="shared" si="20"/>
        <v>5.300467199999999</v>
      </c>
      <c r="AJ20" s="390">
        <f t="shared" si="20"/>
        <v>6.6788063999999983</v>
      </c>
      <c r="AK20" s="391">
        <f t="shared" si="20"/>
        <v>9.2582783999999982</v>
      </c>
      <c r="AL20" s="932"/>
      <c r="AM20" s="935"/>
      <c r="AN20" s="935"/>
      <c r="AO20" s="935"/>
    </row>
    <row r="21" spans="2:41" ht="18" customHeight="1">
      <c r="B21" s="2584" t="s">
        <v>1472</v>
      </c>
      <c r="C21" s="2577" t="s">
        <v>1473</v>
      </c>
      <c r="D21" s="2577"/>
      <c r="E21" s="2578"/>
      <c r="F21" s="2570">
        <v>1000</v>
      </c>
      <c r="G21" s="2579">
        <f>F21*E22</f>
        <v>850</v>
      </c>
      <c r="H21" s="2550">
        <f t="shared" ref="H21" si="21">G21*$H$6</f>
        <v>2295</v>
      </c>
      <c r="I21" s="2550">
        <f t="shared" ref="I21" si="22">G21*12%*12</f>
        <v>1224</v>
      </c>
      <c r="J21" s="2550">
        <f t="shared" ref="J21" si="23">G21*3%*12</f>
        <v>306</v>
      </c>
      <c r="K21" s="2550">
        <f t="shared" ref="K21" si="24">G21*7%*12</f>
        <v>714.00000000000011</v>
      </c>
      <c r="L21" s="2550">
        <f t="shared" ref="L21" si="25">I21*70%*58%</f>
        <v>496.94399999999996</v>
      </c>
      <c r="M21" s="2556">
        <f t="shared" ref="M21" si="26">(J21+K21)*70%*58%</f>
        <v>414.11999999999995</v>
      </c>
      <c r="N21" s="2556">
        <f t="shared" ref="N21" si="27">I21*15%</f>
        <v>183.6</v>
      </c>
      <c r="O21" s="2556">
        <f>(J21+K21)*15%</f>
        <v>153</v>
      </c>
      <c r="P21" s="2558">
        <f>G21*3.5%*12</f>
        <v>357.00000000000006</v>
      </c>
      <c r="Q21" s="2556">
        <f>G21*4%*12</f>
        <v>408</v>
      </c>
      <c r="R21" s="2558"/>
      <c r="S21" s="2558"/>
      <c r="T21" s="384">
        <f>H21+(I21/12*10)+J21+(L21/12)+(N21/12)+P21</f>
        <v>4034.712</v>
      </c>
      <c r="U21" s="385">
        <f>H21+I21+J21+L21+N21+P21</f>
        <v>4862.5439999999999</v>
      </c>
      <c r="V21" s="648">
        <f>H21+I21+J21+K21+L21+M21+N21+O21+P21+Q21</f>
        <v>6551.6639999999998</v>
      </c>
      <c r="W21" s="384">
        <f>T21*$Y$5</f>
        <v>3752.2821600000002</v>
      </c>
      <c r="X21" s="385">
        <f>U21*$Y$5</f>
        <v>4522.1659200000004</v>
      </c>
      <c r="Y21" s="648">
        <f>V21*$Y$5</f>
        <v>6093.0475200000001</v>
      </c>
      <c r="Z21" s="384">
        <f t="shared" ref="Z21:AB21" si="28">T21*$AB$5</f>
        <v>3469.85232</v>
      </c>
      <c r="AA21" s="385">
        <f t="shared" si="28"/>
        <v>4181.78784</v>
      </c>
      <c r="AB21" s="386">
        <f t="shared" si="28"/>
        <v>5634.4310399999995</v>
      </c>
      <c r="AC21" s="387">
        <f>T21*$AE$5</f>
        <v>3348.8109599999998</v>
      </c>
      <c r="AD21" s="385">
        <f>U21*$AE$5</f>
        <v>4035.9115199999997</v>
      </c>
      <c r="AE21" s="648">
        <f>V21*$AE$5</f>
        <v>5437.8811199999991</v>
      </c>
      <c r="AF21" s="384">
        <f>T21*$AH$5</f>
        <v>3026.0340000000001</v>
      </c>
      <c r="AG21" s="385">
        <f>U21*$AH$5</f>
        <v>3646.9079999999999</v>
      </c>
      <c r="AH21" s="386">
        <f>V21*$AH$5</f>
        <v>4913.7479999999996</v>
      </c>
      <c r="AI21" s="387">
        <f>T21*$AK$5</f>
        <v>2824.2983999999997</v>
      </c>
      <c r="AJ21" s="385">
        <f>U21*$AK$5</f>
        <v>3403.7807999999995</v>
      </c>
      <c r="AK21" s="386">
        <f>V21*$AK$5</f>
        <v>4586.1647999999996</v>
      </c>
      <c r="AL21" s="932"/>
      <c r="AM21" s="935"/>
      <c r="AN21" s="935"/>
      <c r="AO21" s="935"/>
    </row>
    <row r="22" spans="2:41" ht="18" customHeight="1">
      <c r="B22" s="2554"/>
      <c r="C22" s="2566" t="s">
        <v>1474</v>
      </c>
      <c r="D22" s="2566"/>
      <c r="E22" s="400">
        <v>0.85</v>
      </c>
      <c r="F22" s="2545"/>
      <c r="G22" s="2547"/>
      <c r="H22" s="2549"/>
      <c r="I22" s="2549"/>
      <c r="J22" s="2549"/>
      <c r="K22" s="2549"/>
      <c r="L22" s="2549"/>
      <c r="M22" s="2557"/>
      <c r="N22" s="2557"/>
      <c r="O22" s="2557"/>
      <c r="P22" s="2552"/>
      <c r="Q22" s="2557"/>
      <c r="R22" s="2552"/>
      <c r="S22" s="2552"/>
      <c r="T22" s="398">
        <f>T21/$F$21</f>
        <v>4.0347119999999999</v>
      </c>
      <c r="U22" s="399">
        <f t="shared" ref="U22:AK22" si="29">U21/$F$21</f>
        <v>4.8625439999999998</v>
      </c>
      <c r="V22" s="653">
        <f t="shared" si="29"/>
        <v>6.5516639999999997</v>
      </c>
      <c r="W22" s="398">
        <f t="shared" si="29"/>
        <v>3.75228216</v>
      </c>
      <c r="X22" s="399">
        <f t="shared" si="29"/>
        <v>4.52216592</v>
      </c>
      <c r="Y22" s="653">
        <f t="shared" si="29"/>
        <v>6.0930475199999998</v>
      </c>
      <c r="Z22" s="398">
        <f>Z21/$F$21</f>
        <v>3.4698523199999998</v>
      </c>
      <c r="AA22" s="399">
        <f t="shared" ref="AA22:AB22" si="30">AA21/$F$21</f>
        <v>4.1817878400000001</v>
      </c>
      <c r="AB22" s="407">
        <f t="shared" si="30"/>
        <v>5.6344310399999991</v>
      </c>
      <c r="AC22" s="408">
        <f t="shared" si="29"/>
        <v>3.3488109599999998</v>
      </c>
      <c r="AD22" s="399">
        <f t="shared" si="29"/>
        <v>4.03591152</v>
      </c>
      <c r="AE22" s="653">
        <f t="shared" si="29"/>
        <v>5.4378811199999992</v>
      </c>
      <c r="AF22" s="398">
        <f t="shared" si="29"/>
        <v>3.0260340000000001</v>
      </c>
      <c r="AG22" s="399">
        <f t="shared" si="29"/>
        <v>3.6469079999999998</v>
      </c>
      <c r="AH22" s="407">
        <f t="shared" si="29"/>
        <v>4.913748</v>
      </c>
      <c r="AI22" s="408">
        <f t="shared" si="29"/>
        <v>2.8242983999999995</v>
      </c>
      <c r="AJ22" s="399">
        <f t="shared" si="29"/>
        <v>3.4037807999999994</v>
      </c>
      <c r="AK22" s="407">
        <f t="shared" si="29"/>
        <v>4.5861647999999997</v>
      </c>
      <c r="AL22" s="932"/>
      <c r="AM22" s="935"/>
      <c r="AN22" s="935"/>
      <c r="AO22" s="935"/>
    </row>
    <row r="23" spans="2:41" ht="18" customHeight="1">
      <c r="B23" s="2554"/>
      <c r="C23" s="2562" t="s">
        <v>1475</v>
      </c>
      <c r="D23" s="2562"/>
      <c r="E23" s="2563"/>
      <c r="F23" s="2564">
        <v>1000</v>
      </c>
      <c r="G23" s="2565">
        <f>F23*E24</f>
        <v>950</v>
      </c>
      <c r="H23" s="2557">
        <f t="shared" ref="H23" si="31">G23*$H$6</f>
        <v>2565</v>
      </c>
      <c r="I23" s="2557">
        <f t="shared" ref="I23" si="32">G23*12%*12</f>
        <v>1368</v>
      </c>
      <c r="J23" s="2557">
        <f t="shared" ref="J23" si="33">G23*3%*12</f>
        <v>342</v>
      </c>
      <c r="K23" s="2557">
        <f t="shared" ref="K23" si="34">G23*7%*12</f>
        <v>798</v>
      </c>
      <c r="L23" s="2557">
        <f t="shared" ref="L23" si="35">I23*70%*58%</f>
        <v>555.4079999999999</v>
      </c>
      <c r="M23" s="2542">
        <f t="shared" ref="M23" si="36">(J23+K23)*70%*58%</f>
        <v>462.84</v>
      </c>
      <c r="N23" s="2542">
        <f t="shared" ref="N23" si="37">I23*15%</f>
        <v>205.2</v>
      </c>
      <c r="O23" s="2542">
        <f>(J23+K23)*15%</f>
        <v>171</v>
      </c>
      <c r="P23" s="2551">
        <f>G23*3.5%*12</f>
        <v>399</v>
      </c>
      <c r="Q23" s="2542">
        <f>G23*4%*12</f>
        <v>456</v>
      </c>
      <c r="R23" s="2551"/>
      <c r="S23" s="2551"/>
      <c r="T23" s="393">
        <f>H23+(I23/12*10)+J23+(L23/12)+(N23/12)+P23</f>
        <v>4509.384</v>
      </c>
      <c r="U23" s="394">
        <f>H23+I23+J23+L23+N23+P23</f>
        <v>5434.6079999999993</v>
      </c>
      <c r="V23" s="650">
        <f>H23+I23+J23+K23+L23+M23+N23+O23+P23+Q23</f>
        <v>7322.4479999999994</v>
      </c>
      <c r="W23" s="393">
        <f>T23*$Y$5</f>
        <v>4193.7271200000005</v>
      </c>
      <c r="X23" s="394">
        <f>U23*$Y$5</f>
        <v>5054.1854399999993</v>
      </c>
      <c r="Y23" s="650">
        <f>V23*$Y$5</f>
        <v>6809.8766399999995</v>
      </c>
      <c r="Z23" s="393">
        <f t="shared" ref="Z23:AB23" si="38">T23*$AB$5</f>
        <v>3878.07024</v>
      </c>
      <c r="AA23" s="394">
        <f t="shared" si="38"/>
        <v>4673.7628799999993</v>
      </c>
      <c r="AB23" s="395">
        <f t="shared" si="38"/>
        <v>6297.3052799999996</v>
      </c>
      <c r="AC23" s="396">
        <f>T23*$AE$5</f>
        <v>3742.78872</v>
      </c>
      <c r="AD23" s="394">
        <f>U23*$AE$5</f>
        <v>4510.7246399999995</v>
      </c>
      <c r="AE23" s="650">
        <f>V23*$AE$5</f>
        <v>6077.6318399999991</v>
      </c>
      <c r="AF23" s="393">
        <f>T23*$AH$5</f>
        <v>3382.038</v>
      </c>
      <c r="AG23" s="394">
        <f>U23*$AH$5</f>
        <v>4075.9559999999992</v>
      </c>
      <c r="AH23" s="395">
        <f>V23*$AH$5</f>
        <v>5491.8359999999993</v>
      </c>
      <c r="AI23" s="396">
        <f>T23*$AK$5</f>
        <v>3156.5688</v>
      </c>
      <c r="AJ23" s="394">
        <f>U23*$AK$5</f>
        <v>3804.2255999999993</v>
      </c>
      <c r="AK23" s="395">
        <f>V23*$AK$5</f>
        <v>5125.7135999999991</v>
      </c>
      <c r="AL23" s="932"/>
      <c r="AM23" s="935"/>
      <c r="AN23" s="935"/>
      <c r="AO23" s="935"/>
    </row>
    <row r="24" spans="2:41" ht="18" customHeight="1">
      <c r="B24" s="2554"/>
      <c r="C24" s="2561" t="s">
        <v>1474</v>
      </c>
      <c r="D24" s="2561"/>
      <c r="E24" s="388">
        <v>0.95</v>
      </c>
      <c r="F24" s="2546"/>
      <c r="G24" s="2548"/>
      <c r="H24" s="2541"/>
      <c r="I24" s="2541"/>
      <c r="J24" s="2541"/>
      <c r="K24" s="2541"/>
      <c r="L24" s="2541"/>
      <c r="M24" s="2542"/>
      <c r="N24" s="2542"/>
      <c r="O24" s="2542"/>
      <c r="P24" s="2551"/>
      <c r="Q24" s="2542"/>
      <c r="R24" s="2551"/>
      <c r="S24" s="2551"/>
      <c r="T24" s="398">
        <f>T23/$F$23</f>
        <v>4.5093839999999998</v>
      </c>
      <c r="U24" s="399">
        <f t="shared" ref="U24:AK24" si="39">U23/$F$23</f>
        <v>5.434607999999999</v>
      </c>
      <c r="V24" s="653">
        <f t="shared" si="39"/>
        <v>7.3224479999999996</v>
      </c>
      <c r="W24" s="398">
        <f t="shared" si="39"/>
        <v>4.1937271200000001</v>
      </c>
      <c r="X24" s="399">
        <f t="shared" si="39"/>
        <v>5.0541854399999995</v>
      </c>
      <c r="Y24" s="653">
        <f t="shared" si="39"/>
        <v>6.8098766399999997</v>
      </c>
      <c r="Z24" s="398">
        <f>Z23/$F$23</f>
        <v>3.87807024</v>
      </c>
      <c r="AA24" s="399">
        <f t="shared" ref="AA24:AB24" si="40">AA23/$F$23</f>
        <v>4.6737628799999991</v>
      </c>
      <c r="AB24" s="407">
        <f t="shared" si="40"/>
        <v>6.2973052799999998</v>
      </c>
      <c r="AC24" s="408">
        <f t="shared" si="39"/>
        <v>3.7427887200000001</v>
      </c>
      <c r="AD24" s="399">
        <f t="shared" si="39"/>
        <v>4.5107246399999994</v>
      </c>
      <c r="AE24" s="653">
        <f t="shared" si="39"/>
        <v>6.0776318399999987</v>
      </c>
      <c r="AF24" s="398">
        <f t="shared" si="39"/>
        <v>3.3820380000000001</v>
      </c>
      <c r="AG24" s="399">
        <f t="shared" si="39"/>
        <v>4.0759559999999988</v>
      </c>
      <c r="AH24" s="407">
        <f t="shared" si="39"/>
        <v>5.4918359999999993</v>
      </c>
      <c r="AI24" s="408">
        <f t="shared" si="39"/>
        <v>3.1565688000000001</v>
      </c>
      <c r="AJ24" s="399">
        <f t="shared" si="39"/>
        <v>3.8042255999999992</v>
      </c>
      <c r="AK24" s="407">
        <f t="shared" si="39"/>
        <v>5.1257135999999992</v>
      </c>
      <c r="AL24" s="932"/>
      <c r="AM24" s="935"/>
      <c r="AN24" s="935"/>
      <c r="AO24" s="935"/>
    </row>
    <row r="25" spans="2:41" ht="18" customHeight="1">
      <c r="B25" s="2554"/>
      <c r="C25" s="2571" t="s">
        <v>1476</v>
      </c>
      <c r="D25" s="2571"/>
      <c r="E25" s="2572"/>
      <c r="F25" s="2545">
        <v>1000</v>
      </c>
      <c r="G25" s="2547">
        <f>F25*E26</f>
        <v>850</v>
      </c>
      <c r="H25" s="2557">
        <f t="shared" ref="H25" si="41">G25*$H$6</f>
        <v>2295</v>
      </c>
      <c r="I25" s="2557">
        <f t="shared" ref="I25" si="42">G25*12%*12</f>
        <v>1224</v>
      </c>
      <c r="J25" s="2557"/>
      <c r="K25" s="2557">
        <f>G25*10%*12</f>
        <v>1020</v>
      </c>
      <c r="L25" s="2549">
        <f t="shared" ref="L25" si="43">I25*70%*58%</f>
        <v>496.94399999999996</v>
      </c>
      <c r="M25" s="2541">
        <f t="shared" ref="M25" si="44">(J25+K25)*70%*58%</f>
        <v>414.11999999999995</v>
      </c>
      <c r="N25" s="2541">
        <f t="shared" ref="N25" si="45">I25*15%</f>
        <v>183.6</v>
      </c>
      <c r="O25" s="2541">
        <f>(J25+K25)*15%</f>
        <v>153</v>
      </c>
      <c r="P25" s="2560"/>
      <c r="Q25" s="2541">
        <f>G25*4%*12</f>
        <v>408</v>
      </c>
      <c r="R25" s="2560"/>
      <c r="S25" s="2560"/>
      <c r="T25" s="393">
        <f>H25+(I25/12*7)+(L25/12)+(N25/12)</f>
        <v>3065.712</v>
      </c>
      <c r="U25" s="394">
        <f>H25+I25+J25+L25+N25</f>
        <v>4199.5439999999999</v>
      </c>
      <c r="V25" s="650">
        <f>H25+I25+J25+K25+L25+M25+N25+O25+P25+Q25</f>
        <v>6194.6639999999998</v>
      </c>
      <c r="W25" s="393">
        <f>T25*$Y$5</f>
        <v>2851.1121600000001</v>
      </c>
      <c r="X25" s="394">
        <f>U25*$Y$5</f>
        <v>3905.5759200000002</v>
      </c>
      <c r="Y25" s="650">
        <f>V25*$Y$5</f>
        <v>5761.0375199999999</v>
      </c>
      <c r="Z25" s="393">
        <f t="shared" ref="Z25:AB25" si="46">T25*$AB$5</f>
        <v>2636.5123199999998</v>
      </c>
      <c r="AA25" s="394">
        <f t="shared" si="46"/>
        <v>3611.6078399999997</v>
      </c>
      <c r="AB25" s="395">
        <f t="shared" si="46"/>
        <v>5327.41104</v>
      </c>
      <c r="AC25" s="396">
        <f>T25*$AE$5</f>
        <v>2544.5409599999998</v>
      </c>
      <c r="AD25" s="394">
        <f>U25*$AE$5</f>
        <v>3485.6215199999997</v>
      </c>
      <c r="AE25" s="650">
        <f>V25*$AE$5</f>
        <v>5141.5711199999996</v>
      </c>
      <c r="AF25" s="393">
        <f>T25*$AH$5</f>
        <v>2299.2840000000001</v>
      </c>
      <c r="AG25" s="394">
        <f>U25*$AH$5</f>
        <v>3149.6579999999999</v>
      </c>
      <c r="AH25" s="395">
        <f>V25*$AH$5</f>
        <v>4645.9979999999996</v>
      </c>
      <c r="AI25" s="396">
        <f>T25*$AK$5</f>
        <v>2145.9983999999999</v>
      </c>
      <c r="AJ25" s="394">
        <f>U25*$AK$5</f>
        <v>2939.6807999999996</v>
      </c>
      <c r="AK25" s="395">
        <f>V25*$AK$5</f>
        <v>4336.2647999999999</v>
      </c>
      <c r="AL25" s="932"/>
      <c r="AM25" s="935"/>
      <c r="AN25" s="935"/>
      <c r="AO25" s="935"/>
    </row>
    <row r="26" spans="2:41" ht="18" customHeight="1" thickBot="1">
      <c r="B26" s="2585"/>
      <c r="C26" s="2586" t="s">
        <v>1477</v>
      </c>
      <c r="D26" s="2586"/>
      <c r="E26" s="397">
        <v>0.85</v>
      </c>
      <c r="F26" s="2591"/>
      <c r="G26" s="2592"/>
      <c r="H26" s="2581"/>
      <c r="I26" s="2581"/>
      <c r="J26" s="2581"/>
      <c r="K26" s="2581"/>
      <c r="L26" s="2581"/>
      <c r="M26" s="2582"/>
      <c r="N26" s="2582"/>
      <c r="O26" s="2582"/>
      <c r="P26" s="2580"/>
      <c r="Q26" s="2582"/>
      <c r="R26" s="2580"/>
      <c r="S26" s="2580"/>
      <c r="T26" s="401">
        <f t="shared" ref="T26:AK26" si="47">T25/$F$25</f>
        <v>3.065712</v>
      </c>
      <c r="U26" s="402">
        <f t="shared" si="47"/>
        <v>4.1995439999999995</v>
      </c>
      <c r="V26" s="651">
        <f t="shared" si="47"/>
        <v>6.1946639999999995</v>
      </c>
      <c r="W26" s="401">
        <f t="shared" si="47"/>
        <v>2.85111216</v>
      </c>
      <c r="X26" s="402">
        <f t="shared" si="47"/>
        <v>3.9055759200000004</v>
      </c>
      <c r="Y26" s="651">
        <f t="shared" si="47"/>
        <v>5.7610375199999995</v>
      </c>
      <c r="Z26" s="401">
        <f>Z25/$F$25</f>
        <v>2.63651232</v>
      </c>
      <c r="AA26" s="402">
        <f t="shared" ref="AA26:AB26" si="48">AA25/$F$25</f>
        <v>3.6116078399999996</v>
      </c>
      <c r="AB26" s="409">
        <f t="shared" si="48"/>
        <v>5.3274110400000003</v>
      </c>
      <c r="AC26" s="410">
        <f t="shared" si="47"/>
        <v>2.54454096</v>
      </c>
      <c r="AD26" s="402">
        <f t="shared" si="47"/>
        <v>3.4856215199999996</v>
      </c>
      <c r="AE26" s="651">
        <f t="shared" si="47"/>
        <v>5.1415711200000001</v>
      </c>
      <c r="AF26" s="401">
        <f t="shared" si="47"/>
        <v>2.2992840000000001</v>
      </c>
      <c r="AG26" s="402">
        <f t="shared" si="47"/>
        <v>3.1496580000000001</v>
      </c>
      <c r="AH26" s="409">
        <f t="shared" si="47"/>
        <v>4.6459979999999996</v>
      </c>
      <c r="AI26" s="410">
        <f t="shared" si="47"/>
        <v>2.1459983999999999</v>
      </c>
      <c r="AJ26" s="402">
        <f t="shared" si="47"/>
        <v>2.9396807999999996</v>
      </c>
      <c r="AK26" s="404">
        <f t="shared" si="47"/>
        <v>4.3362648000000004</v>
      </c>
      <c r="AL26" s="932"/>
      <c r="AM26" s="935"/>
      <c r="AN26" s="935"/>
      <c r="AO26" s="935"/>
    </row>
    <row r="27" spans="2:41" ht="18" customHeight="1">
      <c r="B27" s="2318" t="s">
        <v>1478</v>
      </c>
      <c r="C27" s="2587" t="s">
        <v>1479</v>
      </c>
      <c r="D27" s="2588"/>
      <c r="E27" s="2589"/>
      <c r="F27" s="2590">
        <v>1000</v>
      </c>
      <c r="G27" s="2549">
        <f>F27*E28</f>
        <v>600</v>
      </c>
      <c r="H27" s="2549">
        <f t="shared" ref="H27" si="49">G27*$H$6</f>
        <v>1620</v>
      </c>
      <c r="I27" s="2549">
        <f t="shared" ref="I27" si="50">G27*12%*12</f>
        <v>864</v>
      </c>
      <c r="J27" s="2549"/>
      <c r="K27" s="2560">
        <f t="shared" ref="K27" si="51">G27*10%*12</f>
        <v>720</v>
      </c>
      <c r="L27" s="2549">
        <f t="shared" ref="L27" si="52">I27*70%*58%</f>
        <v>350.78399999999993</v>
      </c>
      <c r="M27" s="2549">
        <f t="shared" ref="M27" si="53">(J27+K27)*70%*58%</f>
        <v>292.31999999999994</v>
      </c>
      <c r="N27" s="2541">
        <f t="shared" ref="N27" si="54">I27*15%</f>
        <v>129.6</v>
      </c>
      <c r="O27" s="2541">
        <f>(J27+K27)*15%</f>
        <v>108</v>
      </c>
      <c r="P27" s="2560"/>
      <c r="Q27" s="2541">
        <f>G27*3%*12</f>
        <v>216</v>
      </c>
      <c r="R27" s="2560"/>
      <c r="S27" s="2560"/>
      <c r="T27" s="936">
        <f>H27+(I27/12*7)+(L27/12)+(N27/12)</f>
        <v>2164.0320000000002</v>
      </c>
      <c r="U27" s="937">
        <f>H27+I27+J27+L27+N27</f>
        <v>2964.384</v>
      </c>
      <c r="V27" s="938">
        <f>H27+I27+J27+K27+L27+M27+N27+O27+P27+Q27</f>
        <v>4300.7039999999997</v>
      </c>
      <c r="W27" s="936">
        <f>T27*$Y$5</f>
        <v>2012.5497600000003</v>
      </c>
      <c r="X27" s="937">
        <f>U27*$Y$5</f>
        <v>2756.8771200000001</v>
      </c>
      <c r="Y27" s="938">
        <f>V27*$Y$5</f>
        <v>3999.65472</v>
      </c>
      <c r="Z27" s="936">
        <f t="shared" ref="Z27:AB27" si="55">T27*$AB$5</f>
        <v>1861.0675200000001</v>
      </c>
      <c r="AA27" s="937">
        <f t="shared" si="55"/>
        <v>2549.3702400000002</v>
      </c>
      <c r="AB27" s="939">
        <f t="shared" si="55"/>
        <v>3698.6054399999998</v>
      </c>
      <c r="AC27" s="940">
        <f>T27*$AE$5</f>
        <v>1796.1465600000001</v>
      </c>
      <c r="AD27" s="937">
        <f>U27*$AE$5</f>
        <v>2460.4387200000001</v>
      </c>
      <c r="AE27" s="938">
        <f>V27*$AE$5</f>
        <v>3569.5843199999995</v>
      </c>
      <c r="AF27" s="936">
        <f>T27*$AH$5</f>
        <v>1623.0240000000001</v>
      </c>
      <c r="AG27" s="937">
        <f>U27*$AH$5</f>
        <v>2223.288</v>
      </c>
      <c r="AH27" s="939">
        <f>V27*$AH$5</f>
        <v>3225.5279999999998</v>
      </c>
      <c r="AI27" s="940">
        <f>T27*$AK$5</f>
        <v>1514.8224</v>
      </c>
      <c r="AJ27" s="937">
        <f>U27*$AK$5</f>
        <v>2075.0688</v>
      </c>
      <c r="AK27" s="939">
        <f>V27*$AK$5</f>
        <v>3010.4927999999995</v>
      </c>
      <c r="AL27" s="932"/>
      <c r="AM27" s="935"/>
      <c r="AN27" s="935"/>
      <c r="AO27" s="935"/>
    </row>
    <row r="28" spans="2:41" ht="18" customHeight="1">
      <c r="B28" s="2318"/>
      <c r="C28" s="2561" t="s">
        <v>810</v>
      </c>
      <c r="D28" s="2561"/>
      <c r="E28" s="388">
        <v>0.6</v>
      </c>
      <c r="F28" s="2574"/>
      <c r="G28" s="2541"/>
      <c r="H28" s="2541"/>
      <c r="I28" s="2541"/>
      <c r="J28" s="2541"/>
      <c r="K28" s="2551"/>
      <c r="L28" s="2541"/>
      <c r="M28" s="2541"/>
      <c r="N28" s="2542"/>
      <c r="O28" s="2542"/>
      <c r="P28" s="2551"/>
      <c r="Q28" s="2542"/>
      <c r="R28" s="2551"/>
      <c r="S28" s="2551"/>
      <c r="T28" s="389">
        <f t="shared" ref="T28:AK28" si="56">T27/$F27</f>
        <v>2.1640320000000002</v>
      </c>
      <c r="U28" s="390">
        <f t="shared" si="56"/>
        <v>2.9643839999999999</v>
      </c>
      <c r="V28" s="649">
        <f t="shared" si="56"/>
        <v>4.3007039999999996</v>
      </c>
      <c r="W28" s="389">
        <f t="shared" si="56"/>
        <v>2.0125497600000002</v>
      </c>
      <c r="X28" s="390">
        <f t="shared" si="56"/>
        <v>2.75687712</v>
      </c>
      <c r="Y28" s="649">
        <f t="shared" si="56"/>
        <v>3.9996547200000001</v>
      </c>
      <c r="Z28" s="389">
        <f t="shared" si="56"/>
        <v>1.86106752</v>
      </c>
      <c r="AA28" s="390">
        <f t="shared" si="56"/>
        <v>2.54937024</v>
      </c>
      <c r="AB28" s="391">
        <f t="shared" si="56"/>
        <v>3.6986054399999997</v>
      </c>
      <c r="AC28" s="392">
        <f t="shared" si="56"/>
        <v>1.7961465600000002</v>
      </c>
      <c r="AD28" s="390">
        <f t="shared" si="56"/>
        <v>2.46043872</v>
      </c>
      <c r="AE28" s="649">
        <f t="shared" si="56"/>
        <v>3.5695843199999997</v>
      </c>
      <c r="AF28" s="389">
        <f t="shared" si="56"/>
        <v>1.623024</v>
      </c>
      <c r="AG28" s="390">
        <f t="shared" si="56"/>
        <v>2.2232880000000002</v>
      </c>
      <c r="AH28" s="391">
        <f t="shared" si="56"/>
        <v>3.2255279999999997</v>
      </c>
      <c r="AI28" s="392">
        <f t="shared" si="56"/>
        <v>1.5148224000000001</v>
      </c>
      <c r="AJ28" s="390">
        <f t="shared" si="56"/>
        <v>2.0750687999999999</v>
      </c>
      <c r="AK28" s="391">
        <f t="shared" si="56"/>
        <v>3.0104927999999997</v>
      </c>
      <c r="AL28" s="932"/>
      <c r="AM28" s="935"/>
      <c r="AN28" s="935"/>
      <c r="AO28" s="935"/>
    </row>
    <row r="29" spans="2:41" ht="18" customHeight="1">
      <c r="B29" s="2318"/>
      <c r="C29" s="2587" t="s">
        <v>1480</v>
      </c>
      <c r="D29" s="2588"/>
      <c r="E29" s="2589"/>
      <c r="F29" s="2590">
        <v>1000</v>
      </c>
      <c r="G29" s="2549">
        <f>F29*E30</f>
        <v>830</v>
      </c>
      <c r="H29" s="2549">
        <f t="shared" ref="H29" si="57">G29*$H$6</f>
        <v>2241</v>
      </c>
      <c r="I29" s="2549">
        <f t="shared" ref="I29" si="58">G29*12%*12</f>
        <v>1195.1999999999998</v>
      </c>
      <c r="J29" s="2549"/>
      <c r="K29" s="2560">
        <f t="shared" ref="K29" si="59">G29*10%*12</f>
        <v>996</v>
      </c>
      <c r="L29" s="2549">
        <f t="shared" ref="L29" si="60">I29*70%*58%</f>
        <v>485.25119999999987</v>
      </c>
      <c r="M29" s="2549">
        <f t="shared" ref="M29" si="61">(J29+K29)*70%*58%</f>
        <v>404.37599999999992</v>
      </c>
      <c r="N29" s="2541">
        <f t="shared" ref="N29" si="62">I29*15%</f>
        <v>179.27999999999997</v>
      </c>
      <c r="O29" s="2541">
        <f>(J29+K29)*15%</f>
        <v>149.4</v>
      </c>
      <c r="P29" s="2560"/>
      <c r="Q29" s="2541">
        <f>G29*3%*12</f>
        <v>298.79999999999995</v>
      </c>
      <c r="R29" s="2560"/>
      <c r="S29" s="2560"/>
      <c r="T29" s="936">
        <f>H29+(I29/12*7)+(L29/12)+(N29/12)</f>
        <v>2993.5776000000001</v>
      </c>
      <c r="U29" s="937">
        <f>H29+I29+J29+L29+N29</f>
        <v>4100.7311999999993</v>
      </c>
      <c r="V29" s="938">
        <f>H29+I29+J29+K29+L29+M29+N29+O29+P29+Q29</f>
        <v>5949.3071999999993</v>
      </c>
      <c r="W29" s="936">
        <f>T29*$Y$5</f>
        <v>2784.0271680000001</v>
      </c>
      <c r="X29" s="937">
        <f>U29*$Y$5</f>
        <v>3813.6800159999993</v>
      </c>
      <c r="Y29" s="938">
        <f>V29*$Y$5</f>
        <v>5532.8556959999996</v>
      </c>
      <c r="Z29" s="393">
        <f t="shared" ref="Z29:AB29" si="63">T29*$AB$5</f>
        <v>2574.4767360000001</v>
      </c>
      <c r="AA29" s="394">
        <f t="shared" si="63"/>
        <v>3526.6288319999994</v>
      </c>
      <c r="AB29" s="395">
        <f t="shared" si="63"/>
        <v>5116.4041919999991</v>
      </c>
      <c r="AC29" s="940">
        <f>T29*$AE$5</f>
        <v>2484.6694079999997</v>
      </c>
      <c r="AD29" s="937">
        <f>U29*$AE$5</f>
        <v>3403.6068959999993</v>
      </c>
      <c r="AE29" s="938">
        <f>V29*$AE$5</f>
        <v>4937.9249759999993</v>
      </c>
      <c r="AF29" s="936">
        <f>T29*$AH$5</f>
        <v>2245.1831999999999</v>
      </c>
      <c r="AG29" s="937">
        <f>U29*$AH$5</f>
        <v>3075.5483999999997</v>
      </c>
      <c r="AH29" s="939">
        <f>V29*$AH$5</f>
        <v>4461.9803999999995</v>
      </c>
      <c r="AI29" s="940">
        <f>T29*$AK$5</f>
        <v>2095.50432</v>
      </c>
      <c r="AJ29" s="937">
        <f>U29*$AK$5</f>
        <v>2870.5118399999992</v>
      </c>
      <c r="AK29" s="939">
        <f>V29*$AK$5</f>
        <v>4164.5150399999993</v>
      </c>
      <c r="AL29" s="932"/>
      <c r="AM29" s="935"/>
      <c r="AN29" s="935"/>
      <c r="AO29" s="935"/>
    </row>
    <row r="30" spans="2:41" ht="18" customHeight="1" thickBot="1">
      <c r="B30" s="2583"/>
      <c r="C30" s="2586" t="s">
        <v>1481</v>
      </c>
      <c r="D30" s="2586"/>
      <c r="E30" s="397">
        <v>0.83</v>
      </c>
      <c r="F30" s="2593"/>
      <c r="G30" s="2581"/>
      <c r="H30" s="2581"/>
      <c r="I30" s="2581"/>
      <c r="J30" s="2581"/>
      <c r="K30" s="2580"/>
      <c r="L30" s="2581"/>
      <c r="M30" s="2581"/>
      <c r="N30" s="2582"/>
      <c r="O30" s="2582"/>
      <c r="P30" s="2580"/>
      <c r="Q30" s="2582"/>
      <c r="R30" s="2580"/>
      <c r="S30" s="2580"/>
      <c r="T30" s="405">
        <f t="shared" ref="T30:AK30" si="64">T29/$F29</f>
        <v>2.9935776000000001</v>
      </c>
      <c r="U30" s="403">
        <f t="shared" si="64"/>
        <v>4.1007311999999994</v>
      </c>
      <c r="V30" s="652">
        <f t="shared" si="64"/>
        <v>5.9493071999999989</v>
      </c>
      <c r="W30" s="405">
        <f t="shared" si="64"/>
        <v>2.7840271680000002</v>
      </c>
      <c r="X30" s="403">
        <f t="shared" si="64"/>
        <v>3.8136800159999993</v>
      </c>
      <c r="Y30" s="652">
        <f t="shared" si="64"/>
        <v>5.5328556959999995</v>
      </c>
      <c r="Z30" s="389">
        <f t="shared" si="64"/>
        <v>2.5744767360000003</v>
      </c>
      <c r="AA30" s="390">
        <f t="shared" si="64"/>
        <v>3.5266288319999992</v>
      </c>
      <c r="AB30" s="391">
        <f t="shared" si="64"/>
        <v>5.1164041919999992</v>
      </c>
      <c r="AC30" s="406">
        <f t="shared" si="64"/>
        <v>2.4846694079999998</v>
      </c>
      <c r="AD30" s="403">
        <f t="shared" si="64"/>
        <v>3.4036068959999994</v>
      </c>
      <c r="AE30" s="652">
        <f t="shared" si="64"/>
        <v>4.9379249759999997</v>
      </c>
      <c r="AF30" s="405">
        <f t="shared" si="64"/>
        <v>2.2451832</v>
      </c>
      <c r="AG30" s="403">
        <f t="shared" si="64"/>
        <v>3.0755483999999997</v>
      </c>
      <c r="AH30" s="404">
        <f t="shared" si="64"/>
        <v>4.4619803999999998</v>
      </c>
      <c r="AI30" s="406">
        <f t="shared" si="64"/>
        <v>2.0955043199999999</v>
      </c>
      <c r="AJ30" s="403">
        <f t="shared" si="64"/>
        <v>2.8705118399999994</v>
      </c>
      <c r="AK30" s="404">
        <f t="shared" si="64"/>
        <v>4.1645150399999995</v>
      </c>
      <c r="AL30" s="932"/>
      <c r="AM30" s="935"/>
      <c r="AN30" s="935"/>
      <c r="AO30" s="935"/>
    </row>
    <row r="31" spans="2:41" ht="18" customHeight="1">
      <c r="B31" s="2596" t="s">
        <v>1482</v>
      </c>
      <c r="C31" s="949" t="s">
        <v>67</v>
      </c>
      <c r="D31" s="440" t="s">
        <v>1483</v>
      </c>
      <c r="E31" s="441" t="s">
        <v>1484</v>
      </c>
      <c r="F31" s="2545">
        <v>100000</v>
      </c>
      <c r="G31" s="2547"/>
      <c r="H31" s="2598"/>
      <c r="I31" s="2549"/>
      <c r="J31" s="2549"/>
      <c r="K31" s="2549"/>
      <c r="L31" s="2549"/>
      <c r="M31" s="2541"/>
      <c r="N31" s="2541"/>
      <c r="O31" s="2541"/>
      <c r="P31" s="2560"/>
      <c r="Q31" s="2549"/>
      <c r="R31" s="2549"/>
      <c r="S31" s="2594">
        <f>F31*E32</f>
        <v>1600</v>
      </c>
      <c r="T31" s="936">
        <f>H31+I31+L31+N31+S31</f>
        <v>1600</v>
      </c>
      <c r="U31" s="937">
        <f>T31</f>
        <v>1600</v>
      </c>
      <c r="V31" s="938">
        <f>T31</f>
        <v>1600</v>
      </c>
      <c r="W31" s="936">
        <f>T31*$Y$5</f>
        <v>1488</v>
      </c>
      <c r="X31" s="937">
        <f>U31*$Y$5</f>
        <v>1488</v>
      </c>
      <c r="Y31" s="938">
        <f>V31*$Y$5</f>
        <v>1488</v>
      </c>
      <c r="Z31" s="393">
        <f t="shared" ref="Z31:AB31" si="65">T31*$AB$5</f>
        <v>1376</v>
      </c>
      <c r="AA31" s="394">
        <f t="shared" si="65"/>
        <v>1376</v>
      </c>
      <c r="AB31" s="395">
        <f t="shared" si="65"/>
        <v>1376</v>
      </c>
      <c r="AC31" s="940">
        <f>T31*$AE$5</f>
        <v>1328</v>
      </c>
      <c r="AD31" s="937">
        <f>U31*$AE$5</f>
        <v>1328</v>
      </c>
      <c r="AE31" s="938">
        <f>V31*$AE$5</f>
        <v>1328</v>
      </c>
      <c r="AF31" s="936">
        <f>T31*$AH$5</f>
        <v>1200</v>
      </c>
      <c r="AG31" s="937">
        <f>U31*$AH$5</f>
        <v>1200</v>
      </c>
      <c r="AH31" s="939">
        <f>V31*$AH$5</f>
        <v>1200</v>
      </c>
      <c r="AI31" s="940">
        <f>T31*$AK$5</f>
        <v>1120</v>
      </c>
      <c r="AJ31" s="937">
        <f>U31*$AK$5</f>
        <v>1120</v>
      </c>
      <c r="AK31" s="939">
        <f>V31*$AK$5</f>
        <v>1120</v>
      </c>
      <c r="AL31" s="932"/>
      <c r="AM31" s="935"/>
      <c r="AN31" s="935"/>
      <c r="AO31" s="935"/>
    </row>
    <row r="32" spans="2:41" ht="18" customHeight="1" thickBot="1">
      <c r="B32" s="2597"/>
      <c r="C32" s="411" t="s">
        <v>1485</v>
      </c>
      <c r="D32" s="412">
        <v>0</v>
      </c>
      <c r="E32" s="413">
        <v>1.6E-2</v>
      </c>
      <c r="F32" s="2591"/>
      <c r="G32" s="2592"/>
      <c r="H32" s="2599"/>
      <c r="I32" s="2581"/>
      <c r="J32" s="2581"/>
      <c r="K32" s="2581"/>
      <c r="L32" s="2581"/>
      <c r="M32" s="2582"/>
      <c r="N32" s="2582"/>
      <c r="O32" s="2582"/>
      <c r="P32" s="2580"/>
      <c r="Q32" s="2581"/>
      <c r="R32" s="2581"/>
      <c r="S32" s="2595"/>
      <c r="T32" s="414">
        <f>T31/$F$31</f>
        <v>1.6E-2</v>
      </c>
      <c r="U32" s="415">
        <f t="shared" ref="U32:V32" si="66">U31/$F$31</f>
        <v>1.6E-2</v>
      </c>
      <c r="V32" s="654">
        <f t="shared" si="66"/>
        <v>1.6E-2</v>
      </c>
      <c r="W32" s="414">
        <f>W31/$F$31</f>
        <v>1.4880000000000001E-2</v>
      </c>
      <c r="X32" s="415">
        <f t="shared" ref="X32:Y32" si="67">X31/$F$31</f>
        <v>1.4880000000000001E-2</v>
      </c>
      <c r="Y32" s="654">
        <f t="shared" si="67"/>
        <v>1.4880000000000001E-2</v>
      </c>
      <c r="Z32" s="414">
        <f>Z31/$F$31</f>
        <v>1.376E-2</v>
      </c>
      <c r="AA32" s="415">
        <f t="shared" ref="AA32:AB32" si="68">AA31/$F$31</f>
        <v>1.376E-2</v>
      </c>
      <c r="AB32" s="416">
        <f t="shared" si="68"/>
        <v>1.376E-2</v>
      </c>
      <c r="AC32" s="417">
        <f>AC31/$F$31</f>
        <v>1.328E-2</v>
      </c>
      <c r="AD32" s="415">
        <f t="shared" ref="AD32:AE32" si="69">AD31/$F$31</f>
        <v>1.328E-2</v>
      </c>
      <c r="AE32" s="654">
        <f t="shared" si="69"/>
        <v>1.328E-2</v>
      </c>
      <c r="AF32" s="414">
        <f>AF31/$F$31</f>
        <v>1.2E-2</v>
      </c>
      <c r="AG32" s="415">
        <f t="shared" ref="AG32:AH32" si="70">AG31/$F$31</f>
        <v>1.2E-2</v>
      </c>
      <c r="AH32" s="416">
        <f t="shared" si="70"/>
        <v>1.2E-2</v>
      </c>
      <c r="AI32" s="417">
        <f>AI31/$F$31</f>
        <v>1.12E-2</v>
      </c>
      <c r="AJ32" s="415">
        <f t="shared" ref="AJ32:AK32" si="71">AJ31/$F$31</f>
        <v>1.12E-2</v>
      </c>
      <c r="AK32" s="416">
        <f t="shared" si="71"/>
        <v>1.12E-2</v>
      </c>
      <c r="AL32" s="932"/>
      <c r="AM32" s="935"/>
      <c r="AN32" s="935"/>
      <c r="AO32" s="935"/>
    </row>
    <row r="33" spans="2:41" ht="18" customHeight="1">
      <c r="U33" s="1080"/>
      <c r="AL33" s="932"/>
      <c r="AM33" s="935"/>
      <c r="AN33" s="935"/>
      <c r="AO33" s="935"/>
    </row>
    <row r="34" spans="2:41" s="79" customFormat="1" ht="18" customHeight="1">
      <c r="B34" s="77" t="s">
        <v>1486</v>
      </c>
      <c r="C34" s="77"/>
      <c r="D34" s="48"/>
      <c r="E34" s="48"/>
      <c r="F34" s="78"/>
      <c r="G34" s="78"/>
      <c r="L34" s="112"/>
      <c r="P34" s="1081"/>
      <c r="AL34" s="950"/>
      <c r="AM34" s="950"/>
      <c r="AN34" s="950"/>
      <c r="AO34" s="950"/>
    </row>
    <row r="35" spans="2:41" s="79" customFormat="1" ht="18" customHeight="1">
      <c r="B35" s="79" t="s">
        <v>1487</v>
      </c>
      <c r="C35" s="77"/>
      <c r="D35" s="78"/>
      <c r="E35" s="78"/>
      <c r="F35" s="78"/>
      <c r="G35" s="78"/>
      <c r="W35" s="116"/>
    </row>
    <row r="36" spans="2:41" s="79" customFormat="1" ht="18" customHeight="1">
      <c r="B36" s="80" t="s">
        <v>1861</v>
      </c>
      <c r="C36" s="77"/>
      <c r="D36" s="78"/>
      <c r="E36" s="78"/>
      <c r="F36" s="78"/>
      <c r="G36" s="78"/>
      <c r="S36" s="116"/>
      <c r="T36" s="116"/>
    </row>
    <row r="37" spans="2:41" s="50" customFormat="1" ht="18" customHeight="1">
      <c r="B37" s="50" t="s">
        <v>1488</v>
      </c>
      <c r="C37" s="48"/>
      <c r="D37" s="48"/>
      <c r="E37" s="48"/>
      <c r="F37" s="48"/>
      <c r="S37" s="116"/>
    </row>
    <row r="38" spans="2:41" s="50" customFormat="1" ht="18" customHeight="1">
      <c r="B38" s="50" t="s">
        <v>1721</v>
      </c>
      <c r="C38" s="48"/>
      <c r="D38" s="48"/>
      <c r="E38" s="48"/>
      <c r="F38" s="48"/>
      <c r="S38" s="116"/>
      <c r="T38" s="116"/>
    </row>
    <row r="39" spans="2:41" s="418" customFormat="1" ht="18" customHeight="1">
      <c r="B39" s="418" t="s">
        <v>1489</v>
      </c>
      <c r="D39" s="419"/>
      <c r="E39" s="419"/>
      <c r="F39" s="419"/>
      <c r="G39" s="419"/>
      <c r="S39" s="420"/>
      <c r="W39" s="323"/>
      <c r="X39" s="323"/>
      <c r="Y39" s="323"/>
      <c r="Z39" s="323"/>
      <c r="AA39" s="323"/>
      <c r="AB39" s="323"/>
      <c r="AC39" s="323"/>
      <c r="AD39" s="323"/>
    </row>
    <row r="40" spans="2:41" s="79" customFormat="1" ht="18" customHeight="1">
      <c r="B40" s="79" t="s">
        <v>1490</v>
      </c>
      <c r="C40" s="77"/>
      <c r="D40" s="78"/>
      <c r="E40" s="78"/>
      <c r="F40" s="78"/>
      <c r="G40" s="78"/>
      <c r="S40" s="116"/>
    </row>
    <row r="41" spans="2:41" s="79" customFormat="1" ht="18" customHeight="1">
      <c r="B41" s="79" t="s">
        <v>1491</v>
      </c>
      <c r="C41" s="77"/>
      <c r="D41" s="78"/>
      <c r="E41" s="78"/>
      <c r="F41" s="78"/>
      <c r="G41" s="78"/>
      <c r="S41" s="116"/>
      <c r="T41" s="116"/>
    </row>
    <row r="42" spans="2:41" s="79" customFormat="1" ht="18" customHeight="1">
      <c r="B42" s="80" t="s">
        <v>1492</v>
      </c>
      <c r="C42" s="78"/>
      <c r="D42" s="78"/>
      <c r="E42" s="78"/>
      <c r="F42" s="78"/>
      <c r="G42" s="78"/>
      <c r="S42" s="116"/>
    </row>
    <row r="43" spans="2:41" ht="18" customHeight="1">
      <c r="S43" s="116"/>
      <c r="T43" s="116"/>
    </row>
    <row r="44" spans="2:41" ht="18" customHeight="1">
      <c r="S44" s="116"/>
    </row>
    <row r="45" spans="2:41" ht="18" customHeight="1">
      <c r="S45" s="116"/>
      <c r="T45" s="116"/>
    </row>
    <row r="46" spans="2:41" ht="18" customHeight="1">
      <c r="B46" s="421"/>
      <c r="S46" s="116"/>
    </row>
    <row r="47" spans="2:41" ht="18" customHeight="1">
      <c r="B47" s="421"/>
      <c r="S47" s="116"/>
      <c r="T47" s="116"/>
    </row>
    <row r="48" spans="2:41" ht="18" customHeight="1">
      <c r="B48" s="421"/>
      <c r="S48" s="116"/>
    </row>
    <row r="49" spans="2:20" ht="18" customHeight="1">
      <c r="B49" s="421"/>
      <c r="S49" s="116"/>
      <c r="T49" s="116"/>
    </row>
    <row r="50" spans="2:20" ht="18" customHeight="1">
      <c r="B50" s="421"/>
      <c r="S50" s="116"/>
    </row>
    <row r="51" spans="2:20" ht="18" customHeight="1">
      <c r="C51" s="422"/>
      <c r="S51" s="116"/>
      <c r="T51" s="116"/>
    </row>
    <row r="52" spans="2:20" ht="18" customHeight="1">
      <c r="C52" s="421"/>
      <c r="S52" s="116"/>
    </row>
    <row r="53" spans="2:20" ht="18" customHeight="1">
      <c r="C53" s="421"/>
      <c r="S53" s="116"/>
      <c r="T53" s="116"/>
    </row>
  </sheetData>
  <mergeCells count="227">
    <mergeCell ref="N31:N32"/>
    <mergeCell ref="O31:O32"/>
    <mergeCell ref="P31:P32"/>
    <mergeCell ref="Q31:Q32"/>
    <mergeCell ref="R31:R32"/>
    <mergeCell ref="S31:S32"/>
    <mergeCell ref="B31:B32"/>
    <mergeCell ref="F31:F32"/>
    <mergeCell ref="G31:G32"/>
    <mergeCell ref="H31:H32"/>
    <mergeCell ref="I31:I32"/>
    <mergeCell ref="J31:J32"/>
    <mergeCell ref="K31:K32"/>
    <mergeCell ref="L31:L32"/>
    <mergeCell ref="M31:M32"/>
    <mergeCell ref="R27:R28"/>
    <mergeCell ref="S27:S28"/>
    <mergeCell ref="C28:D28"/>
    <mergeCell ref="C29:E29"/>
    <mergeCell ref="F29:F30"/>
    <mergeCell ref="G29:G30"/>
    <mergeCell ref="H29:H30"/>
    <mergeCell ref="I29:I30"/>
    <mergeCell ref="J29:J30"/>
    <mergeCell ref="K29:K30"/>
    <mergeCell ref="L29:L30"/>
    <mergeCell ref="M29:M30"/>
    <mergeCell ref="N29:N30"/>
    <mergeCell ref="O29:O30"/>
    <mergeCell ref="P29:P30"/>
    <mergeCell ref="Q29:Q30"/>
    <mergeCell ref="R29:R30"/>
    <mergeCell ref="S29:S30"/>
    <mergeCell ref="C30:D30"/>
    <mergeCell ref="I27:I28"/>
    <mergeCell ref="J27:J28"/>
    <mergeCell ref="K27:K28"/>
    <mergeCell ref="L27:L28"/>
    <mergeCell ref="M27:M28"/>
    <mergeCell ref="N27:N28"/>
    <mergeCell ref="O27:O28"/>
    <mergeCell ref="P27:P28"/>
    <mergeCell ref="Q27:Q28"/>
    <mergeCell ref="B11:B20"/>
    <mergeCell ref="B21:B26"/>
    <mergeCell ref="C25:E25"/>
    <mergeCell ref="C26:D26"/>
    <mergeCell ref="B27:B30"/>
    <mergeCell ref="C27:E27"/>
    <mergeCell ref="F27:F28"/>
    <mergeCell ref="G27:G28"/>
    <mergeCell ref="H27:H28"/>
    <mergeCell ref="I23:I24"/>
    <mergeCell ref="J23:J24"/>
    <mergeCell ref="Q25:Q26"/>
    <mergeCell ref="C24:D24"/>
    <mergeCell ref="F25:F26"/>
    <mergeCell ref="G25:G26"/>
    <mergeCell ref="H25:H26"/>
    <mergeCell ref="I25:I26"/>
    <mergeCell ref="J25:J26"/>
    <mergeCell ref="C23:E23"/>
    <mergeCell ref="F23:F24"/>
    <mergeCell ref="R25:R26"/>
    <mergeCell ref="S25:S26"/>
    <mergeCell ref="K25:K26"/>
    <mergeCell ref="L25:L26"/>
    <mergeCell ref="M25:M26"/>
    <mergeCell ref="N25:N26"/>
    <mergeCell ref="O25:O26"/>
    <mergeCell ref="P25:P26"/>
    <mergeCell ref="K21:K22"/>
    <mergeCell ref="L21:L22"/>
    <mergeCell ref="M21:M22"/>
    <mergeCell ref="N21:N22"/>
    <mergeCell ref="Q23:Q24"/>
    <mergeCell ref="R23:R24"/>
    <mergeCell ref="S23:S24"/>
    <mergeCell ref="K23:K24"/>
    <mergeCell ref="L23:L24"/>
    <mergeCell ref="M23:M24"/>
    <mergeCell ref="N23:N24"/>
    <mergeCell ref="O23:O24"/>
    <mergeCell ref="P23:P24"/>
    <mergeCell ref="G23:G24"/>
    <mergeCell ref="H23:H24"/>
    <mergeCell ref="P19:P20"/>
    <mergeCell ref="Q19:Q20"/>
    <mergeCell ref="R19:R20"/>
    <mergeCell ref="S19:S20"/>
    <mergeCell ref="C20:D20"/>
    <mergeCell ref="C21:E21"/>
    <mergeCell ref="F21:F22"/>
    <mergeCell ref="G21:G22"/>
    <mergeCell ref="H21:H22"/>
    <mergeCell ref="J19:J20"/>
    <mergeCell ref="K19:K20"/>
    <mergeCell ref="L19:L20"/>
    <mergeCell ref="M19:M20"/>
    <mergeCell ref="N19:N20"/>
    <mergeCell ref="O19:O20"/>
    <mergeCell ref="O21:O22"/>
    <mergeCell ref="P21:P22"/>
    <mergeCell ref="Q21:Q22"/>
    <mergeCell ref="R21:R22"/>
    <mergeCell ref="S21:S22"/>
    <mergeCell ref="C22:D22"/>
    <mergeCell ref="I21:I22"/>
    <mergeCell ref="J21:J22"/>
    <mergeCell ref="C19:E19"/>
    <mergeCell ref="F19:F20"/>
    <mergeCell ref="G19:G20"/>
    <mergeCell ref="H19:H20"/>
    <mergeCell ref="I19:I20"/>
    <mergeCell ref="J17:J18"/>
    <mergeCell ref="K17:K18"/>
    <mergeCell ref="L17:L18"/>
    <mergeCell ref="M17:M18"/>
    <mergeCell ref="P15:P16"/>
    <mergeCell ref="Q15:Q16"/>
    <mergeCell ref="R15:R16"/>
    <mergeCell ref="S15:S16"/>
    <mergeCell ref="C16:D16"/>
    <mergeCell ref="C17:E17"/>
    <mergeCell ref="F17:F18"/>
    <mergeCell ref="G17:G18"/>
    <mergeCell ref="H17:H18"/>
    <mergeCell ref="I17:I18"/>
    <mergeCell ref="J15:J16"/>
    <mergeCell ref="K15:K16"/>
    <mergeCell ref="L15:L16"/>
    <mergeCell ref="M15:M16"/>
    <mergeCell ref="N15:N16"/>
    <mergeCell ref="O15:O16"/>
    <mergeCell ref="P17:P18"/>
    <mergeCell ref="Q17:Q18"/>
    <mergeCell ref="R17:R18"/>
    <mergeCell ref="S17:S18"/>
    <mergeCell ref="C18:D18"/>
    <mergeCell ref="N17:N18"/>
    <mergeCell ref="O17:O18"/>
    <mergeCell ref="Q13:Q14"/>
    <mergeCell ref="R13:R14"/>
    <mergeCell ref="S13:S14"/>
    <mergeCell ref="C14:D14"/>
    <mergeCell ref="C15:E15"/>
    <mergeCell ref="F15:F16"/>
    <mergeCell ref="G15:G16"/>
    <mergeCell ref="H15:H16"/>
    <mergeCell ref="I15:I16"/>
    <mergeCell ref="K13:K14"/>
    <mergeCell ref="L13:L14"/>
    <mergeCell ref="M13:M14"/>
    <mergeCell ref="N13:N14"/>
    <mergeCell ref="O13:O14"/>
    <mergeCell ref="P13:P14"/>
    <mergeCell ref="C13:E13"/>
    <mergeCell ref="F13:F14"/>
    <mergeCell ref="G13:G14"/>
    <mergeCell ref="H13:H14"/>
    <mergeCell ref="I13:I14"/>
    <mergeCell ref="J13:J14"/>
    <mergeCell ref="S9:S10"/>
    <mergeCell ref="C10:D10"/>
    <mergeCell ref="C11:E11"/>
    <mergeCell ref="F11:F12"/>
    <mergeCell ref="G11:G12"/>
    <mergeCell ref="H11:H12"/>
    <mergeCell ref="J9:J10"/>
    <mergeCell ref="K9:K10"/>
    <mergeCell ref="L9:L10"/>
    <mergeCell ref="M9:M10"/>
    <mergeCell ref="N9:N10"/>
    <mergeCell ref="O9:O10"/>
    <mergeCell ref="Q9:Q10"/>
    <mergeCell ref="R9:R10"/>
    <mergeCell ref="M11:M12"/>
    <mergeCell ref="N11:N12"/>
    <mergeCell ref="B7:B10"/>
    <mergeCell ref="O11:O12"/>
    <mergeCell ref="P11:P12"/>
    <mergeCell ref="Q11:Q12"/>
    <mergeCell ref="R11:R12"/>
    <mergeCell ref="S11:S12"/>
    <mergeCell ref="C12:D12"/>
    <mergeCell ref="I11:I12"/>
    <mergeCell ref="J11:J12"/>
    <mergeCell ref="K11:K12"/>
    <mergeCell ref="L11:L12"/>
    <mergeCell ref="P7:P8"/>
    <mergeCell ref="Q7:Q8"/>
    <mergeCell ref="R7:R8"/>
    <mergeCell ref="S7:S8"/>
    <mergeCell ref="C8:D8"/>
    <mergeCell ref="C9:E9"/>
    <mergeCell ref="F9:F10"/>
    <mergeCell ref="G9:G10"/>
    <mergeCell ref="H9:H10"/>
    <mergeCell ref="I9:I10"/>
    <mergeCell ref="J7:J8"/>
    <mergeCell ref="K7:K8"/>
    <mergeCell ref="L7:L8"/>
    <mergeCell ref="M7:M8"/>
    <mergeCell ref="N7:N8"/>
    <mergeCell ref="O7:O8"/>
    <mergeCell ref="C7:E7"/>
    <mergeCell ref="F7:F8"/>
    <mergeCell ref="G7:G8"/>
    <mergeCell ref="H7:H8"/>
    <mergeCell ref="I7:I8"/>
    <mergeCell ref="P9:P10"/>
    <mergeCell ref="Z5:AA5"/>
    <mergeCell ref="AC5:AD5"/>
    <mergeCell ref="AF5:AG5"/>
    <mergeCell ref="AI5:AJ5"/>
    <mergeCell ref="C6:D6"/>
    <mergeCell ref="J6:K6"/>
    <mergeCell ref="B1:AK1"/>
    <mergeCell ref="B5:E5"/>
    <mergeCell ref="F5:F6"/>
    <mergeCell ref="G5:G6"/>
    <mergeCell ref="I5:K5"/>
    <mergeCell ref="L5:M5"/>
    <mergeCell ref="N5:O5"/>
    <mergeCell ref="S5:S6"/>
    <mergeCell ref="T5:V5"/>
    <mergeCell ref="W5:X5"/>
  </mergeCells>
  <phoneticPr fontId="99" type="noConversion"/>
  <pageMargins left="0.31496062992125984" right="0.31496062992125984" top="0.31496062992125984" bottom="0.31496062992125984" header="0" footer="0"/>
  <pageSetup paperSize="9" scale="51" orientation="landscape" cellComments="asDisplayed"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IV42"/>
  <sheetViews>
    <sheetView zoomScaleNormal="100" workbookViewId="0">
      <pane ySplit="1" topLeftCell="A2" activePane="bottomLeft" state="frozen"/>
      <selection pane="bottomLeft"/>
    </sheetView>
  </sheetViews>
  <sheetFormatPr defaultRowHeight="18" customHeight="1"/>
  <cols>
    <col min="1" max="1" width="1" customWidth="1"/>
    <col min="3" max="3" width="12.25" customWidth="1"/>
    <col min="7" max="7" width="12.5" bestFit="1" customWidth="1"/>
    <col min="8" max="8" width="11.25" bestFit="1" customWidth="1"/>
    <col min="9" max="9" width="11.125" customWidth="1"/>
    <col min="10" max="10" width="12.375" customWidth="1"/>
    <col min="11" max="11" width="11.25" customWidth="1"/>
    <col min="12" max="12" width="11" customWidth="1"/>
    <col min="13" max="13" width="10.875" customWidth="1"/>
    <col min="14" max="14" width="9.875" customWidth="1"/>
    <col min="15" max="15" width="11.375" customWidth="1"/>
    <col min="16" max="16" width="10.875" bestFit="1" customWidth="1"/>
  </cols>
  <sheetData>
    <row r="1" spans="1:256" s="16" customFormat="1" ht="30" customHeight="1" thickBot="1">
      <c r="A1" s="587"/>
      <c r="B1" s="1139" t="s">
        <v>1743</v>
      </c>
      <c r="C1" s="1139"/>
      <c r="D1" s="1139"/>
      <c r="E1" s="1139"/>
      <c r="F1" s="1139"/>
      <c r="G1" s="1139"/>
      <c r="H1" s="1139"/>
      <c r="I1" s="1139"/>
      <c r="J1" s="1139"/>
      <c r="K1" s="1139"/>
      <c r="L1" s="1139"/>
      <c r="M1" s="1139"/>
      <c r="N1" s="1139"/>
      <c r="O1" s="1139"/>
      <c r="P1" s="1139"/>
      <c r="Q1" s="588"/>
    </row>
    <row r="2" spans="1:256" ht="18" customHeight="1" thickTop="1">
      <c r="A2" s="589"/>
      <c r="B2" s="1"/>
      <c r="C2" s="1"/>
      <c r="D2" s="2"/>
      <c r="E2" s="2"/>
      <c r="F2" s="3"/>
      <c r="G2" s="3"/>
      <c r="H2" s="3"/>
      <c r="I2" s="3"/>
      <c r="J2" s="3"/>
      <c r="K2" s="2"/>
      <c r="L2" s="2"/>
      <c r="M2" s="2"/>
      <c r="N2" s="2"/>
      <c r="O2" s="2"/>
      <c r="P2" s="2"/>
      <c r="Q2" s="589"/>
    </row>
    <row r="3" spans="1:256" s="228" customFormat="1" ht="18" customHeight="1" thickBot="1">
      <c r="A3" s="590"/>
      <c r="B3" s="4" t="s">
        <v>915</v>
      </c>
      <c r="C3" s="5"/>
      <c r="D3" s="5"/>
      <c r="E3" s="5"/>
      <c r="F3" s="6"/>
      <c r="G3" s="6"/>
      <c r="H3" s="6"/>
      <c r="I3" s="6"/>
      <c r="J3" s="6"/>
      <c r="K3" s="6"/>
      <c r="L3" s="6"/>
      <c r="M3" s="6"/>
      <c r="N3" s="6"/>
      <c r="O3" s="6"/>
      <c r="P3" s="6"/>
      <c r="Q3" s="590"/>
    </row>
    <row r="4" spans="1:256" s="228" customFormat="1" ht="18" customHeight="1">
      <c r="A4" s="590"/>
      <c r="B4" s="2630" t="s">
        <v>905</v>
      </c>
      <c r="C4" s="1919"/>
      <c r="D4" s="1917" t="s">
        <v>906</v>
      </c>
      <c r="E4" s="1918"/>
      <c r="F4" s="1918"/>
      <c r="G4" s="1918"/>
      <c r="H4" s="1918"/>
      <c r="I4" s="1918"/>
      <c r="J4" s="1919"/>
      <c r="K4" s="1917" t="s">
        <v>1032</v>
      </c>
      <c r="L4" s="1918"/>
      <c r="M4" s="1918"/>
      <c r="N4" s="1918"/>
      <c r="O4" s="1918"/>
      <c r="P4" s="2052"/>
      <c r="Q4" s="590"/>
    </row>
    <row r="5" spans="1:256" s="228" customFormat="1" ht="18" customHeight="1">
      <c r="A5" s="590"/>
      <c r="B5" s="1947" t="s">
        <v>1033</v>
      </c>
      <c r="C5" s="1885"/>
      <c r="D5" s="1935" t="s">
        <v>1034</v>
      </c>
      <c r="E5" s="1936"/>
      <c r="F5" s="1936"/>
      <c r="G5" s="1936"/>
      <c r="H5" s="1936"/>
      <c r="I5" s="1936"/>
      <c r="J5" s="1937"/>
      <c r="K5" s="1935" t="s">
        <v>1035</v>
      </c>
      <c r="L5" s="1936"/>
      <c r="M5" s="1936"/>
      <c r="N5" s="1936"/>
      <c r="O5" s="1936"/>
      <c r="P5" s="1942"/>
      <c r="Q5" s="590"/>
    </row>
    <row r="6" spans="1:256" s="228" customFormat="1" ht="18" customHeight="1">
      <c r="A6" s="590"/>
      <c r="B6" s="1925"/>
      <c r="C6" s="1948"/>
      <c r="D6" s="1938" t="s">
        <v>1036</v>
      </c>
      <c r="E6" s="1939"/>
      <c r="F6" s="1939"/>
      <c r="G6" s="1939"/>
      <c r="H6" s="1939"/>
      <c r="I6" s="1939"/>
      <c r="J6" s="1940"/>
      <c r="K6" s="1938" t="s">
        <v>1037</v>
      </c>
      <c r="L6" s="1939"/>
      <c r="M6" s="1939"/>
      <c r="N6" s="1939"/>
      <c r="O6" s="1939"/>
      <c r="P6" s="1956"/>
      <c r="Q6" s="590"/>
    </row>
    <row r="7" spans="1:256" s="228" customFormat="1" ht="18" customHeight="1">
      <c r="A7" s="590"/>
      <c r="B7" s="1947" t="s">
        <v>1038</v>
      </c>
      <c r="C7" s="1885"/>
      <c r="D7" s="2631" t="s">
        <v>1039</v>
      </c>
      <c r="E7" s="2632"/>
      <c r="F7" s="2632"/>
      <c r="G7" s="2632"/>
      <c r="H7" s="2632"/>
      <c r="I7" s="2632"/>
      <c r="J7" s="2633"/>
      <c r="K7" s="2620" t="s">
        <v>1040</v>
      </c>
      <c r="L7" s="2634"/>
      <c r="M7" s="2634"/>
      <c r="N7" s="2634"/>
      <c r="O7" s="2634"/>
      <c r="P7" s="2635"/>
      <c r="Q7" s="590"/>
    </row>
    <row r="8" spans="1:256" s="228" customFormat="1" ht="18" customHeight="1" thickBot="1">
      <c r="A8" s="590"/>
      <c r="B8" s="1888"/>
      <c r="C8" s="1889"/>
      <c r="D8" s="2637" t="s">
        <v>1041</v>
      </c>
      <c r="E8" s="2638"/>
      <c r="F8" s="2638"/>
      <c r="G8" s="2638"/>
      <c r="H8" s="2638"/>
      <c r="I8" s="2638"/>
      <c r="J8" s="2639"/>
      <c r="K8" s="2636"/>
      <c r="L8" s="1913"/>
      <c r="M8" s="1913"/>
      <c r="N8" s="1913"/>
      <c r="O8" s="1913"/>
      <c r="P8" s="1914"/>
      <c r="Q8" s="590"/>
    </row>
    <row r="9" spans="1:256" s="228" customFormat="1" ht="18" customHeight="1">
      <c r="A9" s="590"/>
      <c r="B9" s="9"/>
      <c r="C9" s="1002"/>
      <c r="D9" s="1003"/>
      <c r="E9" s="1003"/>
      <c r="F9" s="1003"/>
      <c r="G9" s="1003"/>
      <c r="H9" s="1003"/>
      <c r="I9" s="1003"/>
      <c r="J9" s="1003"/>
      <c r="K9" s="10"/>
      <c r="L9" s="10"/>
      <c r="M9" s="10"/>
      <c r="N9" s="10"/>
      <c r="O9" s="10"/>
      <c r="P9" s="10"/>
      <c r="Q9" s="590"/>
    </row>
    <row r="10" spans="1:256" s="228" customFormat="1" ht="18" customHeight="1" thickBot="1">
      <c r="A10" s="590"/>
      <c r="B10" s="4" t="s">
        <v>1042</v>
      </c>
      <c r="C10" s="5"/>
      <c r="D10" s="5"/>
      <c r="E10" s="5"/>
      <c r="F10" s="6"/>
      <c r="G10" s="6"/>
      <c r="H10" s="6"/>
      <c r="I10" s="6"/>
      <c r="J10" s="6"/>
      <c r="K10" s="6"/>
      <c r="L10" s="6"/>
      <c r="M10" s="6"/>
      <c r="N10" s="6"/>
      <c r="O10" s="6"/>
      <c r="P10" s="6"/>
      <c r="Q10" s="590"/>
    </row>
    <row r="11" spans="1:256" s="228" customFormat="1" ht="18" customHeight="1">
      <c r="A11" s="590"/>
      <c r="B11" s="1915" t="s">
        <v>905</v>
      </c>
      <c r="C11" s="1916"/>
      <c r="D11" s="1917" t="s">
        <v>906</v>
      </c>
      <c r="E11" s="1918"/>
      <c r="F11" s="1918"/>
      <c r="G11" s="1918"/>
      <c r="H11" s="1918"/>
      <c r="I11" s="1918"/>
      <c r="J11" s="1919"/>
      <c r="K11" s="1916" t="s">
        <v>1043</v>
      </c>
      <c r="L11" s="1916"/>
      <c r="M11" s="1916"/>
      <c r="N11" s="1916"/>
      <c r="O11" s="1917"/>
      <c r="P11" s="1946"/>
      <c r="Q11" s="590"/>
    </row>
    <row r="12" spans="1:256" s="228" customFormat="1" ht="18" customHeight="1">
      <c r="A12" s="590"/>
      <c r="B12" s="1933" t="s">
        <v>1044</v>
      </c>
      <c r="C12" s="1934"/>
      <c r="D12" s="1935" t="s">
        <v>1045</v>
      </c>
      <c r="E12" s="1936"/>
      <c r="F12" s="1936"/>
      <c r="G12" s="1936"/>
      <c r="H12" s="1936"/>
      <c r="I12" s="1936"/>
      <c r="J12" s="1937"/>
      <c r="K12" s="1935" t="s">
        <v>1046</v>
      </c>
      <c r="L12" s="1936"/>
      <c r="M12" s="1936"/>
      <c r="N12" s="1936"/>
      <c r="O12" s="1936"/>
      <c r="P12" s="1942"/>
      <c r="Q12" s="590"/>
    </row>
    <row r="13" spans="1:256" s="228" customFormat="1" ht="18" customHeight="1">
      <c r="A13" s="590"/>
      <c r="B13" s="2642" t="s">
        <v>1047</v>
      </c>
      <c r="C13" s="2643"/>
      <c r="D13" s="1935" t="s">
        <v>1048</v>
      </c>
      <c r="E13" s="1936"/>
      <c r="F13" s="1936"/>
      <c r="G13" s="1936"/>
      <c r="H13" s="1936"/>
      <c r="I13" s="1936"/>
      <c r="J13" s="1937"/>
      <c r="K13" s="2620" t="s">
        <v>1040</v>
      </c>
      <c r="L13" s="2640"/>
      <c r="M13" s="2640"/>
      <c r="N13" s="2640"/>
      <c r="O13" s="2640"/>
      <c r="P13" s="2641"/>
      <c r="Q13" s="590"/>
    </row>
    <row r="14" spans="1:256" s="228" customFormat="1" ht="18" customHeight="1">
      <c r="A14" s="590"/>
      <c r="B14" s="2642"/>
      <c r="C14" s="2643"/>
      <c r="D14" s="1938" t="s">
        <v>1049</v>
      </c>
      <c r="E14" s="1939"/>
      <c r="F14" s="1939"/>
      <c r="G14" s="1939"/>
      <c r="H14" s="1939"/>
      <c r="I14" s="1939"/>
      <c r="J14" s="1940"/>
      <c r="K14" s="1938" t="s">
        <v>1050</v>
      </c>
      <c r="L14" s="1939"/>
      <c r="M14" s="1939"/>
      <c r="N14" s="1939"/>
      <c r="O14" s="1939"/>
      <c r="P14" s="1956"/>
      <c r="Q14" s="590"/>
    </row>
    <row r="15" spans="1:256" s="228" customFormat="1" ht="18" customHeight="1" thickBot="1">
      <c r="A15" s="590"/>
      <c r="B15" s="1962" t="s">
        <v>1051</v>
      </c>
      <c r="C15" s="1963"/>
      <c r="D15" s="2626" t="s">
        <v>1052</v>
      </c>
      <c r="E15" s="2627"/>
      <c r="F15" s="2627"/>
      <c r="G15" s="2627" t="s">
        <v>1053</v>
      </c>
      <c r="H15" s="2627"/>
      <c r="I15" s="2627"/>
      <c r="J15" s="2628"/>
      <c r="K15" s="2626"/>
      <c r="L15" s="2627"/>
      <c r="M15" s="2627"/>
      <c r="N15" s="2627"/>
      <c r="O15" s="2627"/>
      <c r="P15" s="2629"/>
      <c r="Q15" s="590"/>
    </row>
    <row r="16" spans="1:256" s="115" customFormat="1" ht="18" customHeight="1">
      <c r="A16" s="69"/>
      <c r="B16" s="70"/>
      <c r="C16" s="529"/>
      <c r="D16" s="1009"/>
      <c r="E16" s="69"/>
      <c r="F16" s="68"/>
      <c r="G16" s="69"/>
      <c r="H16" s="69"/>
      <c r="I16" s="69"/>
      <c r="J16" s="69"/>
      <c r="K16" s="100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c r="IU16" s="69"/>
      <c r="IV16" s="69"/>
    </row>
    <row r="17" spans="1:256" s="115" customFormat="1" ht="18" customHeight="1" thickBot="1">
      <c r="A17" s="69"/>
      <c r="B17" s="70" t="s">
        <v>304</v>
      </c>
      <c r="C17" s="529"/>
      <c r="D17" s="1009"/>
      <c r="E17" s="69"/>
      <c r="F17" s="68"/>
      <c r="G17" s="69"/>
      <c r="H17" s="69"/>
      <c r="I17" s="69"/>
      <c r="J17" s="69"/>
      <c r="K17" s="100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c r="IU17" s="69"/>
      <c r="IV17" s="69"/>
    </row>
    <row r="18" spans="1:256" s="115" customFormat="1" ht="18" customHeight="1">
      <c r="A18" s="69"/>
      <c r="B18" s="1295" t="s">
        <v>905</v>
      </c>
      <c r="C18" s="1306"/>
      <c r="D18" s="1174" t="s">
        <v>906</v>
      </c>
      <c r="E18" s="1175"/>
      <c r="F18" s="1175"/>
      <c r="G18" s="1175"/>
      <c r="H18" s="1175"/>
      <c r="I18" s="1175"/>
      <c r="J18" s="1175"/>
      <c r="K18" s="1175"/>
      <c r="L18" s="1175"/>
      <c r="M18" s="1175"/>
      <c r="N18" s="1175"/>
      <c r="O18" s="1175"/>
      <c r="P18" s="1176"/>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c r="IR18" s="69"/>
      <c r="IS18" s="69"/>
      <c r="IT18" s="69"/>
      <c r="IU18" s="69"/>
      <c r="IV18" s="69"/>
    </row>
    <row r="19" spans="1:256" s="115" customFormat="1" ht="18" customHeight="1">
      <c r="A19" s="69"/>
      <c r="B19" s="2656" t="s">
        <v>927</v>
      </c>
      <c r="C19" s="2657"/>
      <c r="D19" s="2660" t="s">
        <v>1054</v>
      </c>
      <c r="E19" s="2661"/>
      <c r="F19" s="2661"/>
      <c r="G19" s="2661"/>
      <c r="H19" s="2661"/>
      <c r="I19" s="2661"/>
      <c r="J19" s="2661"/>
      <c r="K19" s="2661"/>
      <c r="L19" s="2661"/>
      <c r="M19" s="2661"/>
      <c r="N19" s="2661"/>
      <c r="O19" s="2661"/>
      <c r="P19" s="2662"/>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spans="1:256" s="115" customFormat="1" ht="18" customHeight="1" thickBot="1">
      <c r="A20" s="69"/>
      <c r="B20" s="2658"/>
      <c r="C20" s="2659"/>
      <c r="D20" s="2663" t="s">
        <v>1055</v>
      </c>
      <c r="E20" s="2664"/>
      <c r="F20" s="2664"/>
      <c r="G20" s="2664"/>
      <c r="H20" s="2664"/>
      <c r="I20" s="2664"/>
      <c r="J20" s="2664"/>
      <c r="K20" s="2664"/>
      <c r="L20" s="2664"/>
      <c r="M20" s="2664"/>
      <c r="N20" s="2664"/>
      <c r="O20" s="2664"/>
      <c r="P20" s="2665"/>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c r="IR20" s="69"/>
      <c r="IS20" s="69"/>
      <c r="IT20" s="69"/>
      <c r="IU20" s="69"/>
      <c r="IV20" s="69"/>
    </row>
    <row r="21" spans="1:256" s="115" customFormat="1" ht="18" customHeight="1">
      <c r="A21" s="69"/>
      <c r="B21" s="529"/>
      <c r="C21" s="529"/>
      <c r="D21" s="1009"/>
      <c r="E21" s="69"/>
      <c r="F21" s="68"/>
      <c r="G21" s="69"/>
      <c r="H21" s="69"/>
      <c r="I21" s="69"/>
      <c r="J21" s="69"/>
      <c r="K21" s="100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c r="IU21" s="69"/>
      <c r="IV21" s="69"/>
    </row>
    <row r="22" spans="1:256" s="228" customFormat="1" ht="18" customHeight="1" thickBot="1">
      <c r="A22" s="590"/>
      <c r="B22" s="4" t="s">
        <v>1056</v>
      </c>
      <c r="C22" s="5"/>
      <c r="D22" s="5"/>
      <c r="E22" s="11"/>
      <c r="F22" s="6"/>
      <c r="G22" s="6"/>
      <c r="H22" s="6"/>
      <c r="I22" s="6"/>
      <c r="J22" s="6"/>
      <c r="K22" s="5"/>
      <c r="L22" s="5"/>
      <c r="M22" s="5"/>
      <c r="N22" s="5"/>
      <c r="O22" s="5"/>
      <c r="P22" s="5"/>
      <c r="Q22" s="590"/>
    </row>
    <row r="23" spans="1:256" s="228" customFormat="1" ht="18" customHeight="1">
      <c r="A23" s="590"/>
      <c r="B23" s="1915" t="s">
        <v>905</v>
      </c>
      <c r="C23" s="1916"/>
      <c r="D23" s="1917" t="s">
        <v>1057</v>
      </c>
      <c r="E23" s="1918"/>
      <c r="F23" s="1918"/>
      <c r="G23" s="1918"/>
      <c r="H23" s="1918"/>
      <c r="I23" s="1918"/>
      <c r="J23" s="1918"/>
      <c r="K23" s="1918" t="s">
        <v>1058</v>
      </c>
      <c r="L23" s="1918"/>
      <c r="M23" s="1918"/>
      <c r="N23" s="1918"/>
      <c r="O23" s="1918"/>
      <c r="P23" s="2052"/>
      <c r="Q23" s="590"/>
    </row>
    <row r="24" spans="1:256" s="228" customFormat="1" ht="18" customHeight="1">
      <c r="A24" s="590"/>
      <c r="B24" s="1933" t="s">
        <v>1059</v>
      </c>
      <c r="C24" s="1905"/>
      <c r="D24" s="2666" t="s">
        <v>1060</v>
      </c>
      <c r="E24" s="2666"/>
      <c r="F24" s="2666"/>
      <c r="G24" s="2666"/>
      <c r="H24" s="2666"/>
      <c r="I24" s="2666"/>
      <c r="J24" s="2666"/>
      <c r="K24" s="2666" t="s">
        <v>1061</v>
      </c>
      <c r="L24" s="2666"/>
      <c r="M24" s="2666"/>
      <c r="N24" s="2666"/>
      <c r="O24" s="2666"/>
      <c r="P24" s="2667"/>
      <c r="Q24" s="590"/>
    </row>
    <row r="25" spans="1:256" s="228" customFormat="1" ht="18" customHeight="1">
      <c r="A25" s="590"/>
      <c r="B25" s="1947" t="s">
        <v>1062</v>
      </c>
      <c r="C25" s="2614"/>
      <c r="D25" s="2617" t="s">
        <v>288</v>
      </c>
      <c r="E25" s="2618"/>
      <c r="F25" s="2618"/>
      <c r="G25" s="2618"/>
      <c r="H25" s="2618"/>
      <c r="I25" s="2618"/>
      <c r="J25" s="2619"/>
      <c r="K25" s="2620" t="s">
        <v>1063</v>
      </c>
      <c r="L25" s="2621"/>
      <c r="M25" s="2621"/>
      <c r="N25" s="2621"/>
      <c r="O25" s="2621"/>
      <c r="P25" s="2622"/>
      <c r="Q25" s="590"/>
    </row>
    <row r="26" spans="1:256" s="228" customFormat="1" ht="18" customHeight="1" thickBot="1">
      <c r="A26" s="590"/>
      <c r="B26" s="1886"/>
      <c r="C26" s="2615"/>
      <c r="D26" s="2623" t="s">
        <v>289</v>
      </c>
      <c r="E26" s="2623"/>
      <c r="F26" s="2623"/>
      <c r="G26" s="2624"/>
      <c r="H26" s="2623"/>
      <c r="I26" s="2623"/>
      <c r="J26" s="2623"/>
      <c r="K26" s="2621"/>
      <c r="L26" s="2621"/>
      <c r="M26" s="2621"/>
      <c r="N26" s="2621"/>
      <c r="O26" s="2621"/>
      <c r="P26" s="2622"/>
      <c r="Q26" s="590"/>
    </row>
    <row r="27" spans="1:256" s="228" customFormat="1" ht="18" customHeight="1">
      <c r="A27" s="590"/>
      <c r="B27" s="2616"/>
      <c r="C27" s="2615"/>
      <c r="D27" s="1934" t="s">
        <v>1064</v>
      </c>
      <c r="E27" s="1934"/>
      <c r="F27" s="1905"/>
      <c r="G27" s="12" t="s">
        <v>1065</v>
      </c>
      <c r="H27" s="1001" t="s">
        <v>1066</v>
      </c>
      <c r="I27" s="1000" t="s">
        <v>1067</v>
      </c>
      <c r="J27" s="1000" t="s">
        <v>1068</v>
      </c>
      <c r="K27" s="1000" t="s">
        <v>1069</v>
      </c>
      <c r="L27" s="1000" t="s">
        <v>1070</v>
      </c>
      <c r="M27" s="1000" t="s">
        <v>1071</v>
      </c>
      <c r="N27" s="1000" t="s">
        <v>1072</v>
      </c>
      <c r="O27" s="1000" t="s">
        <v>1073</v>
      </c>
      <c r="P27" s="13" t="s">
        <v>1074</v>
      </c>
      <c r="Q27" s="590"/>
    </row>
    <row r="28" spans="1:256" s="228" customFormat="1" ht="18" customHeight="1" thickBot="1">
      <c r="A28" s="590"/>
      <c r="B28" s="2616"/>
      <c r="C28" s="2615"/>
      <c r="D28" s="1934" t="s">
        <v>1075</v>
      </c>
      <c r="E28" s="1934"/>
      <c r="F28" s="1905"/>
      <c r="G28" s="591">
        <v>2.7</v>
      </c>
      <c r="H28" s="592">
        <v>2.65</v>
      </c>
      <c r="I28" s="1010">
        <v>2.6</v>
      </c>
      <c r="J28" s="593">
        <v>2.5499999999999998</v>
      </c>
      <c r="K28" s="593">
        <v>2.5</v>
      </c>
      <c r="L28" s="593">
        <v>2.4500000000000002</v>
      </c>
      <c r="M28" s="593">
        <v>2.35</v>
      </c>
      <c r="N28" s="593">
        <v>2.25</v>
      </c>
      <c r="O28" s="593">
        <v>2.1</v>
      </c>
      <c r="P28" s="594">
        <v>1.8</v>
      </c>
      <c r="Q28" s="590"/>
    </row>
    <row r="29" spans="1:256" s="228" customFormat="1" ht="18" customHeight="1">
      <c r="A29" s="590"/>
      <c r="B29" s="2616"/>
      <c r="C29" s="2615"/>
      <c r="D29" s="1905" t="s">
        <v>1076</v>
      </c>
      <c r="E29" s="1941"/>
      <c r="F29" s="1906"/>
      <c r="G29" s="14" t="s">
        <v>1077</v>
      </c>
      <c r="H29" s="595" t="s">
        <v>1078</v>
      </c>
      <c r="I29" s="596" t="s">
        <v>1079</v>
      </c>
      <c r="J29" s="15" t="s">
        <v>1080</v>
      </c>
      <c r="K29" s="14" t="s">
        <v>1081</v>
      </c>
      <c r="L29" s="14" t="s">
        <v>1082</v>
      </c>
      <c r="M29" s="2668" t="s">
        <v>1083</v>
      </c>
      <c r="N29" s="2669"/>
      <c r="O29" s="2669"/>
      <c r="P29" s="2670"/>
      <c r="Q29" s="590"/>
    </row>
    <row r="30" spans="1:256" s="228" customFormat="1" ht="18" customHeight="1" thickBot="1">
      <c r="A30" s="590"/>
      <c r="B30" s="2616"/>
      <c r="C30" s="2615"/>
      <c r="D30" s="1905" t="s">
        <v>1084</v>
      </c>
      <c r="E30" s="1941"/>
      <c r="F30" s="1906"/>
      <c r="G30" s="593">
        <v>1.1000000000000001</v>
      </c>
      <c r="H30" s="597">
        <v>1.05</v>
      </c>
      <c r="I30" s="591">
        <v>1</v>
      </c>
      <c r="J30" s="592">
        <v>0.9</v>
      </c>
      <c r="K30" s="593">
        <v>0.8</v>
      </c>
      <c r="L30" s="593">
        <v>0.7</v>
      </c>
      <c r="M30" s="2671"/>
      <c r="N30" s="2672"/>
      <c r="O30" s="2672"/>
      <c r="P30" s="2673"/>
      <c r="Q30" s="590"/>
    </row>
    <row r="31" spans="1:256" s="228" customFormat="1" ht="18" customHeight="1">
      <c r="A31" s="590"/>
      <c r="B31" s="1933" t="s">
        <v>1085</v>
      </c>
      <c r="C31" s="1934"/>
      <c r="D31" s="2625" t="s">
        <v>1086</v>
      </c>
      <c r="E31" s="2625"/>
      <c r="F31" s="2625"/>
      <c r="G31" s="2625"/>
      <c r="H31" s="2625"/>
      <c r="I31" s="2621"/>
      <c r="J31" s="1934" t="s">
        <v>1087</v>
      </c>
      <c r="K31" s="1934"/>
      <c r="L31" s="1000" t="s">
        <v>1088</v>
      </c>
      <c r="M31" s="1000" t="s">
        <v>1089</v>
      </c>
      <c r="N31" s="1000" t="s">
        <v>1090</v>
      </c>
      <c r="O31" s="1000" t="s">
        <v>1091</v>
      </c>
      <c r="P31" s="13" t="s">
        <v>1092</v>
      </c>
      <c r="Q31" s="590"/>
    </row>
    <row r="32" spans="1:256" s="228" customFormat="1" ht="18" customHeight="1">
      <c r="A32" s="590"/>
      <c r="B32" s="1933"/>
      <c r="C32" s="1934"/>
      <c r="D32" s="2625"/>
      <c r="E32" s="2625"/>
      <c r="F32" s="2625"/>
      <c r="G32" s="2625"/>
      <c r="H32" s="2625"/>
      <c r="I32" s="2625"/>
      <c r="J32" s="1934" t="s">
        <v>1093</v>
      </c>
      <c r="K32" s="1934"/>
      <c r="L32" s="593">
        <v>0.2</v>
      </c>
      <c r="M32" s="593">
        <v>0.18</v>
      </c>
      <c r="N32" s="598">
        <v>8.5000000000000006E-2</v>
      </c>
      <c r="O32" s="598">
        <v>2.5000000000000001E-2</v>
      </c>
      <c r="P32" s="594">
        <v>3.4</v>
      </c>
      <c r="Q32" s="611"/>
    </row>
    <row r="33" spans="1:17" s="228" customFormat="1" ht="18" customHeight="1">
      <c r="A33" s="590"/>
      <c r="B33" s="1933"/>
      <c r="C33" s="1934"/>
      <c r="D33" s="2625"/>
      <c r="E33" s="2625"/>
      <c r="F33" s="2625"/>
      <c r="G33" s="2625"/>
      <c r="H33" s="2625"/>
      <c r="I33" s="2625"/>
      <c r="J33" s="1934" t="s">
        <v>1094</v>
      </c>
      <c r="K33" s="1000" t="s">
        <v>1095</v>
      </c>
      <c r="L33" s="2609">
        <v>0.2</v>
      </c>
      <c r="M33" s="2609">
        <v>0.18</v>
      </c>
      <c r="N33" s="2612">
        <v>8.5000000000000006E-2</v>
      </c>
      <c r="O33" s="593" t="s">
        <v>1096</v>
      </c>
      <c r="P33" s="594" t="s">
        <v>1097</v>
      </c>
      <c r="Q33" s="611"/>
    </row>
    <row r="34" spans="1:17" s="228" customFormat="1" ht="18" customHeight="1">
      <c r="A34" s="590"/>
      <c r="B34" s="1933"/>
      <c r="C34" s="1934"/>
      <c r="D34" s="2625"/>
      <c r="E34" s="2625"/>
      <c r="F34" s="2625"/>
      <c r="G34" s="2625"/>
      <c r="H34" s="2625"/>
      <c r="I34" s="2625"/>
      <c r="J34" s="1934"/>
      <c r="K34" s="1000" t="s">
        <v>1098</v>
      </c>
      <c r="L34" s="2610"/>
      <c r="M34" s="2610"/>
      <c r="N34" s="2613"/>
      <c r="O34" s="593" t="s">
        <v>1099</v>
      </c>
      <c r="P34" s="594" t="s">
        <v>1100</v>
      </c>
      <c r="Q34" s="611"/>
    </row>
    <row r="35" spans="1:17" s="228" customFormat="1" ht="18" customHeight="1" thickBot="1">
      <c r="A35" s="590"/>
      <c r="B35" s="1933"/>
      <c r="C35" s="1934"/>
      <c r="D35" s="2625"/>
      <c r="E35" s="2625"/>
      <c r="F35" s="2625"/>
      <c r="G35" s="2625"/>
      <c r="H35" s="2625"/>
      <c r="I35" s="2625"/>
      <c r="J35" s="1934"/>
      <c r="K35" s="1000" t="s">
        <v>1101</v>
      </c>
      <c r="L35" s="2611"/>
      <c r="M35" s="2611"/>
      <c r="N35" s="2613"/>
      <c r="O35" s="1010" t="s">
        <v>1102</v>
      </c>
      <c r="P35" s="594">
        <v>3.1</v>
      </c>
      <c r="Q35" s="590"/>
    </row>
    <row r="36" spans="1:17" s="599" customFormat="1" ht="18" customHeight="1">
      <c r="B36" s="2644" t="s">
        <v>1103</v>
      </c>
      <c r="C36" s="2645"/>
      <c r="D36" s="2648" t="s">
        <v>1104</v>
      </c>
      <c r="E36" s="2649"/>
      <c r="F36" s="2649"/>
      <c r="G36" s="2649"/>
      <c r="H36" s="2649"/>
      <c r="I36" s="2650"/>
      <c r="J36" s="1011" t="s">
        <v>1105</v>
      </c>
      <c r="K36" s="1011" t="s">
        <v>290</v>
      </c>
      <c r="L36" s="1011" t="s">
        <v>291</v>
      </c>
      <c r="M36" s="612" t="s">
        <v>292</v>
      </c>
      <c r="N36" s="600" t="s">
        <v>293</v>
      </c>
      <c r="O36" s="613" t="s">
        <v>34</v>
      </c>
      <c r="P36" s="614" t="s">
        <v>1106</v>
      </c>
    </row>
    <row r="37" spans="1:17" s="599" customFormat="1" ht="18" customHeight="1">
      <c r="B37" s="2646"/>
      <c r="C37" s="2647"/>
      <c r="D37" s="2651"/>
      <c r="E37" s="2652"/>
      <c r="F37" s="2652"/>
      <c r="G37" s="2652"/>
      <c r="H37" s="2652"/>
      <c r="I37" s="2653"/>
      <c r="J37" s="1011" t="s">
        <v>1107</v>
      </c>
      <c r="K37" s="601">
        <v>1</v>
      </c>
      <c r="L37" s="601">
        <v>0.8</v>
      </c>
      <c r="M37" s="602">
        <v>0.6</v>
      </c>
      <c r="N37" s="603">
        <v>0.5</v>
      </c>
      <c r="O37" s="615">
        <v>0.45</v>
      </c>
      <c r="P37" s="616">
        <v>0.4</v>
      </c>
    </row>
    <row r="38" spans="1:17" s="599" customFormat="1" ht="18" customHeight="1">
      <c r="B38" s="2646"/>
      <c r="C38" s="2647"/>
      <c r="D38" s="2651"/>
      <c r="E38" s="2652"/>
      <c r="F38" s="2652"/>
      <c r="G38" s="2652"/>
      <c r="H38" s="2652"/>
      <c r="I38" s="2653"/>
      <c r="J38" s="1011" t="s">
        <v>1108</v>
      </c>
      <c r="K38" s="601">
        <v>0.7</v>
      </c>
      <c r="L38" s="601">
        <v>0.6</v>
      </c>
      <c r="M38" s="602">
        <v>0.5</v>
      </c>
      <c r="N38" s="603">
        <v>0.4</v>
      </c>
      <c r="O38" s="615">
        <v>0.3</v>
      </c>
      <c r="P38" s="616">
        <v>0.2</v>
      </c>
    </row>
    <row r="39" spans="1:17" s="599" customFormat="1" ht="18" customHeight="1" thickBot="1">
      <c r="B39" s="2646"/>
      <c r="C39" s="2647"/>
      <c r="D39" s="2651"/>
      <c r="E39" s="2652"/>
      <c r="F39" s="2652"/>
      <c r="G39" s="2652"/>
      <c r="H39" s="2652"/>
      <c r="I39" s="2653"/>
      <c r="J39" s="617" t="s">
        <v>1109</v>
      </c>
      <c r="K39" s="618">
        <v>0.5</v>
      </c>
      <c r="L39" s="618">
        <v>0.4</v>
      </c>
      <c r="M39" s="619">
        <v>0.3</v>
      </c>
      <c r="N39" s="604">
        <v>0.2</v>
      </c>
      <c r="O39" s="615">
        <v>0.15</v>
      </c>
      <c r="P39" s="616">
        <v>0.1</v>
      </c>
    </row>
    <row r="40" spans="1:17" s="599" customFormat="1" ht="18" customHeight="1">
      <c r="B40" s="2644" t="s">
        <v>1110</v>
      </c>
      <c r="C40" s="2645"/>
      <c r="D40" s="2600" t="s">
        <v>1111</v>
      </c>
      <c r="E40" s="2601"/>
      <c r="F40" s="2601"/>
      <c r="G40" s="2601"/>
      <c r="H40" s="2601"/>
      <c r="I40" s="2601"/>
      <c r="J40" s="2601"/>
      <c r="K40" s="2603" t="s">
        <v>1112</v>
      </c>
      <c r="L40" s="2603"/>
      <c r="M40" s="2603" t="s">
        <v>1113</v>
      </c>
      <c r="N40" s="2604"/>
      <c r="O40" s="2604" t="s">
        <v>1114</v>
      </c>
      <c r="P40" s="2605"/>
    </row>
    <row r="41" spans="1:17" ht="18" customHeight="1">
      <c r="B41" s="2646"/>
      <c r="C41" s="2647"/>
      <c r="D41" s="2601"/>
      <c r="E41" s="2601"/>
      <c r="F41" s="2601"/>
      <c r="G41" s="2601"/>
      <c r="H41" s="2601"/>
      <c r="I41" s="2601"/>
      <c r="J41" s="2601"/>
      <c r="K41" s="2603" t="s">
        <v>1115</v>
      </c>
      <c r="L41" s="2603"/>
      <c r="M41" s="2601" t="s">
        <v>1116</v>
      </c>
      <c r="N41" s="2601"/>
      <c r="O41" s="2601" t="s">
        <v>1117</v>
      </c>
      <c r="P41" s="2606"/>
    </row>
    <row r="42" spans="1:17" ht="18" customHeight="1" thickBot="1">
      <c r="B42" s="2654"/>
      <c r="C42" s="2655"/>
      <c r="D42" s="2602"/>
      <c r="E42" s="2602"/>
      <c r="F42" s="2602"/>
      <c r="G42" s="2602"/>
      <c r="H42" s="2602"/>
      <c r="I42" s="2602"/>
      <c r="J42" s="2602"/>
      <c r="K42" s="2607" t="s">
        <v>1118</v>
      </c>
      <c r="L42" s="2607"/>
      <c r="M42" s="2602" t="s">
        <v>1119</v>
      </c>
      <c r="N42" s="2602"/>
      <c r="O42" s="2602" t="s">
        <v>1116</v>
      </c>
      <c r="P42" s="2608"/>
    </row>
  </sheetData>
  <mergeCells count="68">
    <mergeCell ref="B36:C39"/>
    <mergeCell ref="D36:I39"/>
    <mergeCell ref="B40:C42"/>
    <mergeCell ref="B19:C20"/>
    <mergeCell ref="D19:P19"/>
    <mergeCell ref="D20:P20"/>
    <mergeCell ref="D23:J23"/>
    <mergeCell ref="D24:J24"/>
    <mergeCell ref="B23:C23"/>
    <mergeCell ref="K23:P23"/>
    <mergeCell ref="B24:C24"/>
    <mergeCell ref="K24:P24"/>
    <mergeCell ref="D29:F29"/>
    <mergeCell ref="M29:P30"/>
    <mergeCell ref="D30:F30"/>
    <mergeCell ref="L33:L35"/>
    <mergeCell ref="D7:J7"/>
    <mergeCell ref="B7:C8"/>
    <mergeCell ref="K7:P8"/>
    <mergeCell ref="D8:J8"/>
    <mergeCell ref="D14:J14"/>
    <mergeCell ref="K14:P14"/>
    <mergeCell ref="B11:C11"/>
    <mergeCell ref="D11:J11"/>
    <mergeCell ref="K11:P11"/>
    <mergeCell ref="D12:J12"/>
    <mergeCell ref="K12:P12"/>
    <mergeCell ref="D13:J13"/>
    <mergeCell ref="K13:P13"/>
    <mergeCell ref="B12:C12"/>
    <mergeCell ref="B13:C14"/>
    <mergeCell ref="B1:P1"/>
    <mergeCell ref="B4:C4"/>
    <mergeCell ref="D4:J4"/>
    <mergeCell ref="K4:P4"/>
    <mergeCell ref="D5:J5"/>
    <mergeCell ref="K5:P5"/>
    <mergeCell ref="B5:C6"/>
    <mergeCell ref="D6:J6"/>
    <mergeCell ref="K6:P6"/>
    <mergeCell ref="B15:C15"/>
    <mergeCell ref="D15:J15"/>
    <mergeCell ref="K15:P15"/>
    <mergeCell ref="B18:C18"/>
    <mergeCell ref="D18:P18"/>
    <mergeCell ref="M33:M35"/>
    <mergeCell ref="N33:N35"/>
    <mergeCell ref="B25:C30"/>
    <mergeCell ref="D25:J25"/>
    <mergeCell ref="K25:P26"/>
    <mergeCell ref="D26:J26"/>
    <mergeCell ref="D27:F27"/>
    <mergeCell ref="B31:C35"/>
    <mergeCell ref="D31:I35"/>
    <mergeCell ref="J31:K31"/>
    <mergeCell ref="J32:K32"/>
    <mergeCell ref="J33:J35"/>
    <mergeCell ref="D28:F28"/>
    <mergeCell ref="D40:J42"/>
    <mergeCell ref="K40:L40"/>
    <mergeCell ref="M40:N40"/>
    <mergeCell ref="O40:P40"/>
    <mergeCell ref="K41:L41"/>
    <mergeCell ref="M41:N41"/>
    <mergeCell ref="O41:P41"/>
    <mergeCell ref="K42:L42"/>
    <mergeCell ref="M42:N42"/>
    <mergeCell ref="O42:P42"/>
  </mergeCells>
  <phoneticPr fontId="99" type="noConversion"/>
  <printOptions horizontalCentered="1" verticalCentered="1"/>
  <pageMargins left="0.31496062992125984" right="0.31496062992125984" top="0.31496062992125984" bottom="0.31496062992125984" header="0" footer="0"/>
  <pageSetup paperSize="9" scale="71" orientation="landscape"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32"/>
  <sheetViews>
    <sheetView zoomScaleNormal="100" workbookViewId="0"/>
  </sheetViews>
  <sheetFormatPr defaultRowHeight="18" customHeight="1"/>
  <cols>
    <col min="1" max="1" width="1" style="228" customWidth="1"/>
    <col min="2" max="2" width="20.25" style="228" customWidth="1"/>
    <col min="3" max="3" width="12.5" style="228" customWidth="1"/>
    <col min="4" max="5" width="7" style="228" customWidth="1"/>
    <col min="6" max="6" width="6" style="228" customWidth="1"/>
    <col min="7" max="7" width="7.375" style="228" customWidth="1"/>
    <col min="8" max="8" width="5.5" style="228" customWidth="1"/>
    <col min="9" max="14" width="6.375" style="228" customWidth="1"/>
    <col min="15" max="32" width="7.625" style="228" customWidth="1"/>
    <col min="33" max="16384" width="9" style="228"/>
  </cols>
  <sheetData>
    <row r="1" spans="1:32" s="16" customFormat="1" ht="30" customHeight="1" thickBot="1">
      <c r="A1" s="34"/>
      <c r="B1" s="1271" t="s">
        <v>1744</v>
      </c>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row>
    <row r="2" spans="1:32" s="2" customFormat="1" ht="6" customHeight="1" thickTop="1">
      <c r="A2" s="5"/>
      <c r="B2" s="37"/>
      <c r="C2" s="37"/>
      <c r="D2" s="37"/>
      <c r="E2" s="37"/>
      <c r="F2" s="37"/>
      <c r="G2" s="37"/>
      <c r="H2" s="37"/>
      <c r="I2" s="5"/>
      <c r="J2" s="5"/>
      <c r="K2" s="6"/>
      <c r="L2" s="6"/>
      <c r="M2" s="6"/>
      <c r="N2" s="6"/>
      <c r="O2" s="6"/>
      <c r="P2" s="5"/>
      <c r="Q2" s="5"/>
      <c r="R2" s="5"/>
      <c r="S2" s="5"/>
      <c r="T2" s="5"/>
      <c r="U2" s="5"/>
      <c r="V2" s="5"/>
      <c r="W2" s="5"/>
      <c r="X2" s="5"/>
      <c r="Y2" s="5"/>
      <c r="Z2" s="5"/>
      <c r="AA2" s="5"/>
      <c r="AB2" s="5"/>
      <c r="AC2" s="5"/>
      <c r="AD2" s="5"/>
      <c r="AE2" s="5"/>
      <c r="AF2" s="5"/>
    </row>
    <row r="3" spans="1:32" s="274" customFormat="1" ht="18" customHeight="1">
      <c r="B3" s="364" t="s">
        <v>1746</v>
      </c>
      <c r="C3" s="273"/>
      <c r="D3" s="273"/>
      <c r="E3" s="273"/>
      <c r="F3" s="273"/>
      <c r="G3" s="273"/>
      <c r="O3" s="275"/>
      <c r="P3" s="275"/>
      <c r="Q3" s="275"/>
    </row>
    <row r="4" spans="1:32" s="2" customFormat="1" ht="6" customHeight="1" thickBot="1">
      <c r="A4" s="5"/>
      <c r="B4" s="37"/>
      <c r="C4" s="37"/>
      <c r="D4" s="37"/>
      <c r="E4" s="37"/>
      <c r="F4" s="37"/>
      <c r="G4" s="37"/>
      <c r="H4" s="37"/>
      <c r="I4" s="5"/>
      <c r="J4" s="5"/>
      <c r="K4" s="6"/>
      <c r="L4" s="6"/>
      <c r="M4" s="6"/>
      <c r="N4" s="6"/>
      <c r="O4" s="6"/>
      <c r="P4" s="5"/>
      <c r="Q4" s="5"/>
      <c r="R4" s="5"/>
      <c r="S4" s="5"/>
      <c r="T4" s="5"/>
      <c r="U4" s="5"/>
      <c r="V4" s="5"/>
      <c r="W4" s="5"/>
      <c r="X4" s="5"/>
      <c r="Y4" s="5"/>
      <c r="Z4" s="5"/>
      <c r="AA4" s="5"/>
      <c r="AB4" s="5"/>
      <c r="AC4" s="5"/>
      <c r="AD4" s="5"/>
      <c r="AE4" s="5"/>
      <c r="AF4" s="5"/>
    </row>
    <row r="5" spans="1:32" ht="21.75" customHeight="1">
      <c r="A5" s="17"/>
      <c r="B5" s="1483" t="s">
        <v>982</v>
      </c>
      <c r="C5" s="2410"/>
      <c r="D5" s="1483" t="s">
        <v>997</v>
      </c>
      <c r="E5" s="2410"/>
      <c r="F5" s="2685" t="s">
        <v>1120</v>
      </c>
      <c r="G5" s="986" t="s">
        <v>1121</v>
      </c>
      <c r="H5" s="986" t="s">
        <v>1122</v>
      </c>
      <c r="I5" s="1356" t="s">
        <v>1123</v>
      </c>
      <c r="J5" s="1590"/>
      <c r="K5" s="1590"/>
      <c r="L5" s="1357"/>
      <c r="M5" s="1590" t="s">
        <v>1124</v>
      </c>
      <c r="N5" s="2410"/>
      <c r="O5" s="1992" t="s">
        <v>991</v>
      </c>
      <c r="P5" s="1985"/>
      <c r="Q5" s="1988"/>
      <c r="R5" s="1991" t="s">
        <v>992</v>
      </c>
      <c r="S5" s="1990"/>
      <c r="T5" s="1004">
        <v>0.93</v>
      </c>
      <c r="U5" s="1991" t="s">
        <v>993</v>
      </c>
      <c r="V5" s="1990"/>
      <c r="W5" s="1004">
        <v>0.86</v>
      </c>
      <c r="X5" s="1991" t="s">
        <v>994</v>
      </c>
      <c r="Y5" s="1990"/>
      <c r="Z5" s="1004">
        <v>0.83</v>
      </c>
      <c r="AA5" s="1991" t="s">
        <v>995</v>
      </c>
      <c r="AB5" s="1990"/>
      <c r="AC5" s="1004">
        <v>0.75</v>
      </c>
      <c r="AD5" s="1992" t="s">
        <v>996</v>
      </c>
      <c r="AE5" s="1993"/>
      <c r="AF5" s="1004">
        <v>0.7</v>
      </c>
    </row>
    <row r="6" spans="1:32" ht="24.95" customHeight="1" thickBot="1">
      <c r="A6" s="17"/>
      <c r="B6" s="453" t="s">
        <v>1125</v>
      </c>
      <c r="C6" s="61" t="s">
        <v>1126</v>
      </c>
      <c r="D6" s="308" t="s">
        <v>983</v>
      </c>
      <c r="E6" s="61" t="s">
        <v>907</v>
      </c>
      <c r="F6" s="2686"/>
      <c r="G6" s="605">
        <v>2.7</v>
      </c>
      <c r="H6" s="455">
        <v>0.4</v>
      </c>
      <c r="I6" s="454" t="s">
        <v>1127</v>
      </c>
      <c r="J6" s="454" t="s">
        <v>1128</v>
      </c>
      <c r="K6" s="454" t="s">
        <v>1129</v>
      </c>
      <c r="L6" s="454" t="s">
        <v>1130</v>
      </c>
      <c r="M6" s="1007" t="s">
        <v>1131</v>
      </c>
      <c r="N6" s="1006" t="s">
        <v>1132</v>
      </c>
      <c r="O6" s="606" t="s">
        <v>1008</v>
      </c>
      <c r="P6" s="607" t="s">
        <v>1009</v>
      </c>
      <c r="Q6" s="608" t="s">
        <v>1010</v>
      </c>
      <c r="R6" s="606" t="s">
        <v>1008</v>
      </c>
      <c r="S6" s="607" t="s">
        <v>1009</v>
      </c>
      <c r="T6" s="608" t="s">
        <v>1010</v>
      </c>
      <c r="U6" s="606" t="s">
        <v>1008</v>
      </c>
      <c r="V6" s="607" t="s">
        <v>1009</v>
      </c>
      <c r="W6" s="608" t="s">
        <v>1010</v>
      </c>
      <c r="X6" s="606" t="s">
        <v>1008</v>
      </c>
      <c r="Y6" s="607" t="s">
        <v>1009</v>
      </c>
      <c r="Z6" s="608" t="s">
        <v>1010</v>
      </c>
      <c r="AA6" s="606" t="s">
        <v>1008</v>
      </c>
      <c r="AB6" s="607" t="s">
        <v>1009</v>
      </c>
      <c r="AC6" s="608" t="s">
        <v>1010</v>
      </c>
      <c r="AD6" s="606" t="s">
        <v>1008</v>
      </c>
      <c r="AE6" s="607" t="s">
        <v>1009</v>
      </c>
      <c r="AF6" s="608" t="s">
        <v>1010</v>
      </c>
    </row>
    <row r="7" spans="1:32" ht="18" customHeight="1">
      <c r="A7" s="17"/>
      <c r="B7" s="2682" t="s">
        <v>1133</v>
      </c>
      <c r="C7" s="2683"/>
      <c r="D7" s="2684">
        <v>1000</v>
      </c>
      <c r="E7" s="1250">
        <f>C8*D7</f>
        <v>1700</v>
      </c>
      <c r="F7" s="1263">
        <f>E7</f>
        <v>1700</v>
      </c>
      <c r="G7" s="1245">
        <f>E7*$G$6</f>
        <v>4590</v>
      </c>
      <c r="H7" s="1245">
        <f>E7*$H$6</f>
        <v>680</v>
      </c>
      <c r="I7" s="1245">
        <f>E7*20%*5</f>
        <v>1700</v>
      </c>
      <c r="J7" s="1245">
        <f>E7*18%*6</f>
        <v>1836</v>
      </c>
      <c r="K7" s="1245">
        <f>E7*8.5%*12</f>
        <v>1734</v>
      </c>
      <c r="L7" s="2681">
        <f>E7*7.5%*12</f>
        <v>1530</v>
      </c>
      <c r="M7" s="1245">
        <f>E7*4%*12</f>
        <v>816</v>
      </c>
      <c r="N7" s="2676">
        <f>E7*3%*12</f>
        <v>612</v>
      </c>
      <c r="O7" s="152">
        <f>F7+G7+H7</f>
        <v>6970</v>
      </c>
      <c r="P7" s="155">
        <f>F7+G7+H7+I7+J7</f>
        <v>10506</v>
      </c>
      <c r="Q7" s="154">
        <f>F7+G7+H7+I7+J7+K7+L7+M7+N7</f>
        <v>15198</v>
      </c>
      <c r="R7" s="22">
        <f>O7*$T$5</f>
        <v>6482.1</v>
      </c>
      <c r="S7" s="23">
        <f>P7*$T$5</f>
        <v>9770.58</v>
      </c>
      <c r="T7" s="24">
        <f>Q7*$T$5</f>
        <v>14134.140000000001</v>
      </c>
      <c r="U7" s="22">
        <f>O7*$W$5</f>
        <v>5994.2</v>
      </c>
      <c r="V7" s="23">
        <f>P7*$W$5</f>
        <v>9035.16</v>
      </c>
      <c r="W7" s="24">
        <f>Q7*$W$5</f>
        <v>13070.28</v>
      </c>
      <c r="X7" s="22">
        <f>O7*$Z$5</f>
        <v>5785.0999999999995</v>
      </c>
      <c r="Y7" s="23">
        <f>P7*$Z$5</f>
        <v>8719.98</v>
      </c>
      <c r="Z7" s="24">
        <f>Q7*$Z$5</f>
        <v>12614.34</v>
      </c>
      <c r="AA7" s="22">
        <f>O7*$AC$5</f>
        <v>5227.5</v>
      </c>
      <c r="AB7" s="23">
        <f>P7*$AC$5</f>
        <v>7879.5</v>
      </c>
      <c r="AC7" s="24">
        <f>Q7*$AC$5</f>
        <v>11398.5</v>
      </c>
      <c r="AD7" s="22">
        <f>O7*$AF$5</f>
        <v>4879</v>
      </c>
      <c r="AE7" s="23">
        <f>P7*$AF$5</f>
        <v>7354.2</v>
      </c>
      <c r="AF7" s="24">
        <f>Q7*$AF$5</f>
        <v>10638.599999999999</v>
      </c>
    </row>
    <row r="8" spans="1:32" ht="18" customHeight="1">
      <c r="A8" s="17"/>
      <c r="B8" s="764" t="s">
        <v>1134</v>
      </c>
      <c r="C8" s="765">
        <v>1.7</v>
      </c>
      <c r="D8" s="1621"/>
      <c r="E8" s="1251"/>
      <c r="F8" s="1230"/>
      <c r="G8" s="1232"/>
      <c r="H8" s="1232"/>
      <c r="I8" s="1232"/>
      <c r="J8" s="1232"/>
      <c r="K8" s="1232"/>
      <c r="L8" s="1236"/>
      <c r="M8" s="1232"/>
      <c r="N8" s="2677"/>
      <c r="O8" s="186">
        <f t="shared" ref="O8:AF8" si="0">O7/$D$7</f>
        <v>6.97</v>
      </c>
      <c r="P8" s="189">
        <f>P7/D7</f>
        <v>10.506</v>
      </c>
      <c r="Q8" s="188">
        <f t="shared" si="0"/>
        <v>15.198</v>
      </c>
      <c r="R8" s="186">
        <f t="shared" si="0"/>
        <v>6.4821</v>
      </c>
      <c r="S8" s="189">
        <f>S7/D7</f>
        <v>9.7705800000000007</v>
      </c>
      <c r="T8" s="188">
        <f t="shared" si="0"/>
        <v>14.13414</v>
      </c>
      <c r="U8" s="186">
        <f t="shared" si="0"/>
        <v>5.9942000000000002</v>
      </c>
      <c r="V8" s="189">
        <f>V7/D7</f>
        <v>9.0351599999999994</v>
      </c>
      <c r="W8" s="188">
        <f>W7/$D$7</f>
        <v>13.07028</v>
      </c>
      <c r="X8" s="186">
        <f t="shared" si="0"/>
        <v>5.785099999999999</v>
      </c>
      <c r="Y8" s="189">
        <f>Y7/D7</f>
        <v>8.7199799999999996</v>
      </c>
      <c r="Z8" s="188">
        <f t="shared" si="0"/>
        <v>12.61434</v>
      </c>
      <c r="AA8" s="186">
        <f t="shared" si="0"/>
        <v>5.2275</v>
      </c>
      <c r="AB8" s="189">
        <f>AB7/D7</f>
        <v>7.8795000000000002</v>
      </c>
      <c r="AC8" s="188">
        <f t="shared" si="0"/>
        <v>11.3985</v>
      </c>
      <c r="AD8" s="186">
        <f t="shared" si="0"/>
        <v>4.8789999999999996</v>
      </c>
      <c r="AE8" s="189">
        <f>AE7/D7</f>
        <v>7.3541999999999996</v>
      </c>
      <c r="AF8" s="188">
        <f t="shared" si="0"/>
        <v>10.638599999999999</v>
      </c>
    </row>
    <row r="9" spans="1:32" ht="18" customHeight="1">
      <c r="A9" s="17"/>
      <c r="B9" s="2678" t="s">
        <v>1135</v>
      </c>
      <c r="C9" s="2679"/>
      <c r="D9" s="2680">
        <v>1000</v>
      </c>
      <c r="E9" s="1492">
        <f>C10*D9</f>
        <v>1550</v>
      </c>
      <c r="F9" s="1390">
        <f>E9</f>
        <v>1550</v>
      </c>
      <c r="G9" s="1268">
        <f t="shared" ref="G9" si="1">E9*$G$6</f>
        <v>4185</v>
      </c>
      <c r="H9" s="1268">
        <f t="shared" ref="H9" si="2">E9*$H$6</f>
        <v>620</v>
      </c>
      <c r="I9" s="1268">
        <f>E9*20%*5</f>
        <v>1550</v>
      </c>
      <c r="J9" s="1268">
        <f>E9*18%*6</f>
        <v>1674</v>
      </c>
      <c r="K9" s="1268">
        <f>E9*8.5%*12</f>
        <v>1581</v>
      </c>
      <c r="L9" s="1268"/>
      <c r="M9" s="1268">
        <f>E9*4%*12</f>
        <v>744</v>
      </c>
      <c r="N9" s="2674">
        <f>E9*3%*12</f>
        <v>558</v>
      </c>
      <c r="O9" s="25">
        <f>F9+G9+H9</f>
        <v>6355</v>
      </c>
      <c r="P9" s="26">
        <f>F9+G9+H9+I9+J9</f>
        <v>9579</v>
      </c>
      <c r="Q9" s="27">
        <f>F9+G9+H9+I9+J9+K9+L9+M9+N9</f>
        <v>12462</v>
      </c>
      <c r="R9" s="25">
        <f>O9*$T$5</f>
        <v>5910.1500000000005</v>
      </c>
      <c r="S9" s="26">
        <f>P9*$T$5</f>
        <v>8908.4700000000012</v>
      </c>
      <c r="T9" s="27">
        <f>Q9*$T$5</f>
        <v>11589.66</v>
      </c>
      <c r="U9" s="25">
        <f t="shared" ref="U9:W9" si="3">O9*$W$5</f>
        <v>5465.3</v>
      </c>
      <c r="V9" s="26">
        <f t="shared" si="3"/>
        <v>8237.94</v>
      </c>
      <c r="W9" s="27">
        <f t="shared" si="3"/>
        <v>10717.32</v>
      </c>
      <c r="X9" s="25">
        <f>O9*$Z$5</f>
        <v>5274.65</v>
      </c>
      <c r="Y9" s="26">
        <f>P9*$Z$5</f>
        <v>7950.57</v>
      </c>
      <c r="Z9" s="27">
        <f>Q9*$Z$5</f>
        <v>10343.459999999999</v>
      </c>
      <c r="AA9" s="25">
        <f>O9*$AC$5</f>
        <v>4766.25</v>
      </c>
      <c r="AB9" s="26">
        <f>P9*$AC$5</f>
        <v>7184.25</v>
      </c>
      <c r="AC9" s="27">
        <f>Q9*$AC$5</f>
        <v>9346.5</v>
      </c>
      <c r="AD9" s="25">
        <f>O9*$AF$5</f>
        <v>4448.5</v>
      </c>
      <c r="AE9" s="26">
        <f>P9*$AF$5</f>
        <v>6705.2999999999993</v>
      </c>
      <c r="AF9" s="27">
        <f>Q9*$AF$5</f>
        <v>8723.4</v>
      </c>
    </row>
    <row r="10" spans="1:32" ht="18" customHeight="1">
      <c r="A10" s="17"/>
      <c r="B10" s="764" t="s">
        <v>1136</v>
      </c>
      <c r="C10" s="765">
        <v>1.55</v>
      </c>
      <c r="D10" s="1621"/>
      <c r="E10" s="1251"/>
      <c r="F10" s="1230"/>
      <c r="G10" s="1232"/>
      <c r="H10" s="1232"/>
      <c r="I10" s="1232"/>
      <c r="J10" s="1232"/>
      <c r="K10" s="1232"/>
      <c r="L10" s="1232"/>
      <c r="M10" s="1232"/>
      <c r="N10" s="2677"/>
      <c r="O10" s="186">
        <f>O9/$D$9</f>
        <v>6.3550000000000004</v>
      </c>
      <c r="P10" s="189">
        <f t="shared" ref="P10:AF10" si="4">P9/$D$9</f>
        <v>9.5790000000000006</v>
      </c>
      <c r="Q10" s="188">
        <f t="shared" si="4"/>
        <v>12.462</v>
      </c>
      <c r="R10" s="186">
        <f t="shared" si="4"/>
        <v>5.9101500000000007</v>
      </c>
      <c r="S10" s="189">
        <f t="shared" si="4"/>
        <v>8.9084700000000012</v>
      </c>
      <c r="T10" s="188">
        <f t="shared" si="4"/>
        <v>11.58966</v>
      </c>
      <c r="U10" s="186">
        <f t="shared" ref="U10" si="5">U9/$D$7</f>
        <v>5.4653</v>
      </c>
      <c r="V10" s="189">
        <f t="shared" ref="V10" si="6">V9/D9</f>
        <v>8.23794</v>
      </c>
      <c r="W10" s="188">
        <f t="shared" ref="W10" si="7">W9/$D$7</f>
        <v>10.717319999999999</v>
      </c>
      <c r="X10" s="186">
        <f t="shared" si="4"/>
        <v>5.2746499999999994</v>
      </c>
      <c r="Y10" s="189">
        <f t="shared" si="4"/>
        <v>7.9505699999999999</v>
      </c>
      <c r="Z10" s="188">
        <f t="shared" si="4"/>
        <v>10.343459999999999</v>
      </c>
      <c r="AA10" s="186">
        <f t="shared" si="4"/>
        <v>4.7662500000000003</v>
      </c>
      <c r="AB10" s="189">
        <f t="shared" si="4"/>
        <v>7.1842499999999996</v>
      </c>
      <c r="AC10" s="188">
        <f t="shared" si="4"/>
        <v>9.3465000000000007</v>
      </c>
      <c r="AD10" s="186">
        <f t="shared" si="4"/>
        <v>4.4485000000000001</v>
      </c>
      <c r="AE10" s="189">
        <f t="shared" si="4"/>
        <v>6.7052999999999994</v>
      </c>
      <c r="AF10" s="188">
        <f t="shared" si="4"/>
        <v>8.7233999999999998</v>
      </c>
    </row>
    <row r="11" spans="1:32" ht="18" customHeight="1">
      <c r="A11" s="17"/>
      <c r="B11" s="2678" t="s">
        <v>1137</v>
      </c>
      <c r="C11" s="2679"/>
      <c r="D11" s="2680">
        <v>1000</v>
      </c>
      <c r="E11" s="1492">
        <f>C12*D11</f>
        <v>800</v>
      </c>
      <c r="F11" s="1390">
        <f>E11</f>
        <v>800</v>
      </c>
      <c r="G11" s="1268">
        <f t="shared" ref="G11" si="8">E11*$G$6</f>
        <v>2160</v>
      </c>
      <c r="H11" s="1268"/>
      <c r="I11" s="1268">
        <f>E11*20%*5</f>
        <v>800</v>
      </c>
      <c r="J11" s="1268">
        <f>E11*18%*6</f>
        <v>864</v>
      </c>
      <c r="K11" s="1268">
        <f>E11*8.5%*12</f>
        <v>816</v>
      </c>
      <c r="L11" s="2688">
        <f>E11*2.5%*12</f>
        <v>240</v>
      </c>
      <c r="M11" s="1268">
        <f>E11*3%*12</f>
        <v>288</v>
      </c>
      <c r="N11" s="2674">
        <f>E11*2%*12</f>
        <v>192</v>
      </c>
      <c r="O11" s="25">
        <f>F11+G11+H11</f>
        <v>2960</v>
      </c>
      <c r="P11" s="26">
        <f>F11+G11+H11+I11+J11</f>
        <v>4624</v>
      </c>
      <c r="Q11" s="27">
        <f>F11+G11+H11+I11+J11+K11+L11+M11+N11</f>
        <v>6160</v>
      </c>
      <c r="R11" s="25">
        <f>O11*$T$5</f>
        <v>2752.8</v>
      </c>
      <c r="S11" s="26">
        <f>P11*$T$5</f>
        <v>4300.3200000000006</v>
      </c>
      <c r="T11" s="27">
        <f>Q11*$T$5</f>
        <v>5728.8</v>
      </c>
      <c r="U11" s="25">
        <f t="shared" ref="U11:W11" si="9">O11*$W$5</f>
        <v>2545.6</v>
      </c>
      <c r="V11" s="26">
        <f t="shared" si="9"/>
        <v>3976.64</v>
      </c>
      <c r="W11" s="27">
        <f t="shared" si="9"/>
        <v>5297.6</v>
      </c>
      <c r="X11" s="25">
        <f>O11*$Z$5</f>
        <v>2456.7999999999997</v>
      </c>
      <c r="Y11" s="26">
        <f>P11*$Z$5</f>
        <v>3837.9199999999996</v>
      </c>
      <c r="Z11" s="27">
        <f>Q11*$Z$5</f>
        <v>5112.8</v>
      </c>
      <c r="AA11" s="25">
        <f>O11*$AC$5</f>
        <v>2220</v>
      </c>
      <c r="AB11" s="26">
        <f>P11*$AC$5</f>
        <v>3468</v>
      </c>
      <c r="AC11" s="27">
        <f>Q11*$AC$5</f>
        <v>4620</v>
      </c>
      <c r="AD11" s="25">
        <f>O11*$AF$5</f>
        <v>2072</v>
      </c>
      <c r="AE11" s="26">
        <f>P11*$AF$5</f>
        <v>3236.7999999999997</v>
      </c>
      <c r="AF11" s="27">
        <f>Q11*$AF$5</f>
        <v>4312</v>
      </c>
    </row>
    <row r="12" spans="1:32" ht="18" customHeight="1">
      <c r="A12" s="17"/>
      <c r="B12" s="764" t="s">
        <v>1138</v>
      </c>
      <c r="C12" s="765">
        <v>0.8</v>
      </c>
      <c r="D12" s="1621"/>
      <c r="E12" s="1251"/>
      <c r="F12" s="1230"/>
      <c r="G12" s="1232"/>
      <c r="H12" s="1232"/>
      <c r="I12" s="1232"/>
      <c r="J12" s="1232"/>
      <c r="K12" s="1232"/>
      <c r="L12" s="1236"/>
      <c r="M12" s="1232"/>
      <c r="N12" s="2677"/>
      <c r="O12" s="186">
        <f t="shared" ref="O12:AF12" si="10">O11/$D$11</f>
        <v>2.96</v>
      </c>
      <c r="P12" s="189">
        <f>P11/D11</f>
        <v>4.6239999999999997</v>
      </c>
      <c r="Q12" s="188">
        <f t="shared" si="10"/>
        <v>6.16</v>
      </c>
      <c r="R12" s="186">
        <f t="shared" si="10"/>
        <v>2.7528000000000001</v>
      </c>
      <c r="S12" s="189">
        <f>S11/D11</f>
        <v>4.300320000000001</v>
      </c>
      <c r="T12" s="188">
        <f t="shared" si="10"/>
        <v>5.7288000000000006</v>
      </c>
      <c r="U12" s="186">
        <f t="shared" ref="U12" si="11">U11/$D$7</f>
        <v>2.5455999999999999</v>
      </c>
      <c r="V12" s="189">
        <f t="shared" ref="V12" si="12">V11/D11</f>
        <v>3.9766399999999997</v>
      </c>
      <c r="W12" s="188">
        <f t="shared" ref="W12" si="13">W11/$D$7</f>
        <v>5.2976000000000001</v>
      </c>
      <c r="X12" s="186">
        <f t="shared" si="10"/>
        <v>2.4567999999999999</v>
      </c>
      <c r="Y12" s="189">
        <f>Y11/D11</f>
        <v>3.8379199999999996</v>
      </c>
      <c r="Z12" s="188">
        <f t="shared" si="10"/>
        <v>5.1128</v>
      </c>
      <c r="AA12" s="186">
        <f t="shared" si="10"/>
        <v>2.2200000000000002</v>
      </c>
      <c r="AB12" s="189">
        <f>AB11/D11</f>
        <v>3.468</v>
      </c>
      <c r="AC12" s="188">
        <f t="shared" si="10"/>
        <v>4.62</v>
      </c>
      <c r="AD12" s="186">
        <f t="shared" si="10"/>
        <v>2.0720000000000001</v>
      </c>
      <c r="AE12" s="189">
        <f>AE11/D11</f>
        <v>3.2367999999999997</v>
      </c>
      <c r="AF12" s="188">
        <f t="shared" si="10"/>
        <v>4.3120000000000003</v>
      </c>
    </row>
    <row r="13" spans="1:32" ht="18" customHeight="1">
      <c r="A13" s="17"/>
      <c r="B13" s="2678" t="s">
        <v>1139</v>
      </c>
      <c r="C13" s="2679"/>
      <c r="D13" s="2680">
        <v>1000</v>
      </c>
      <c r="E13" s="1492">
        <f>C14*D13</f>
        <v>1600</v>
      </c>
      <c r="F13" s="1390">
        <f>E13</f>
        <v>1600</v>
      </c>
      <c r="G13" s="1268">
        <f t="shared" ref="G13" si="14">E13*$G$6</f>
        <v>4320</v>
      </c>
      <c r="H13" s="1268">
        <f t="shared" ref="H13" si="15">E13*$H$6</f>
        <v>640</v>
      </c>
      <c r="I13" s="1268">
        <f>E13*20%*5</f>
        <v>1600</v>
      </c>
      <c r="J13" s="1268">
        <f>E13*18%*6</f>
        <v>1728</v>
      </c>
      <c r="K13" s="1268">
        <f>E13*8.5%*12</f>
        <v>1632</v>
      </c>
      <c r="L13" s="2688">
        <f>E13*5%*12</f>
        <v>960</v>
      </c>
      <c r="M13" s="1268">
        <f>E13*4%*12</f>
        <v>768</v>
      </c>
      <c r="N13" s="2674">
        <f>E13*3%*12</f>
        <v>576</v>
      </c>
      <c r="O13" s="25">
        <f>F13+G13+H13</f>
        <v>6560</v>
      </c>
      <c r="P13" s="26">
        <f>F13+G13+H13+I13+J13</f>
        <v>9888</v>
      </c>
      <c r="Q13" s="27">
        <f>F13+G13+H13+I13+J13+K13+L13+M13+N13</f>
        <v>13824</v>
      </c>
      <c r="R13" s="25">
        <f>O13*$T$5</f>
        <v>6100.8</v>
      </c>
      <c r="S13" s="26">
        <f>P13*$T$5</f>
        <v>9195.84</v>
      </c>
      <c r="T13" s="27">
        <f>Q13*$T$5</f>
        <v>12856.320000000002</v>
      </c>
      <c r="U13" s="25">
        <f t="shared" ref="U13:W13" si="16">O13*$W$5</f>
        <v>5641.6</v>
      </c>
      <c r="V13" s="26">
        <f t="shared" si="16"/>
        <v>8503.68</v>
      </c>
      <c r="W13" s="27">
        <f t="shared" si="16"/>
        <v>11888.64</v>
      </c>
      <c r="X13" s="25">
        <f>O13*$Z$5</f>
        <v>5444.8</v>
      </c>
      <c r="Y13" s="26">
        <f>P13*$Z$5</f>
        <v>8207.0399999999991</v>
      </c>
      <c r="Z13" s="27">
        <f>Q13*$Z$5</f>
        <v>11473.92</v>
      </c>
      <c r="AA13" s="25">
        <f>O13*$AC$5</f>
        <v>4920</v>
      </c>
      <c r="AB13" s="26">
        <f>P13*$AC$5</f>
        <v>7416</v>
      </c>
      <c r="AC13" s="27">
        <f>Q13*$AC$5</f>
        <v>10368</v>
      </c>
      <c r="AD13" s="25">
        <f>O13*$AF$5</f>
        <v>4592</v>
      </c>
      <c r="AE13" s="26">
        <f>P13*$AF$5</f>
        <v>6921.5999999999995</v>
      </c>
      <c r="AF13" s="27">
        <f>Q13*$AF$5</f>
        <v>9676.7999999999993</v>
      </c>
    </row>
    <row r="14" spans="1:32" ht="18" customHeight="1">
      <c r="A14" s="17"/>
      <c r="B14" s="764" t="s">
        <v>294</v>
      </c>
      <c r="C14" s="765">
        <v>1.6</v>
      </c>
      <c r="D14" s="1621"/>
      <c r="E14" s="1251"/>
      <c r="F14" s="1230"/>
      <c r="G14" s="1232"/>
      <c r="H14" s="1232"/>
      <c r="I14" s="1232"/>
      <c r="J14" s="1232"/>
      <c r="K14" s="1232"/>
      <c r="L14" s="1236"/>
      <c r="M14" s="1232"/>
      <c r="N14" s="2677"/>
      <c r="O14" s="186">
        <f t="shared" ref="O14:AF14" si="17">O13/$D$13</f>
        <v>6.56</v>
      </c>
      <c r="P14" s="189">
        <f>P13/D13</f>
        <v>9.8879999999999999</v>
      </c>
      <c r="Q14" s="188">
        <f t="shared" si="17"/>
        <v>13.824</v>
      </c>
      <c r="R14" s="186">
        <f t="shared" si="17"/>
        <v>6.1008000000000004</v>
      </c>
      <c r="S14" s="189">
        <f>S13/D13</f>
        <v>9.1958400000000005</v>
      </c>
      <c r="T14" s="188">
        <f t="shared" si="17"/>
        <v>12.856320000000002</v>
      </c>
      <c r="U14" s="186">
        <f t="shared" ref="U14" si="18">U13/$D$7</f>
        <v>5.6416000000000004</v>
      </c>
      <c r="V14" s="189">
        <f t="shared" ref="V14" si="19">V13/D13</f>
        <v>8.503680000000001</v>
      </c>
      <c r="W14" s="188">
        <f t="shared" ref="W14" si="20">W13/$D$7</f>
        <v>11.888639999999999</v>
      </c>
      <c r="X14" s="186">
        <f t="shared" si="17"/>
        <v>5.4447999999999999</v>
      </c>
      <c r="Y14" s="189">
        <f>Y13/D13</f>
        <v>8.2070399999999992</v>
      </c>
      <c r="Z14" s="188">
        <f t="shared" si="17"/>
        <v>11.47392</v>
      </c>
      <c r="AA14" s="186">
        <f t="shared" si="17"/>
        <v>4.92</v>
      </c>
      <c r="AB14" s="189">
        <f>AB13/D13</f>
        <v>7.4160000000000004</v>
      </c>
      <c r="AC14" s="188">
        <f t="shared" si="17"/>
        <v>10.368</v>
      </c>
      <c r="AD14" s="186">
        <f t="shared" si="17"/>
        <v>4.5919999999999996</v>
      </c>
      <c r="AE14" s="189">
        <f>AE13/D13</f>
        <v>6.9215999999999998</v>
      </c>
      <c r="AF14" s="188">
        <f t="shared" si="17"/>
        <v>9.6768000000000001</v>
      </c>
    </row>
    <row r="15" spans="1:32" ht="18" customHeight="1">
      <c r="A15" s="17"/>
      <c r="B15" s="2678" t="s">
        <v>1140</v>
      </c>
      <c r="C15" s="2679"/>
      <c r="D15" s="2680">
        <v>1000</v>
      </c>
      <c r="E15" s="1492">
        <f>C16*D15</f>
        <v>370</v>
      </c>
      <c r="F15" s="2680">
        <f>E15</f>
        <v>370</v>
      </c>
      <c r="G15" s="1613">
        <f t="shared" ref="G15" si="21">E15*$G$6</f>
        <v>999.00000000000011</v>
      </c>
      <c r="H15" s="1613"/>
      <c r="I15" s="1268">
        <f>E15*20%*5</f>
        <v>370</v>
      </c>
      <c r="J15" s="1268">
        <f>E15*18%*6</f>
        <v>399.59999999999997</v>
      </c>
      <c r="K15" s="1268">
        <f>E15*8.5%*12</f>
        <v>377.40000000000003</v>
      </c>
      <c r="L15" s="2688">
        <f>E15*2.5%*12</f>
        <v>111</v>
      </c>
      <c r="M15" s="1268">
        <f>E15*3%*12</f>
        <v>133.19999999999999</v>
      </c>
      <c r="N15" s="2674">
        <f>E15*2%*12</f>
        <v>88.800000000000011</v>
      </c>
      <c r="O15" s="25">
        <f>F15+G15+H15</f>
        <v>1369</v>
      </c>
      <c r="P15" s="26">
        <f>F15+G15+H15+I15+J15</f>
        <v>2138.6</v>
      </c>
      <c r="Q15" s="27">
        <f>F15+G15+H15+I15+J15+K15+L15+M15+N15</f>
        <v>2849</v>
      </c>
      <c r="R15" s="25">
        <f>O15*$T$5</f>
        <v>1273.17</v>
      </c>
      <c r="S15" s="26">
        <f>P15*$T$5</f>
        <v>1988.8979999999999</v>
      </c>
      <c r="T15" s="27">
        <f>Q15*$T$5</f>
        <v>2649.57</v>
      </c>
      <c r="U15" s="25">
        <f t="shared" ref="U15:W15" si="22">O15*$W$5</f>
        <v>1177.3399999999999</v>
      </c>
      <c r="V15" s="26">
        <f t="shared" si="22"/>
        <v>1839.1959999999999</v>
      </c>
      <c r="W15" s="27">
        <f t="shared" si="22"/>
        <v>2450.14</v>
      </c>
      <c r="X15" s="25">
        <f>O15*$Z$5</f>
        <v>1136.27</v>
      </c>
      <c r="Y15" s="26">
        <f>P15*$Z$5</f>
        <v>1775.0379999999998</v>
      </c>
      <c r="Z15" s="27">
        <f>Q15*$Z$5</f>
        <v>2364.67</v>
      </c>
      <c r="AA15" s="25">
        <f>O15*$AC$5</f>
        <v>1026.75</v>
      </c>
      <c r="AB15" s="26">
        <f>P15*$AC$5</f>
        <v>1603.9499999999998</v>
      </c>
      <c r="AC15" s="27">
        <f>Q15*$AC$5</f>
        <v>2136.75</v>
      </c>
      <c r="AD15" s="25">
        <f>O15*$AF$5</f>
        <v>958.3</v>
      </c>
      <c r="AE15" s="26">
        <f>P15*$AF$5</f>
        <v>1497.0199999999998</v>
      </c>
      <c r="AF15" s="27">
        <f>Q15*$AF$5</f>
        <v>1994.3</v>
      </c>
    </row>
    <row r="16" spans="1:32" ht="18" customHeight="1" thickBot="1">
      <c r="A16" s="17"/>
      <c r="B16" s="555" t="s">
        <v>1141</v>
      </c>
      <c r="C16" s="554">
        <v>0.37</v>
      </c>
      <c r="D16" s="2687"/>
      <c r="E16" s="1257"/>
      <c r="F16" s="2687"/>
      <c r="G16" s="1632"/>
      <c r="H16" s="1632"/>
      <c r="I16" s="1235"/>
      <c r="J16" s="1235"/>
      <c r="K16" s="1235"/>
      <c r="L16" s="2689"/>
      <c r="M16" s="1235"/>
      <c r="N16" s="2675"/>
      <c r="O16" s="174">
        <f t="shared" ref="O16:AF16" si="23">O15/$D$15</f>
        <v>1.369</v>
      </c>
      <c r="P16" s="175">
        <f>P15/D15</f>
        <v>2.1385999999999998</v>
      </c>
      <c r="Q16" s="176">
        <f t="shared" si="23"/>
        <v>2.8490000000000002</v>
      </c>
      <c r="R16" s="174">
        <f t="shared" si="23"/>
        <v>1.2731700000000001</v>
      </c>
      <c r="S16" s="175">
        <f>S15/D15</f>
        <v>1.9888979999999998</v>
      </c>
      <c r="T16" s="176">
        <f t="shared" si="23"/>
        <v>2.6495700000000002</v>
      </c>
      <c r="U16" s="174">
        <f t="shared" ref="U16" si="24">U15/$D$7</f>
        <v>1.1773399999999998</v>
      </c>
      <c r="V16" s="175">
        <f t="shared" ref="V16" si="25">V15/D15</f>
        <v>1.8391959999999998</v>
      </c>
      <c r="W16" s="176">
        <f t="shared" ref="W16" si="26">W15/$D$7</f>
        <v>2.4501399999999998</v>
      </c>
      <c r="X16" s="174">
        <f t="shared" si="23"/>
        <v>1.1362699999999999</v>
      </c>
      <c r="Y16" s="175">
        <f>Y15/D15</f>
        <v>1.7750379999999999</v>
      </c>
      <c r="Z16" s="176">
        <f t="shared" si="23"/>
        <v>2.3646700000000003</v>
      </c>
      <c r="AA16" s="174">
        <f t="shared" si="23"/>
        <v>1.0267500000000001</v>
      </c>
      <c r="AB16" s="175">
        <f>AB15/D15</f>
        <v>1.6039499999999998</v>
      </c>
      <c r="AC16" s="176">
        <f t="shared" si="23"/>
        <v>2.1367500000000001</v>
      </c>
      <c r="AD16" s="174">
        <f t="shared" si="23"/>
        <v>0.95829999999999993</v>
      </c>
      <c r="AE16" s="175">
        <f>AE15/D15</f>
        <v>1.4970199999999998</v>
      </c>
      <c r="AF16" s="176">
        <f t="shared" si="23"/>
        <v>1.9943</v>
      </c>
    </row>
    <row r="17" spans="1:32" ht="18" customHeight="1">
      <c r="A17" s="17"/>
      <c r="B17" s="2682" t="s">
        <v>1142</v>
      </c>
      <c r="C17" s="2683"/>
      <c r="D17" s="2684">
        <v>100000</v>
      </c>
      <c r="E17" s="1250">
        <f>C18*D17</f>
        <v>700</v>
      </c>
      <c r="F17" s="2684">
        <f>E17</f>
        <v>700</v>
      </c>
      <c r="G17" s="1618">
        <f t="shared" ref="G17" si="27">E17*$G$6</f>
        <v>1890.0000000000002</v>
      </c>
      <c r="H17" s="1618"/>
      <c r="I17" s="1245">
        <f>E17*250%</f>
        <v>1750</v>
      </c>
      <c r="J17" s="1245"/>
      <c r="K17" s="1245"/>
      <c r="L17" s="2681"/>
      <c r="M17" s="1245"/>
      <c r="N17" s="2676"/>
      <c r="O17" s="25">
        <f>F17+G17+H17+I17</f>
        <v>4340</v>
      </c>
      <c r="P17" s="26">
        <f>F17+G17+H17+I17+J17</f>
        <v>4340</v>
      </c>
      <c r="Q17" s="27">
        <f>F17+G17+H17+I17+J17+K17+L17+M17+N17</f>
        <v>4340</v>
      </c>
      <c r="R17" s="25">
        <f>O17*$T$5</f>
        <v>4036.2000000000003</v>
      </c>
      <c r="S17" s="26">
        <f>P17*$T$5</f>
        <v>4036.2000000000003</v>
      </c>
      <c r="T17" s="27">
        <f>Q17*$T$5</f>
        <v>4036.2000000000003</v>
      </c>
      <c r="U17" s="25">
        <f t="shared" ref="U17:W17" si="28">O17*$W$5</f>
        <v>3732.4</v>
      </c>
      <c r="V17" s="26">
        <f t="shared" si="28"/>
        <v>3732.4</v>
      </c>
      <c r="W17" s="27">
        <f t="shared" si="28"/>
        <v>3732.4</v>
      </c>
      <c r="X17" s="25">
        <f>O17*$Z$5</f>
        <v>3602.2</v>
      </c>
      <c r="Y17" s="26">
        <f>P17*$Z$5</f>
        <v>3602.2</v>
      </c>
      <c r="Z17" s="27">
        <f>Q17*$Z$5</f>
        <v>3602.2</v>
      </c>
      <c r="AA17" s="25">
        <f>O17*$AC$5</f>
        <v>3255</v>
      </c>
      <c r="AB17" s="26">
        <f>P17*$AC$5</f>
        <v>3255</v>
      </c>
      <c r="AC17" s="27">
        <f>Q17*$AC$5</f>
        <v>3255</v>
      </c>
      <c r="AD17" s="25">
        <f>O17*$AF$5</f>
        <v>3038</v>
      </c>
      <c r="AE17" s="26">
        <f>P17*$AF$5</f>
        <v>3038</v>
      </c>
      <c r="AF17" s="27">
        <f>Q17*$AF$5</f>
        <v>3038</v>
      </c>
    </row>
    <row r="18" spans="1:32" ht="18" customHeight="1" thickBot="1">
      <c r="A18" s="17"/>
      <c r="B18" s="437" t="s">
        <v>1143</v>
      </c>
      <c r="C18" s="609">
        <v>7.0000000000000001E-3</v>
      </c>
      <c r="D18" s="2687"/>
      <c r="E18" s="1257"/>
      <c r="F18" s="2687"/>
      <c r="G18" s="1632"/>
      <c r="H18" s="1632"/>
      <c r="I18" s="1235"/>
      <c r="J18" s="1235"/>
      <c r="K18" s="1235"/>
      <c r="L18" s="2689"/>
      <c r="M18" s="1235"/>
      <c r="N18" s="2675"/>
      <c r="O18" s="174">
        <f>O17/D17</f>
        <v>4.3400000000000001E-2</v>
      </c>
      <c r="P18" s="175">
        <f>P17/D17</f>
        <v>4.3400000000000001E-2</v>
      </c>
      <c r="Q18" s="176">
        <f>Q17/D17</f>
        <v>4.3400000000000001E-2</v>
      </c>
      <c r="R18" s="174">
        <f>R17/D17</f>
        <v>4.0362000000000002E-2</v>
      </c>
      <c r="S18" s="175">
        <f>S17/D17</f>
        <v>4.0362000000000002E-2</v>
      </c>
      <c r="T18" s="176">
        <f>T17/D17</f>
        <v>4.0362000000000002E-2</v>
      </c>
      <c r="U18" s="174">
        <f t="shared" ref="U18" si="29">U17/$D$7</f>
        <v>3.7324000000000002</v>
      </c>
      <c r="V18" s="175">
        <f t="shared" ref="V18" si="30">V17/D17</f>
        <v>3.7324000000000003E-2</v>
      </c>
      <c r="W18" s="176">
        <f t="shared" ref="W18" si="31">W17/$D$7</f>
        <v>3.7324000000000002</v>
      </c>
      <c r="X18" s="174">
        <f>X17/D17</f>
        <v>3.6021999999999998E-2</v>
      </c>
      <c r="Y18" s="175">
        <f>Y17/D17</f>
        <v>3.6021999999999998E-2</v>
      </c>
      <c r="Z18" s="176">
        <f>Z17/D17</f>
        <v>3.6021999999999998E-2</v>
      </c>
      <c r="AA18" s="174">
        <f>AA17/D17</f>
        <v>3.2550000000000003E-2</v>
      </c>
      <c r="AB18" s="175">
        <f>AB17/D17</f>
        <v>3.2550000000000003E-2</v>
      </c>
      <c r="AC18" s="176">
        <f>AC17/D17</f>
        <v>3.2550000000000003E-2</v>
      </c>
      <c r="AD18" s="174">
        <f>AD17/D17</f>
        <v>3.0380000000000001E-2</v>
      </c>
      <c r="AE18" s="175">
        <f>AE17/D17</f>
        <v>3.0380000000000001E-2</v>
      </c>
      <c r="AF18" s="176">
        <f>AF17/D17</f>
        <v>3.0380000000000001E-2</v>
      </c>
    </row>
    <row r="19" spans="1:32" ht="18" customHeight="1">
      <c r="A19" s="17"/>
      <c r="B19" s="28"/>
      <c r="C19" s="28"/>
      <c r="D19" s="28"/>
      <c r="E19" s="28"/>
      <c r="F19" s="29"/>
      <c r="G19" s="29"/>
      <c r="H19" s="29"/>
      <c r="I19" s="29"/>
      <c r="J19" s="610"/>
      <c r="K19" s="29"/>
      <c r="L19" s="29"/>
      <c r="M19" s="29"/>
      <c r="N19" s="29"/>
      <c r="O19" s="30"/>
      <c r="P19" s="30"/>
      <c r="Q19" s="30"/>
      <c r="R19" s="30"/>
      <c r="S19" s="30"/>
      <c r="T19" s="30"/>
      <c r="U19" s="30"/>
      <c r="V19" s="30"/>
      <c r="W19" s="30"/>
      <c r="X19" s="30"/>
      <c r="Y19" s="30"/>
      <c r="Z19" s="30"/>
      <c r="AA19" s="30"/>
      <c r="AB19" s="30"/>
      <c r="AC19" s="30"/>
      <c r="AD19" s="30"/>
      <c r="AE19" s="30"/>
      <c r="AF19" s="30"/>
    </row>
    <row r="20" spans="1:32" ht="18" customHeight="1">
      <c r="A20" s="6"/>
      <c r="B20" s="4" t="s">
        <v>1023</v>
      </c>
      <c r="C20" s="5"/>
      <c r="D20" s="5"/>
      <c r="E20" s="5"/>
      <c r="F20" s="6"/>
      <c r="G20" s="6"/>
      <c r="H20" s="6"/>
      <c r="I20" s="6"/>
      <c r="J20" s="6"/>
      <c r="K20" s="6"/>
      <c r="L20" s="6"/>
      <c r="M20" s="6"/>
      <c r="N20" s="6"/>
      <c r="O20" s="31"/>
      <c r="P20" s="31"/>
      <c r="Q20" s="31"/>
      <c r="R20" s="31"/>
      <c r="S20" s="31"/>
      <c r="T20" s="31"/>
      <c r="U20" s="31"/>
      <c r="V20" s="31"/>
      <c r="W20" s="31"/>
      <c r="X20" s="31"/>
      <c r="Z20" s="31"/>
      <c r="AA20" s="31"/>
      <c r="AB20" s="31"/>
      <c r="AC20" s="31"/>
      <c r="AD20" s="31"/>
      <c r="AE20" s="31"/>
      <c r="AF20" s="31"/>
    </row>
    <row r="21" spans="1:32" ht="22.5" customHeight="1">
      <c r="A21" s="6"/>
      <c r="B21" s="951" t="s">
        <v>1144</v>
      </c>
      <c r="C21" s="952"/>
      <c r="D21" s="952"/>
      <c r="E21" s="952"/>
      <c r="F21" s="953"/>
      <c r="G21" s="953"/>
      <c r="H21" s="953"/>
      <c r="I21" s="953"/>
      <c r="J21" s="953"/>
      <c r="K21" s="953"/>
      <c r="L21" s="953"/>
      <c r="M21" s="953"/>
      <c r="N21" s="953"/>
      <c r="O21" s="953"/>
      <c r="P21" s="953"/>
      <c r="Q21" s="953"/>
      <c r="R21" s="953"/>
      <c r="S21" s="953"/>
      <c r="T21" s="953"/>
      <c r="U21" s="953"/>
      <c r="V21" s="953"/>
      <c r="W21" s="953"/>
      <c r="X21" s="953"/>
      <c r="Y21" s="954"/>
      <c r="Z21" s="953"/>
      <c r="AA21" s="953"/>
      <c r="AB21" s="953"/>
      <c r="AC21" s="953"/>
      <c r="AD21" s="955"/>
      <c r="AE21" s="31"/>
      <c r="AF21" s="31"/>
    </row>
    <row r="22" spans="1:32" ht="18" customHeight="1">
      <c r="A22" s="6"/>
      <c r="B22" s="811" t="s">
        <v>625</v>
      </c>
      <c r="C22" s="5"/>
      <c r="D22" s="5"/>
      <c r="E22" s="5"/>
      <c r="F22" s="6"/>
      <c r="G22" s="6"/>
      <c r="H22" s="6"/>
      <c r="I22" s="6"/>
      <c r="J22" s="6"/>
      <c r="K22" s="6"/>
      <c r="L22" s="6"/>
      <c r="M22" s="6"/>
      <c r="N22" s="6"/>
      <c r="O22" s="31"/>
      <c r="P22" s="31"/>
      <c r="Q22" s="31"/>
      <c r="R22" s="31"/>
      <c r="S22" s="31"/>
      <c r="T22" s="31"/>
      <c r="U22" s="31"/>
      <c r="V22" s="31"/>
      <c r="W22" s="31"/>
      <c r="X22" s="31"/>
      <c r="Z22" s="31"/>
      <c r="AA22" s="31"/>
      <c r="AB22" s="31"/>
      <c r="AC22" s="31"/>
      <c r="AD22" s="31"/>
      <c r="AE22" s="31"/>
      <c r="AF22" s="31"/>
    </row>
    <row r="23" spans="1:32" ht="18" customHeight="1">
      <c r="A23" s="6"/>
      <c r="B23" s="4"/>
      <c r="C23" s="5"/>
      <c r="D23" s="5"/>
      <c r="E23" s="5"/>
      <c r="F23" s="6"/>
      <c r="G23" s="6"/>
      <c r="H23" s="6"/>
      <c r="I23" s="6"/>
      <c r="J23" s="6"/>
      <c r="K23" s="6"/>
      <c r="L23" s="6"/>
      <c r="M23" s="6"/>
      <c r="N23" s="6"/>
      <c r="O23" s="31"/>
      <c r="P23" s="31"/>
      <c r="Q23" s="31"/>
      <c r="R23" s="31"/>
      <c r="S23" s="31"/>
      <c r="T23" s="31"/>
      <c r="U23" s="31"/>
      <c r="V23" s="31"/>
      <c r="W23" s="31"/>
      <c r="X23" s="31"/>
      <c r="Z23" s="31"/>
      <c r="AA23" s="31"/>
      <c r="AB23" s="31"/>
      <c r="AC23" s="31"/>
      <c r="AD23" s="31"/>
      <c r="AE23" s="31"/>
      <c r="AF23" s="31"/>
    </row>
    <row r="24" spans="1:32" ht="18" customHeight="1">
      <c r="A24" s="6"/>
      <c r="B24" s="6" t="s">
        <v>1024</v>
      </c>
      <c r="C24" s="4"/>
      <c r="D24" s="5"/>
      <c r="E24" s="5"/>
      <c r="F24" s="6"/>
      <c r="G24" s="6"/>
      <c r="H24" s="6"/>
      <c r="I24" s="6"/>
      <c r="J24" s="6"/>
      <c r="K24" s="6"/>
      <c r="L24" s="6"/>
      <c r="M24" s="6"/>
      <c r="N24" s="6"/>
      <c r="O24" s="6"/>
      <c r="P24" s="6"/>
      <c r="Q24" s="6"/>
      <c r="R24" s="6"/>
      <c r="S24" s="6"/>
      <c r="T24" s="6"/>
      <c r="U24" s="6"/>
      <c r="V24" s="6"/>
      <c r="W24" s="6"/>
      <c r="X24" s="6"/>
      <c r="Y24" s="6"/>
      <c r="Z24" s="6"/>
      <c r="AA24" s="6"/>
      <c r="AB24" s="6"/>
      <c r="AC24" s="6"/>
      <c r="AD24" s="6"/>
      <c r="AE24" s="6"/>
      <c r="AF24" s="6"/>
    </row>
    <row r="25" spans="1:32" ht="18" customHeight="1">
      <c r="A25" s="6"/>
      <c r="B25" s="32" t="s">
        <v>1145</v>
      </c>
      <c r="C25" s="4"/>
      <c r="D25" s="5"/>
      <c r="E25" s="5"/>
      <c r="F25" s="6"/>
      <c r="G25" s="6"/>
      <c r="H25" s="6"/>
      <c r="I25" s="6"/>
      <c r="J25" s="6"/>
      <c r="K25" s="6"/>
      <c r="L25" s="6"/>
      <c r="M25" s="6"/>
      <c r="N25" s="6"/>
      <c r="O25" s="6"/>
      <c r="P25" s="6"/>
      <c r="Q25" s="6"/>
      <c r="R25" s="6"/>
      <c r="S25" s="6"/>
      <c r="T25" s="6"/>
      <c r="U25" s="6"/>
      <c r="V25" s="6"/>
      <c r="W25" s="6"/>
      <c r="X25" s="6"/>
      <c r="Y25" s="6"/>
      <c r="Z25" s="6"/>
      <c r="AA25" s="6"/>
      <c r="AB25" s="6"/>
      <c r="AC25" s="6"/>
      <c r="AD25" s="6"/>
      <c r="AE25" s="6"/>
      <c r="AF25" s="6"/>
    </row>
    <row r="26" spans="1:32" ht="18" customHeight="1">
      <c r="A26" s="31"/>
      <c r="B26" s="31" t="s">
        <v>1146</v>
      </c>
      <c r="C26" s="33"/>
      <c r="D26" s="33"/>
      <c r="E26" s="33"/>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row>
    <row r="27" spans="1:32" ht="18" customHeight="1">
      <c r="A27" s="31"/>
      <c r="B27" s="31" t="s">
        <v>1720</v>
      </c>
      <c r="C27" s="33"/>
      <c r="D27" s="33"/>
      <c r="E27" s="33"/>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row>
    <row r="28" spans="1:32" ht="18" customHeight="1">
      <c r="A28" s="6"/>
      <c r="B28" s="6" t="s">
        <v>1147</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row>
    <row r="29" spans="1:32" ht="18" customHeight="1">
      <c r="A29" s="6"/>
      <c r="B29" s="519" t="s">
        <v>1148</v>
      </c>
      <c r="C29" s="5"/>
      <c r="D29" s="5"/>
      <c r="E29" s="5"/>
      <c r="F29" s="6"/>
      <c r="G29" s="6"/>
      <c r="H29" s="6"/>
      <c r="I29" s="6"/>
      <c r="J29" s="6"/>
      <c r="K29" s="6"/>
      <c r="L29" s="6"/>
      <c r="M29" s="6"/>
      <c r="N29" s="6"/>
      <c r="O29" s="6"/>
      <c r="P29" s="6"/>
      <c r="Q29" s="6"/>
      <c r="R29" s="6"/>
      <c r="S29" s="6"/>
      <c r="T29" s="6"/>
      <c r="U29" s="6"/>
      <c r="V29" s="6"/>
      <c r="W29" s="6"/>
      <c r="X29" s="6"/>
      <c r="Y29" s="6"/>
      <c r="Z29" s="6"/>
      <c r="AA29" s="6"/>
      <c r="AB29" s="6"/>
      <c r="AC29" s="6"/>
      <c r="AD29" s="6"/>
      <c r="AE29" s="6"/>
      <c r="AF29" s="6"/>
    </row>
    <row r="30" spans="1:32" ht="18" customHeight="1">
      <c r="A30" s="6"/>
      <c r="B30" s="519" t="s">
        <v>1149</v>
      </c>
      <c r="C30" s="5"/>
      <c r="D30" s="5"/>
      <c r="E30" s="5"/>
      <c r="F30" s="6"/>
      <c r="G30" s="6"/>
      <c r="H30" s="6"/>
      <c r="I30" s="6"/>
      <c r="J30" s="6"/>
      <c r="K30" s="6"/>
      <c r="L30" s="6"/>
      <c r="M30" s="6"/>
      <c r="N30" s="6"/>
      <c r="O30" s="6"/>
      <c r="P30" s="6"/>
      <c r="Q30" s="6"/>
      <c r="R30" s="6"/>
      <c r="S30" s="6"/>
      <c r="T30" s="6"/>
      <c r="U30" s="6"/>
      <c r="V30" s="6"/>
      <c r="W30" s="6"/>
      <c r="X30" s="6"/>
      <c r="Y30" s="6"/>
      <c r="Z30" s="6"/>
      <c r="AA30" s="6"/>
      <c r="AB30" s="6"/>
      <c r="AC30" s="6"/>
      <c r="AD30" s="6"/>
      <c r="AE30" s="6"/>
      <c r="AF30" s="6"/>
    </row>
    <row r="31" spans="1:32" ht="18" customHeight="1">
      <c r="A31" s="6"/>
      <c r="B31" s="6" t="s">
        <v>1150</v>
      </c>
      <c r="C31" s="5"/>
      <c r="D31" s="5"/>
      <c r="E31" s="5"/>
      <c r="F31" s="6"/>
      <c r="G31" s="6"/>
      <c r="H31" s="6"/>
      <c r="I31" s="6"/>
      <c r="J31" s="6"/>
      <c r="K31" s="6"/>
      <c r="L31" s="6"/>
      <c r="M31" s="6"/>
      <c r="N31" s="6"/>
      <c r="O31" s="6"/>
      <c r="P31" s="6"/>
      <c r="Q31" s="6"/>
      <c r="R31" s="6"/>
      <c r="S31" s="6"/>
      <c r="T31" s="6"/>
      <c r="U31" s="6"/>
      <c r="V31" s="6"/>
      <c r="W31" s="6"/>
      <c r="X31" s="6"/>
      <c r="Y31" s="6"/>
      <c r="Z31" s="6"/>
      <c r="AA31" s="6"/>
      <c r="AB31" s="6"/>
      <c r="AC31" s="6"/>
      <c r="AD31" s="6"/>
      <c r="AE31" s="6"/>
      <c r="AF31" s="6"/>
    </row>
    <row r="32" spans="1:32" ht="18" customHeight="1">
      <c r="A32" s="6"/>
      <c r="B32" s="32" t="s">
        <v>1151</v>
      </c>
      <c r="C32" s="5"/>
      <c r="D32" s="5"/>
      <c r="E32" s="5"/>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sheetData>
  <mergeCells count="84">
    <mergeCell ref="B17:C17"/>
    <mergeCell ref="D17:D18"/>
    <mergeCell ref="E17:E18"/>
    <mergeCell ref="F17:F18"/>
    <mergeCell ref="G17:G18"/>
    <mergeCell ref="H17:H18"/>
    <mergeCell ref="I13:I14"/>
    <mergeCell ref="J13:J14"/>
    <mergeCell ref="K13:K14"/>
    <mergeCell ref="I17:I18"/>
    <mergeCell ref="J17:J18"/>
    <mergeCell ref="K17:K18"/>
    <mergeCell ref="H13:H14"/>
    <mergeCell ref="H15:H16"/>
    <mergeCell ref="L17:L18"/>
    <mergeCell ref="I15:I16"/>
    <mergeCell ref="J15:J16"/>
    <mergeCell ref="K15:K16"/>
    <mergeCell ref="L15:L16"/>
    <mergeCell ref="L11:L12"/>
    <mergeCell ref="B13:C13"/>
    <mergeCell ref="D13:D14"/>
    <mergeCell ref="E13:E14"/>
    <mergeCell ref="F13:F14"/>
    <mergeCell ref="G13:G14"/>
    <mergeCell ref="B11:C11"/>
    <mergeCell ref="D11:D12"/>
    <mergeCell ref="E11:E12"/>
    <mergeCell ref="F11:F12"/>
    <mergeCell ref="G11:G12"/>
    <mergeCell ref="H11:H12"/>
    <mergeCell ref="I11:I12"/>
    <mergeCell ref="J11:J12"/>
    <mergeCell ref="K11:K12"/>
    <mergeCell ref="L13:L14"/>
    <mergeCell ref="B15:C15"/>
    <mergeCell ref="D15:D16"/>
    <mergeCell ref="E15:E16"/>
    <mergeCell ref="F15:F16"/>
    <mergeCell ref="G15:G16"/>
    <mergeCell ref="B1:AF1"/>
    <mergeCell ref="M5:N5"/>
    <mergeCell ref="O5:Q5"/>
    <mergeCell ref="R5:S5"/>
    <mergeCell ref="X5:Y5"/>
    <mergeCell ref="AA5:AB5"/>
    <mergeCell ref="AD5:AE5"/>
    <mergeCell ref="B5:C5"/>
    <mergeCell ref="D5:E5"/>
    <mergeCell ref="F5:F6"/>
    <mergeCell ref="I5:L5"/>
    <mergeCell ref="I7:I8"/>
    <mergeCell ref="J7:J8"/>
    <mergeCell ref="K7:K8"/>
    <mergeCell ref="L7:L8"/>
    <mergeCell ref="B7:C7"/>
    <mergeCell ref="D7:D8"/>
    <mergeCell ref="E7:E8"/>
    <mergeCell ref="F7:F8"/>
    <mergeCell ref="G7:G8"/>
    <mergeCell ref="H7:H8"/>
    <mergeCell ref="M7:M8"/>
    <mergeCell ref="N7:N8"/>
    <mergeCell ref="U5:V5"/>
    <mergeCell ref="M9:M10"/>
    <mergeCell ref="N9:N10"/>
    <mergeCell ref="B9:C9"/>
    <mergeCell ref="D9:D10"/>
    <mergeCell ref="E9:E10"/>
    <mergeCell ref="F9:F10"/>
    <mergeCell ref="G9:G10"/>
    <mergeCell ref="H9:H10"/>
    <mergeCell ref="I9:I10"/>
    <mergeCell ref="J9:J10"/>
    <mergeCell ref="K9:K10"/>
    <mergeCell ref="L9:L10"/>
    <mergeCell ref="M15:M16"/>
    <mergeCell ref="N15:N16"/>
    <mergeCell ref="M17:M18"/>
    <mergeCell ref="N17:N18"/>
    <mergeCell ref="M11:M12"/>
    <mergeCell ref="N11:N12"/>
    <mergeCell ref="M13:M14"/>
    <mergeCell ref="N13:N14"/>
  </mergeCells>
  <phoneticPr fontId="99" type="noConversion"/>
  <pageMargins left="0.31496062992125984" right="0.31496062992125984" top="0.31496062992125984" bottom="0.31496062992125984" header="0" footer="0"/>
  <pageSetup paperSize="9" scale="65" orientation="landscape"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66FF"/>
    <pageSetUpPr fitToPage="1"/>
  </sheetPr>
  <dimension ref="A1:P24"/>
  <sheetViews>
    <sheetView zoomScaleNormal="100" workbookViewId="0"/>
  </sheetViews>
  <sheetFormatPr defaultRowHeight="18" customHeight="1"/>
  <cols>
    <col min="1" max="1" width="1" style="226" customWidth="1"/>
    <col min="2" max="10" width="9" style="226"/>
    <col min="11" max="11" width="14" style="226" customWidth="1"/>
    <col min="12" max="16384" width="9" style="226"/>
  </cols>
  <sheetData>
    <row r="1" spans="1:16" s="237" customFormat="1" ht="30" customHeight="1" thickBot="1">
      <c r="A1" s="326"/>
      <c r="B1" s="2690" t="s">
        <v>1745</v>
      </c>
      <c r="C1" s="2690"/>
      <c r="D1" s="2690"/>
      <c r="E1" s="2690"/>
      <c r="F1" s="2690"/>
      <c r="G1" s="2690"/>
      <c r="H1" s="2690"/>
      <c r="I1" s="2690"/>
      <c r="J1" s="2690"/>
      <c r="K1" s="2690"/>
      <c r="L1" s="2690"/>
      <c r="M1" s="2690"/>
      <c r="N1" s="2690"/>
      <c r="O1" s="2690"/>
      <c r="P1" s="2690"/>
    </row>
    <row r="2" spans="1:16" ht="18" customHeight="1" thickTop="1">
      <c r="A2" s="251"/>
      <c r="B2" s="37"/>
      <c r="C2" s="37"/>
      <c r="D2" s="5"/>
      <c r="E2" s="5"/>
      <c r="F2" s="6"/>
      <c r="G2" s="6"/>
      <c r="H2" s="6"/>
      <c r="I2" s="6"/>
      <c r="J2" s="6"/>
      <c r="K2" s="5"/>
      <c r="L2" s="5"/>
      <c r="M2" s="5"/>
      <c r="N2" s="5"/>
      <c r="O2" s="5"/>
      <c r="P2" s="5"/>
    </row>
    <row r="3" spans="1:16" ht="18" customHeight="1" thickBot="1">
      <c r="A3" s="251"/>
      <c r="B3" s="4" t="s">
        <v>0</v>
      </c>
      <c r="C3" s="5"/>
      <c r="D3" s="5"/>
      <c r="E3" s="5"/>
      <c r="F3" s="6"/>
      <c r="G3" s="6"/>
      <c r="H3" s="6"/>
      <c r="I3" s="6"/>
      <c r="J3" s="6"/>
      <c r="K3" s="6"/>
      <c r="L3" s="6"/>
      <c r="M3" s="6"/>
      <c r="N3" s="6"/>
      <c r="O3" s="6"/>
      <c r="P3" s="6"/>
    </row>
    <row r="4" spans="1:16" ht="18" customHeight="1">
      <c r="A4" s="177"/>
      <c r="B4" s="1915" t="s">
        <v>247</v>
      </c>
      <c r="C4" s="1916"/>
      <c r="D4" s="1917" t="s">
        <v>77</v>
      </c>
      <c r="E4" s="1918"/>
      <c r="F4" s="1918"/>
      <c r="G4" s="1918"/>
      <c r="H4" s="1918"/>
      <c r="I4" s="1918"/>
      <c r="J4" s="1919"/>
      <c r="K4" s="1916" t="s">
        <v>253</v>
      </c>
      <c r="L4" s="1916"/>
      <c r="M4" s="1916"/>
      <c r="N4" s="1916"/>
      <c r="O4" s="1917"/>
      <c r="P4" s="1946"/>
    </row>
    <row r="5" spans="1:16" ht="18" customHeight="1">
      <c r="A5" s="177"/>
      <c r="B5" s="1933" t="s">
        <v>254</v>
      </c>
      <c r="C5" s="1934"/>
      <c r="D5" s="1957" t="s">
        <v>255</v>
      </c>
      <c r="E5" s="1958"/>
      <c r="F5" s="1958"/>
      <c r="G5" s="1958" t="s">
        <v>110</v>
      </c>
      <c r="H5" s="1958"/>
      <c r="I5" s="1958"/>
      <c r="J5" s="1959"/>
      <c r="K5" s="1878"/>
      <c r="L5" s="1902"/>
      <c r="M5" s="1902"/>
      <c r="N5" s="1902"/>
      <c r="O5" s="1902"/>
      <c r="P5" s="1903"/>
    </row>
    <row r="6" spans="1:16" ht="23.25" customHeight="1">
      <c r="A6" s="177"/>
      <c r="B6" s="1947" t="s">
        <v>256</v>
      </c>
      <c r="C6" s="1885"/>
      <c r="D6" s="1949" t="s">
        <v>257</v>
      </c>
      <c r="E6" s="1879"/>
      <c r="F6" s="1879"/>
      <c r="G6" s="1879"/>
      <c r="H6" s="1879"/>
      <c r="I6" s="1879"/>
      <c r="J6" s="1950"/>
      <c r="K6" s="1949" t="s">
        <v>60</v>
      </c>
      <c r="L6" s="1879"/>
      <c r="M6" s="1879"/>
      <c r="N6" s="1879"/>
      <c r="O6" s="1879"/>
      <c r="P6" s="2147"/>
    </row>
    <row r="7" spans="1:16" ht="26.25" customHeight="1">
      <c r="A7" s="177"/>
      <c r="B7" s="1925"/>
      <c r="C7" s="1948"/>
      <c r="D7" s="1951"/>
      <c r="E7" s="1952"/>
      <c r="F7" s="1952"/>
      <c r="G7" s="1952"/>
      <c r="H7" s="1952"/>
      <c r="I7" s="1952"/>
      <c r="J7" s="1953"/>
      <c r="K7" s="2691" t="s">
        <v>258</v>
      </c>
      <c r="L7" s="1902"/>
      <c r="M7" s="1902"/>
      <c r="N7" s="1902"/>
      <c r="O7" s="1902"/>
      <c r="P7" s="1903"/>
    </row>
    <row r="8" spans="1:16" ht="26.25" customHeight="1">
      <c r="A8" s="177"/>
      <c r="B8" s="2692" t="s">
        <v>259</v>
      </c>
      <c r="C8" s="1906"/>
      <c r="D8" s="1878" t="s">
        <v>260</v>
      </c>
      <c r="E8" s="1902"/>
      <c r="F8" s="1902"/>
      <c r="G8" s="1902"/>
      <c r="H8" s="1902"/>
      <c r="I8" s="1902"/>
      <c r="J8" s="2693"/>
      <c r="K8" s="2691" t="s">
        <v>61</v>
      </c>
      <c r="L8" s="1902"/>
      <c r="M8" s="1902"/>
      <c r="N8" s="1902"/>
      <c r="O8" s="1902"/>
      <c r="P8" s="1903"/>
    </row>
    <row r="9" spans="1:16" ht="18" customHeight="1" thickBot="1">
      <c r="A9" s="177"/>
      <c r="B9" s="1888" t="s">
        <v>251</v>
      </c>
      <c r="C9" s="1889"/>
      <c r="D9" s="2694" t="s">
        <v>615</v>
      </c>
      <c r="E9" s="2695"/>
      <c r="F9" s="2695"/>
      <c r="G9" s="2695"/>
      <c r="H9" s="2695"/>
      <c r="I9" s="2695"/>
      <c r="J9" s="2695"/>
      <c r="K9" s="2695"/>
      <c r="L9" s="2695"/>
      <c r="M9" s="2695"/>
      <c r="N9" s="2695"/>
      <c r="O9" s="2695"/>
      <c r="P9" s="2696"/>
    </row>
    <row r="10" spans="1:16" ht="18" customHeight="1">
      <c r="A10" s="251"/>
      <c r="B10" s="37"/>
      <c r="C10" s="37"/>
      <c r="D10" s="5"/>
      <c r="E10" s="5"/>
      <c r="F10" s="6"/>
      <c r="G10" s="6"/>
      <c r="H10" s="6"/>
      <c r="I10" s="6"/>
      <c r="J10" s="6"/>
      <c r="K10" s="5"/>
      <c r="L10" s="5"/>
      <c r="M10" s="5"/>
      <c r="N10" s="5"/>
      <c r="O10" s="5"/>
      <c r="P10" s="5"/>
    </row>
    <row r="11" spans="1:16" ht="18" customHeight="1" thickBot="1">
      <c r="A11" s="251"/>
      <c r="B11" s="4" t="s">
        <v>252</v>
      </c>
      <c r="C11" s="5"/>
      <c r="D11" s="5"/>
      <c r="E11" s="11"/>
      <c r="F11" s="6"/>
      <c r="G11" s="6"/>
      <c r="H11" s="6"/>
      <c r="I11" s="6"/>
      <c r="J11" s="6"/>
      <c r="K11" s="5"/>
      <c r="L11" s="5"/>
      <c r="M11" s="5"/>
      <c r="N11" s="5"/>
      <c r="O11" s="5"/>
      <c r="P11" s="5"/>
    </row>
    <row r="12" spans="1:16" ht="18" customHeight="1">
      <c r="A12" s="177"/>
      <c r="B12" s="1915" t="s">
        <v>247</v>
      </c>
      <c r="C12" s="1916"/>
      <c r="D12" s="1916" t="s">
        <v>261</v>
      </c>
      <c r="E12" s="1916"/>
      <c r="F12" s="1916"/>
      <c r="G12" s="1916"/>
      <c r="H12" s="1916"/>
      <c r="I12" s="1916"/>
      <c r="J12" s="1916"/>
      <c r="K12" s="1916" t="s">
        <v>78</v>
      </c>
      <c r="L12" s="1916"/>
      <c r="M12" s="1916"/>
      <c r="N12" s="1916"/>
      <c r="O12" s="1916"/>
      <c r="P12" s="1946"/>
    </row>
    <row r="13" spans="1:16" ht="18" customHeight="1">
      <c r="A13" s="177"/>
      <c r="B13" s="1933" t="s">
        <v>262</v>
      </c>
      <c r="C13" s="1934"/>
      <c r="D13" s="2118" t="s">
        <v>263</v>
      </c>
      <c r="E13" s="2118"/>
      <c r="F13" s="2118"/>
      <c r="G13" s="2118"/>
      <c r="H13" s="2118"/>
      <c r="I13" s="2118"/>
      <c r="J13" s="2118"/>
      <c r="K13" s="2118" t="s">
        <v>264</v>
      </c>
      <c r="L13" s="2118"/>
      <c r="M13" s="2118"/>
      <c r="N13" s="2118"/>
      <c r="O13" s="2118"/>
      <c r="P13" s="2119"/>
    </row>
    <row r="14" spans="1:16" ht="18" customHeight="1">
      <c r="A14" s="177"/>
      <c r="B14" s="1933" t="s">
        <v>79</v>
      </c>
      <c r="C14" s="2697"/>
      <c r="D14" s="1960" t="s">
        <v>265</v>
      </c>
      <c r="E14" s="1960"/>
      <c r="F14" s="1960"/>
      <c r="G14" s="1960"/>
      <c r="H14" s="1960"/>
      <c r="I14" s="1960"/>
      <c r="J14" s="1960"/>
      <c r="K14" s="2118"/>
      <c r="L14" s="2118"/>
      <c r="M14" s="2118"/>
      <c r="N14" s="2118"/>
      <c r="O14" s="2118"/>
      <c r="P14" s="2119"/>
    </row>
    <row r="15" spans="1:16" ht="18" customHeight="1" thickBot="1">
      <c r="A15" s="177"/>
      <c r="B15" s="2114" t="s">
        <v>266</v>
      </c>
      <c r="C15" s="1934"/>
      <c r="D15" s="2733" t="s">
        <v>62</v>
      </c>
      <c r="E15" s="2733"/>
      <c r="F15" s="2733"/>
      <c r="G15" s="2733"/>
      <c r="H15" s="2733"/>
      <c r="I15" s="2733"/>
      <c r="J15" s="2733"/>
      <c r="K15" s="1934" t="s">
        <v>41</v>
      </c>
      <c r="L15" s="1934"/>
      <c r="M15" s="1934"/>
      <c r="N15" s="1934"/>
      <c r="O15" s="2698"/>
      <c r="P15" s="2699"/>
    </row>
    <row r="16" spans="1:16" ht="18" customHeight="1">
      <c r="A16" s="177"/>
      <c r="B16" s="1933"/>
      <c r="C16" s="1934"/>
      <c r="D16" s="2727" t="s">
        <v>267</v>
      </c>
      <c r="E16" s="2728"/>
      <c r="F16" s="2728"/>
      <c r="G16" s="2728"/>
      <c r="H16" s="2728"/>
      <c r="I16" s="2728"/>
      <c r="J16" s="2729"/>
      <c r="K16" s="546" t="s">
        <v>268</v>
      </c>
      <c r="L16" s="545" t="s">
        <v>269</v>
      </c>
      <c r="M16" s="545" t="s">
        <v>270</v>
      </c>
      <c r="N16" s="544" t="s">
        <v>271</v>
      </c>
      <c r="O16" s="496" t="s">
        <v>272</v>
      </c>
      <c r="P16" s="309"/>
    </row>
    <row r="17" spans="1:16" ht="18" customHeight="1">
      <c r="A17" s="177"/>
      <c r="B17" s="1933"/>
      <c r="C17" s="1934"/>
      <c r="D17" s="2727" t="s">
        <v>273</v>
      </c>
      <c r="E17" s="2728"/>
      <c r="F17" s="2728"/>
      <c r="G17" s="2728"/>
      <c r="H17" s="2728"/>
      <c r="I17" s="2728"/>
      <c r="J17" s="2729"/>
      <c r="K17" s="547" t="s">
        <v>274</v>
      </c>
      <c r="L17" s="2700">
        <v>0</v>
      </c>
      <c r="M17" s="2700">
        <v>0.17</v>
      </c>
      <c r="N17" s="2702">
        <v>0.2</v>
      </c>
      <c r="O17" s="2704">
        <v>0.25</v>
      </c>
      <c r="P17" s="2706"/>
    </row>
    <row r="18" spans="1:16" ht="18" customHeight="1" thickBot="1">
      <c r="A18" s="177"/>
      <c r="B18" s="1933"/>
      <c r="C18" s="1934"/>
      <c r="D18" s="2730" t="s">
        <v>275</v>
      </c>
      <c r="E18" s="2731"/>
      <c r="F18" s="2731"/>
      <c r="G18" s="2731"/>
      <c r="H18" s="2731"/>
      <c r="I18" s="2731"/>
      <c r="J18" s="2732"/>
      <c r="K18" s="252" t="s">
        <v>276</v>
      </c>
      <c r="L18" s="2701"/>
      <c r="M18" s="2701"/>
      <c r="N18" s="2703"/>
      <c r="O18" s="2705"/>
      <c r="P18" s="2707"/>
    </row>
    <row r="19" spans="1:16" ht="18" customHeight="1" thickBot="1">
      <c r="A19" s="177"/>
      <c r="B19" s="1884" t="s">
        <v>277</v>
      </c>
      <c r="C19" s="2717"/>
      <c r="D19" s="1878" t="s">
        <v>63</v>
      </c>
      <c r="E19" s="1902"/>
      <c r="F19" s="1902"/>
      <c r="G19" s="1902"/>
      <c r="H19" s="1902"/>
      <c r="I19" s="1902"/>
      <c r="J19" s="2693"/>
      <c r="K19" s="1934" t="s">
        <v>41</v>
      </c>
      <c r="L19" s="1934"/>
      <c r="M19" s="1934"/>
      <c r="N19" s="1934"/>
      <c r="O19" s="2708"/>
      <c r="P19" s="2709"/>
    </row>
    <row r="20" spans="1:16" ht="18" customHeight="1">
      <c r="A20" s="251"/>
      <c r="B20" s="2718"/>
      <c r="C20" s="2719"/>
      <c r="D20" s="2710" t="s">
        <v>278</v>
      </c>
      <c r="E20" s="2711"/>
      <c r="F20" s="2711"/>
      <c r="G20" s="2711"/>
      <c r="H20" s="2711"/>
      <c r="I20" s="2711"/>
      <c r="J20" s="2712"/>
      <c r="K20" s="546" t="s">
        <v>268</v>
      </c>
      <c r="L20" s="192" t="s">
        <v>279</v>
      </c>
      <c r="M20" s="497" t="s">
        <v>280</v>
      </c>
      <c r="N20" s="38" t="s">
        <v>281</v>
      </c>
      <c r="O20" s="498" t="s">
        <v>282</v>
      </c>
      <c r="P20" s="548" t="s">
        <v>272</v>
      </c>
    </row>
    <row r="21" spans="1:16" ht="18" customHeight="1">
      <c r="A21" s="251"/>
      <c r="B21" s="2718"/>
      <c r="C21" s="2719"/>
      <c r="D21" s="1739" t="s">
        <v>283</v>
      </c>
      <c r="E21" s="2722"/>
      <c r="F21" s="2722"/>
      <c r="G21" s="2722"/>
      <c r="H21" s="2722"/>
      <c r="I21" s="2722"/>
      <c r="J21" s="2722"/>
      <c r="K21" s="547" t="s">
        <v>284</v>
      </c>
      <c r="L21" s="2700">
        <v>0.15</v>
      </c>
      <c r="M21" s="2700">
        <v>0.22</v>
      </c>
      <c r="N21" s="2700">
        <v>0.27</v>
      </c>
      <c r="O21" s="2713">
        <v>0.3</v>
      </c>
      <c r="P21" s="2715">
        <v>0.32</v>
      </c>
    </row>
    <row r="22" spans="1:16" ht="18" customHeight="1" thickBot="1">
      <c r="A22" s="251"/>
      <c r="B22" s="2718"/>
      <c r="C22" s="2719"/>
      <c r="D22" s="2723"/>
      <c r="E22" s="2724"/>
      <c r="F22" s="2724"/>
      <c r="G22" s="2724"/>
      <c r="H22" s="2724"/>
      <c r="I22" s="2724"/>
      <c r="J22" s="2724"/>
      <c r="K22" s="252" t="s">
        <v>285</v>
      </c>
      <c r="L22" s="2701"/>
      <c r="M22" s="2701"/>
      <c r="N22" s="2701"/>
      <c r="O22" s="2714"/>
      <c r="P22" s="2716"/>
    </row>
    <row r="23" spans="1:16" ht="18" customHeight="1" thickBot="1">
      <c r="B23" s="2720"/>
      <c r="C23" s="2721"/>
      <c r="D23" s="2725"/>
      <c r="E23" s="2726"/>
      <c r="F23" s="2726"/>
      <c r="G23" s="2726"/>
      <c r="H23" s="2726"/>
      <c r="I23" s="2726"/>
      <c r="J23" s="2726"/>
      <c r="K23" s="549" t="s">
        <v>286</v>
      </c>
      <c r="L23" s="550">
        <v>0.17</v>
      </c>
      <c r="M23" s="550">
        <v>0.25</v>
      </c>
      <c r="N23" s="550">
        <v>0.28999999999999998</v>
      </c>
      <c r="O23" s="551">
        <v>0.32</v>
      </c>
      <c r="P23" s="552">
        <v>0.35</v>
      </c>
    </row>
    <row r="24" spans="1:16" ht="18" customHeight="1">
      <c r="K24" s="553"/>
    </row>
  </sheetData>
  <mergeCells count="45">
    <mergeCell ref="B19:C23"/>
    <mergeCell ref="D21:J23"/>
    <mergeCell ref="D17:J17"/>
    <mergeCell ref="D18:J18"/>
    <mergeCell ref="D19:J19"/>
    <mergeCell ref="B15:C18"/>
    <mergeCell ref="D15:J15"/>
    <mergeCell ref="D16:J16"/>
    <mergeCell ref="K19:P19"/>
    <mergeCell ref="D20:J20"/>
    <mergeCell ref="L21:L22"/>
    <mergeCell ref="M21:M22"/>
    <mergeCell ref="N21:N22"/>
    <mergeCell ref="O21:O22"/>
    <mergeCell ref="P21:P22"/>
    <mergeCell ref="K15:P15"/>
    <mergeCell ref="L17:L18"/>
    <mergeCell ref="M17:M18"/>
    <mergeCell ref="N17:N18"/>
    <mergeCell ref="O17:O18"/>
    <mergeCell ref="P17:P18"/>
    <mergeCell ref="B12:C12"/>
    <mergeCell ref="D12:J12"/>
    <mergeCell ref="K12:P12"/>
    <mergeCell ref="B13:C13"/>
    <mergeCell ref="D13:J13"/>
    <mergeCell ref="K13:P14"/>
    <mergeCell ref="B14:C14"/>
    <mergeCell ref="D14:J14"/>
    <mergeCell ref="B6:C7"/>
    <mergeCell ref="D6:J7"/>
    <mergeCell ref="K6:P6"/>
    <mergeCell ref="K7:P7"/>
    <mergeCell ref="B9:C9"/>
    <mergeCell ref="B8:C8"/>
    <mergeCell ref="D8:J8"/>
    <mergeCell ref="K8:P8"/>
    <mergeCell ref="D9:P9"/>
    <mergeCell ref="B1:P1"/>
    <mergeCell ref="B4:C4"/>
    <mergeCell ref="D4:J4"/>
    <mergeCell ref="K4:P4"/>
    <mergeCell ref="B5:C5"/>
    <mergeCell ref="D5:J5"/>
    <mergeCell ref="K5:P5"/>
  </mergeCells>
  <phoneticPr fontId="16" type="noConversion"/>
  <printOptions horizontalCentered="1"/>
  <pageMargins left="0.31496062992125984" right="0.31496062992125984" top="0.31496062992125984" bottom="0.31496062992125984" header="0" footer="0"/>
  <pageSetup paperSize="9" scale="92" orientation="landscape"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7"/>
  <sheetViews>
    <sheetView zoomScaleNormal="100" workbookViewId="0">
      <pane ySplit="4" topLeftCell="A35" activePane="bottomLeft" state="frozen"/>
      <selection pane="bottomLeft"/>
    </sheetView>
  </sheetViews>
  <sheetFormatPr defaultRowHeight="18" customHeight="1"/>
  <cols>
    <col min="1" max="1" width="1.25" style="228" customWidth="1"/>
    <col min="2" max="2" width="18.375" style="460" customWidth="1"/>
    <col min="3" max="5" width="11.625" style="228" customWidth="1"/>
    <col min="6" max="6" width="10.875" style="228" customWidth="1"/>
    <col min="7" max="8" width="8.625" style="228" customWidth="1"/>
    <col min="9" max="9" width="7.5" style="228" bestFit="1" customWidth="1"/>
    <col min="10" max="11" width="6.875" style="228" hidden="1" customWidth="1"/>
    <col min="12" max="14" width="5.375" style="228" hidden="1" customWidth="1"/>
    <col min="15" max="15" width="5.75" style="228" customWidth="1"/>
    <col min="16" max="19" width="8.125" style="228" customWidth="1"/>
    <col min="20" max="20" width="8.125" style="494" customWidth="1"/>
    <col min="21" max="32" width="8.125" style="228" customWidth="1"/>
    <col min="33" max="16384" width="9" style="228"/>
  </cols>
  <sheetData>
    <row r="1" spans="1:32" s="237" customFormat="1" ht="30" customHeight="1" thickBot="1">
      <c r="A1" s="760"/>
      <c r="B1" s="2690" t="s">
        <v>1662</v>
      </c>
      <c r="C1" s="2690"/>
      <c r="D1" s="2690"/>
      <c r="E1" s="2690"/>
      <c r="F1" s="2690"/>
      <c r="G1" s="2690"/>
      <c r="H1" s="2690"/>
      <c r="I1" s="2690"/>
      <c r="J1" s="2690"/>
      <c r="K1" s="2690"/>
      <c r="L1" s="2690"/>
      <c r="M1" s="2690"/>
      <c r="N1" s="2690"/>
      <c r="O1" s="2690"/>
      <c r="P1" s="2690"/>
      <c r="Q1" s="2690"/>
      <c r="R1" s="2690"/>
      <c r="S1" s="2690"/>
      <c r="T1" s="2690"/>
      <c r="U1" s="2690"/>
      <c r="V1" s="2690"/>
      <c r="W1" s="2690"/>
      <c r="X1" s="2690"/>
      <c r="Y1" s="2690"/>
      <c r="Z1" s="2690"/>
      <c r="AA1" s="2690"/>
      <c r="AB1" s="2690"/>
      <c r="AC1" s="2690"/>
      <c r="AD1" s="2690"/>
      <c r="AE1" s="2690"/>
      <c r="AF1" s="2690"/>
    </row>
    <row r="2" spans="1:32" s="226" customFormat="1" ht="9.75" customHeight="1" thickTop="1" thickBot="1">
      <c r="A2" s="253"/>
      <c r="B2" s="460"/>
      <c r="C2" s="254"/>
      <c r="D2" s="254"/>
      <c r="E2" s="254"/>
      <c r="F2" s="253"/>
      <c r="G2" s="253"/>
      <c r="H2" s="253"/>
      <c r="I2" s="253"/>
      <c r="J2" s="253"/>
      <c r="K2" s="253"/>
      <c r="L2" s="253"/>
      <c r="M2" s="253"/>
      <c r="N2" s="253"/>
      <c r="O2" s="253"/>
      <c r="P2" s="253"/>
      <c r="Q2" s="253"/>
      <c r="R2" s="253"/>
      <c r="S2" s="253"/>
      <c r="T2" s="255"/>
      <c r="U2" s="253"/>
      <c r="V2" s="253"/>
      <c r="W2" s="253"/>
      <c r="X2" s="253"/>
      <c r="Y2" s="253"/>
      <c r="Z2" s="253"/>
      <c r="AA2" s="253"/>
      <c r="AB2" s="253"/>
      <c r="AC2" s="253"/>
      <c r="AD2" s="253"/>
      <c r="AE2" s="253"/>
      <c r="AF2" s="253"/>
    </row>
    <row r="3" spans="1:32" s="226" customFormat="1" ht="18" customHeight="1">
      <c r="A3" s="39"/>
      <c r="B3" s="2799" t="s">
        <v>1542</v>
      </c>
      <c r="C3" s="2800"/>
      <c r="D3" s="2800"/>
      <c r="E3" s="2800"/>
      <c r="F3" s="2799" t="s">
        <v>1554</v>
      </c>
      <c r="G3" s="2800"/>
      <c r="H3" s="2800"/>
      <c r="I3" s="2801"/>
      <c r="J3" s="1991" t="s">
        <v>1663</v>
      </c>
      <c r="K3" s="1989"/>
      <c r="L3" s="1989"/>
      <c r="M3" s="1989"/>
      <c r="N3" s="2802"/>
      <c r="O3" s="1992" t="s">
        <v>1547</v>
      </c>
      <c r="P3" s="1985"/>
      <c r="Q3" s="1988"/>
      <c r="R3" s="2803" t="s">
        <v>1548</v>
      </c>
      <c r="S3" s="2804"/>
      <c r="T3" s="260">
        <v>0.93</v>
      </c>
      <c r="U3" s="2803" t="s">
        <v>1549</v>
      </c>
      <c r="V3" s="2804"/>
      <c r="W3" s="1106">
        <v>0.86</v>
      </c>
      <c r="X3" s="1984" t="s">
        <v>1550</v>
      </c>
      <c r="Y3" s="1986"/>
      <c r="Z3" s="1106">
        <v>0.83</v>
      </c>
      <c r="AA3" s="1984" t="s">
        <v>1551</v>
      </c>
      <c r="AB3" s="1986"/>
      <c r="AC3" s="1106">
        <v>0.75</v>
      </c>
      <c r="AD3" s="1984" t="s">
        <v>1552</v>
      </c>
      <c r="AE3" s="1986"/>
      <c r="AF3" s="1106">
        <v>0.7</v>
      </c>
    </row>
    <row r="4" spans="1:32" s="226" customFormat="1" ht="24.95" customHeight="1" thickBot="1">
      <c r="A4" s="39"/>
      <c r="B4" s="19" t="s">
        <v>1605</v>
      </c>
      <c r="C4" s="2797" t="s">
        <v>1664</v>
      </c>
      <c r="D4" s="2797"/>
      <c r="E4" s="2798"/>
      <c r="F4" s="535" t="s">
        <v>1665</v>
      </c>
      <c r="G4" s="199" t="s">
        <v>1666</v>
      </c>
      <c r="H4" s="199" t="s">
        <v>1667</v>
      </c>
      <c r="I4" s="461" t="s">
        <v>1668</v>
      </c>
      <c r="J4" s="19" t="s">
        <v>1669</v>
      </c>
      <c r="K4" s="20" t="s">
        <v>1670</v>
      </c>
      <c r="L4" s="20" t="s">
        <v>1671</v>
      </c>
      <c r="M4" s="20" t="s">
        <v>1672</v>
      </c>
      <c r="N4" s="21" t="s">
        <v>1673</v>
      </c>
      <c r="O4" s="812" t="s">
        <v>1674</v>
      </c>
      <c r="P4" s="813" t="s">
        <v>1675</v>
      </c>
      <c r="Q4" s="814" t="s">
        <v>217</v>
      </c>
      <c r="R4" s="812" t="s">
        <v>1559</v>
      </c>
      <c r="S4" s="813" t="s">
        <v>1560</v>
      </c>
      <c r="T4" s="814" t="s">
        <v>1561</v>
      </c>
      <c r="U4" s="812" t="s">
        <v>1559</v>
      </c>
      <c r="V4" s="813" t="s">
        <v>1560</v>
      </c>
      <c r="W4" s="814" t="s">
        <v>1561</v>
      </c>
      <c r="X4" s="812" t="s">
        <v>1559</v>
      </c>
      <c r="Y4" s="813" t="s">
        <v>1560</v>
      </c>
      <c r="Z4" s="814" t="s">
        <v>1561</v>
      </c>
      <c r="AA4" s="812" t="s">
        <v>1676</v>
      </c>
      <c r="AB4" s="813" t="s">
        <v>1677</v>
      </c>
      <c r="AC4" s="814" t="s">
        <v>1678</v>
      </c>
      <c r="AD4" s="812" t="s">
        <v>1679</v>
      </c>
      <c r="AE4" s="813" t="s">
        <v>1677</v>
      </c>
      <c r="AF4" s="814" t="s">
        <v>1680</v>
      </c>
    </row>
    <row r="5" spans="1:32" s="226" customFormat="1" ht="18" customHeight="1">
      <c r="A5" s="39"/>
      <c r="B5" s="2771" t="s">
        <v>1681</v>
      </c>
      <c r="C5" s="2794" t="s">
        <v>1682</v>
      </c>
      <c r="D5" s="2795"/>
      <c r="E5" s="2796"/>
      <c r="F5" s="2745">
        <v>1000</v>
      </c>
      <c r="G5" s="2734">
        <f>F5*C6</f>
        <v>2760</v>
      </c>
      <c r="H5" s="2734">
        <f>F5*12*20%*115%*25%</f>
        <v>690</v>
      </c>
      <c r="I5" s="2747">
        <f>F5*20%*115%*12*32%</f>
        <v>883.19999999999982</v>
      </c>
      <c r="J5" s="2745">
        <f>SUM(G5:I6)</f>
        <v>4333.2</v>
      </c>
      <c r="K5" s="2734">
        <f>F5*D6</f>
        <v>480</v>
      </c>
      <c r="L5" s="2734">
        <f>F5*E6</f>
        <v>480</v>
      </c>
      <c r="M5" s="2734"/>
      <c r="N5" s="2736"/>
      <c r="O5" s="118">
        <f>G5/12+I5/12</f>
        <v>303.59999999999997</v>
      </c>
      <c r="P5" s="261">
        <f>SUM(G5:I6)</f>
        <v>4333.2</v>
      </c>
      <c r="Q5" s="262">
        <f>SUM(J5:N6)</f>
        <v>5293.2</v>
      </c>
      <c r="R5" s="263">
        <f>O5*$T$3</f>
        <v>282.34799999999996</v>
      </c>
      <c r="S5" s="261">
        <f>P5*$T$3</f>
        <v>4029.8760000000002</v>
      </c>
      <c r="T5" s="262">
        <f>Q5*$T$3</f>
        <v>4922.6760000000004</v>
      </c>
      <c r="U5" s="263">
        <f>O5*$W$3</f>
        <v>261.09599999999995</v>
      </c>
      <c r="V5" s="261">
        <f>P5*$W$3</f>
        <v>3726.5519999999997</v>
      </c>
      <c r="W5" s="262">
        <f>Q5*$W$3</f>
        <v>4552.152</v>
      </c>
      <c r="X5" s="263">
        <f>O5*$Z$3</f>
        <v>251.98799999999997</v>
      </c>
      <c r="Y5" s="261">
        <f>P5*$Z$3</f>
        <v>3596.5559999999996</v>
      </c>
      <c r="Z5" s="262">
        <f>Q5*$Z$3</f>
        <v>4393.3559999999998</v>
      </c>
      <c r="AA5" s="263">
        <f>O5*$AC$3</f>
        <v>227.7</v>
      </c>
      <c r="AB5" s="261">
        <f>P5*$AC$3</f>
        <v>3249.8999999999996</v>
      </c>
      <c r="AC5" s="262">
        <f>Q5*$AC$3</f>
        <v>3969.8999999999996</v>
      </c>
      <c r="AD5" s="263">
        <f>O5*$AF$3</f>
        <v>212.51999999999995</v>
      </c>
      <c r="AE5" s="261">
        <f>P5*$AF$3</f>
        <v>3033.24</v>
      </c>
      <c r="AF5" s="262">
        <f>Q5*$AF$3</f>
        <v>3705.24</v>
      </c>
    </row>
    <row r="6" spans="1:32" s="226" customFormat="1" ht="18" customHeight="1" thickBot="1">
      <c r="A6" s="39"/>
      <c r="B6" s="2772"/>
      <c r="C6" s="238">
        <f>20%*115%*12</f>
        <v>2.76</v>
      </c>
      <c r="D6" s="40">
        <f>4%*12</f>
        <v>0.48</v>
      </c>
      <c r="E6" s="40">
        <f>4%*12</f>
        <v>0.48</v>
      </c>
      <c r="F6" s="2746"/>
      <c r="G6" s="2735"/>
      <c r="H6" s="2735"/>
      <c r="I6" s="2748"/>
      <c r="J6" s="2746"/>
      <c r="K6" s="2735"/>
      <c r="L6" s="2735"/>
      <c r="M6" s="2735"/>
      <c r="N6" s="2737"/>
      <c r="O6" s="259">
        <f>O5/F5</f>
        <v>0.30359999999999998</v>
      </c>
      <c r="P6" s="239">
        <f>P5/F5</f>
        <v>4.3331999999999997</v>
      </c>
      <c r="Q6" s="240">
        <f>Q5/F5</f>
        <v>5.2931999999999997</v>
      </c>
      <c r="R6" s="259">
        <f>R5/F5</f>
        <v>0.28234799999999993</v>
      </c>
      <c r="S6" s="239">
        <f>S5/F5</f>
        <v>4.0298759999999998</v>
      </c>
      <c r="T6" s="240">
        <f>T5/F5</f>
        <v>4.9226760000000001</v>
      </c>
      <c r="U6" s="259">
        <f>U5/F5</f>
        <v>0.26109599999999994</v>
      </c>
      <c r="V6" s="239">
        <f>V5/F5</f>
        <v>3.7265519999999999</v>
      </c>
      <c r="W6" s="240">
        <f>W5/F5</f>
        <v>4.5521520000000004</v>
      </c>
      <c r="X6" s="259">
        <f>X5/F5</f>
        <v>0.25198799999999999</v>
      </c>
      <c r="Y6" s="239">
        <f>Y5/F5</f>
        <v>3.5965559999999996</v>
      </c>
      <c r="Z6" s="240">
        <f>Z5/F5</f>
        <v>4.3933559999999998</v>
      </c>
      <c r="AA6" s="259">
        <f>AA5/F5</f>
        <v>0.22769999999999999</v>
      </c>
      <c r="AB6" s="239">
        <f>AB5/F5</f>
        <v>3.2498999999999998</v>
      </c>
      <c r="AC6" s="240">
        <f>AC5/F5</f>
        <v>3.9698999999999995</v>
      </c>
      <c r="AD6" s="259">
        <f>AD5/F5</f>
        <v>0.21251999999999996</v>
      </c>
      <c r="AE6" s="239">
        <f>AE5/F5</f>
        <v>3.0332399999999997</v>
      </c>
      <c r="AF6" s="240">
        <f>AF5/F5</f>
        <v>3.7052399999999999</v>
      </c>
    </row>
    <row r="7" spans="1:32" s="226" customFormat="1" ht="18" customHeight="1">
      <c r="A7" s="39"/>
      <c r="B7" s="2755" t="s">
        <v>609</v>
      </c>
      <c r="C7" s="2758" t="s">
        <v>1683</v>
      </c>
      <c r="D7" s="2759" t="s">
        <v>387</v>
      </c>
      <c r="E7" s="2760" t="s">
        <v>1684</v>
      </c>
      <c r="F7" s="2745">
        <v>1000</v>
      </c>
      <c r="G7" s="2734">
        <f>F7*C8</f>
        <v>3174.0000000000005</v>
      </c>
      <c r="H7" s="2734">
        <f>G7*25%</f>
        <v>793.50000000000011</v>
      </c>
      <c r="I7" s="2747">
        <f>G7*32%</f>
        <v>1015.6800000000002</v>
      </c>
      <c r="J7" s="2745">
        <f>SUM(G7:I8)</f>
        <v>4983.18</v>
      </c>
      <c r="K7" s="2734">
        <f>F7*D8</f>
        <v>600.00000000000011</v>
      </c>
      <c r="L7" s="2734">
        <f>F7*E8</f>
        <v>600.00000000000011</v>
      </c>
      <c r="M7" s="1113"/>
      <c r="N7" s="1115"/>
      <c r="O7" s="118">
        <f>G7/12+I7/12</f>
        <v>349.1400000000001</v>
      </c>
      <c r="P7" s="261">
        <f>SUM(G7:I8)</f>
        <v>4983.18</v>
      </c>
      <c r="Q7" s="262">
        <f>SUM(J7:L8)</f>
        <v>6183.18</v>
      </c>
      <c r="R7" s="264">
        <f>O7*$T$3</f>
        <v>324.70020000000011</v>
      </c>
      <c r="S7" s="265">
        <f>P7*$T$3</f>
        <v>4634.3574000000008</v>
      </c>
      <c r="T7" s="266">
        <f>Q7*$T$3</f>
        <v>5750.3574000000008</v>
      </c>
      <c r="U7" s="264">
        <f>O7*$W$3</f>
        <v>300.26040000000006</v>
      </c>
      <c r="V7" s="265">
        <f>P7*$W$3</f>
        <v>4285.5348000000004</v>
      </c>
      <c r="W7" s="266">
        <f>Q7*$W$3</f>
        <v>5317.5348000000004</v>
      </c>
      <c r="X7" s="264">
        <f>O7*$Z$3</f>
        <v>289.78620000000006</v>
      </c>
      <c r="Y7" s="265">
        <f>P7*$Z$3</f>
        <v>4136.0393999999997</v>
      </c>
      <c r="Z7" s="266">
        <f>Q7*$Z$3</f>
        <v>5132.0393999999997</v>
      </c>
      <c r="AA7" s="264">
        <f>O7*$AC$3</f>
        <v>261.85500000000008</v>
      </c>
      <c r="AB7" s="265">
        <f>P7*$AC$3</f>
        <v>3737.3850000000002</v>
      </c>
      <c r="AC7" s="266">
        <f>Q7*$AC$3</f>
        <v>4637.3850000000002</v>
      </c>
      <c r="AD7" s="264">
        <f>O7*$AF$3</f>
        <v>244.39800000000005</v>
      </c>
      <c r="AE7" s="265">
        <f>P7*$AF$3</f>
        <v>3488.2260000000001</v>
      </c>
      <c r="AF7" s="266">
        <f>Q7*$AF$3</f>
        <v>4328.2259999999997</v>
      </c>
    </row>
    <row r="8" spans="1:32" s="226" customFormat="1" ht="18" customHeight="1" thickBot="1">
      <c r="A8" s="39"/>
      <c r="B8" s="2756"/>
      <c r="C8" s="238">
        <f>23%*115%*12</f>
        <v>3.1740000000000004</v>
      </c>
      <c r="D8" s="40">
        <f>5%*12</f>
        <v>0.60000000000000009</v>
      </c>
      <c r="E8" s="40">
        <f>5%*12</f>
        <v>0.60000000000000009</v>
      </c>
      <c r="F8" s="2746"/>
      <c r="G8" s="2735"/>
      <c r="H8" s="2735"/>
      <c r="I8" s="2748"/>
      <c r="J8" s="2746"/>
      <c r="K8" s="2735"/>
      <c r="L8" s="2735"/>
      <c r="M8" s="1114"/>
      <c r="N8" s="1116"/>
      <c r="O8" s="259">
        <f>O7/F7</f>
        <v>0.34914000000000012</v>
      </c>
      <c r="P8" s="239">
        <f>P7/F7</f>
        <v>4.9831799999999999</v>
      </c>
      <c r="Q8" s="240">
        <f>Q7/F7</f>
        <v>6.1831800000000001</v>
      </c>
      <c r="R8" s="259">
        <f>R7/F7</f>
        <v>0.32470020000000011</v>
      </c>
      <c r="S8" s="239">
        <f>S7/F7</f>
        <v>4.6343574000000007</v>
      </c>
      <c r="T8" s="240">
        <f>T7/F7</f>
        <v>5.7503574000000004</v>
      </c>
      <c r="U8" s="259">
        <f>U7/F7</f>
        <v>0.30026040000000004</v>
      </c>
      <c r="V8" s="239">
        <f>V7/F7</f>
        <v>4.2855348000000006</v>
      </c>
      <c r="W8" s="240">
        <f>W7/F7</f>
        <v>5.3175348000000007</v>
      </c>
      <c r="X8" s="259">
        <f>X7/F7</f>
        <v>0.28978620000000005</v>
      </c>
      <c r="Y8" s="239">
        <f>Y7/F7</f>
        <v>4.1360393999999996</v>
      </c>
      <c r="Z8" s="240">
        <f>Z7/F7</f>
        <v>5.1320394</v>
      </c>
      <c r="AA8" s="259">
        <f>AA7/F7</f>
        <v>0.26185500000000006</v>
      </c>
      <c r="AB8" s="239">
        <f>AB7/F7</f>
        <v>3.7373850000000002</v>
      </c>
      <c r="AC8" s="240">
        <f>AC7/F7</f>
        <v>4.6373850000000001</v>
      </c>
      <c r="AD8" s="259">
        <f>AD7/F7</f>
        <v>0.24439800000000006</v>
      </c>
      <c r="AE8" s="239">
        <f>AE7/F7</f>
        <v>3.488226</v>
      </c>
      <c r="AF8" s="240">
        <f>AF7/F7</f>
        <v>4.3282259999999999</v>
      </c>
    </row>
    <row r="9" spans="1:32" s="226" customFormat="1" ht="18" customHeight="1">
      <c r="A9" s="39"/>
      <c r="B9" s="2756"/>
      <c r="C9" s="2794" t="s">
        <v>610</v>
      </c>
      <c r="D9" s="2795"/>
      <c r="E9" s="2796"/>
      <c r="F9" s="2745">
        <v>1000</v>
      </c>
      <c r="G9" s="2734">
        <f>F9*C10</f>
        <v>2760</v>
      </c>
      <c r="H9" s="2734">
        <f>F9*12*20%*115%*25%</f>
        <v>690</v>
      </c>
      <c r="I9" s="2747">
        <f>F9*20%*115%*12*32%</f>
        <v>883.19999999999982</v>
      </c>
      <c r="J9" s="2745">
        <f>SUM(G9:I10)</f>
        <v>4333.2</v>
      </c>
      <c r="K9" s="2734">
        <f>F9*D10</f>
        <v>240</v>
      </c>
      <c r="L9" s="2734">
        <f>F9*E10</f>
        <v>240</v>
      </c>
      <c r="M9" s="2734">
        <f>F9*E10</f>
        <v>240</v>
      </c>
      <c r="N9" s="2736">
        <f>F9*E10</f>
        <v>240</v>
      </c>
      <c r="O9" s="118">
        <f>G9/12+I9/12</f>
        <v>303.59999999999997</v>
      </c>
      <c r="P9" s="261">
        <f>SUM(G9:I10)</f>
        <v>4333.2</v>
      </c>
      <c r="Q9" s="262">
        <f>SUM(J9:N10)</f>
        <v>5293.2</v>
      </c>
      <c r="R9" s="263">
        <f>O9*$T$3</f>
        <v>282.34799999999996</v>
      </c>
      <c r="S9" s="261">
        <f>P9*$T$3</f>
        <v>4029.8760000000002</v>
      </c>
      <c r="T9" s="262">
        <f>Q9*$T$3</f>
        <v>4922.6760000000004</v>
      </c>
      <c r="U9" s="263">
        <f>O9*$W$3</f>
        <v>261.09599999999995</v>
      </c>
      <c r="V9" s="261">
        <f>P9*$W$3</f>
        <v>3726.5519999999997</v>
      </c>
      <c r="W9" s="262">
        <f>Q9*$W$3</f>
        <v>4552.152</v>
      </c>
      <c r="X9" s="263">
        <f>O9*$Z$3</f>
        <v>251.98799999999997</v>
      </c>
      <c r="Y9" s="261">
        <f>P9*$Z$3</f>
        <v>3596.5559999999996</v>
      </c>
      <c r="Z9" s="262">
        <f>Q9*$Z$3</f>
        <v>4393.3559999999998</v>
      </c>
      <c r="AA9" s="263">
        <f>O9*$AC$3</f>
        <v>227.7</v>
      </c>
      <c r="AB9" s="261">
        <f>P9*$AC$3</f>
        <v>3249.8999999999996</v>
      </c>
      <c r="AC9" s="262">
        <f>Q9*$AC$3</f>
        <v>3969.8999999999996</v>
      </c>
      <c r="AD9" s="263">
        <f>O9*$AF$3</f>
        <v>212.51999999999995</v>
      </c>
      <c r="AE9" s="261">
        <f>P9*$AF$3</f>
        <v>3033.24</v>
      </c>
      <c r="AF9" s="262">
        <f>Q9*$AF$3</f>
        <v>3705.24</v>
      </c>
    </row>
    <row r="10" spans="1:32" s="226" customFormat="1" ht="17.25" customHeight="1" thickBot="1">
      <c r="A10" s="39"/>
      <c r="B10" s="2757"/>
      <c r="C10" s="238">
        <f>20%*115%*12</f>
        <v>2.76</v>
      </c>
      <c r="D10" s="40">
        <f>2%*12</f>
        <v>0.24</v>
      </c>
      <c r="E10" s="534">
        <f>2%*12</f>
        <v>0.24</v>
      </c>
      <c r="F10" s="2746"/>
      <c r="G10" s="2735"/>
      <c r="H10" s="2735"/>
      <c r="I10" s="2748"/>
      <c r="J10" s="2746"/>
      <c r="K10" s="2735"/>
      <c r="L10" s="2735"/>
      <c r="M10" s="2735"/>
      <c r="N10" s="2737"/>
      <c r="O10" s="259">
        <f>O9/F9</f>
        <v>0.30359999999999998</v>
      </c>
      <c r="P10" s="239">
        <f>P9/F9</f>
        <v>4.3331999999999997</v>
      </c>
      <c r="Q10" s="240">
        <f>Q9/F9</f>
        <v>5.2931999999999997</v>
      </c>
      <c r="R10" s="259">
        <f>R9/F9</f>
        <v>0.28234799999999993</v>
      </c>
      <c r="S10" s="239">
        <f>S9/F9</f>
        <v>4.0298759999999998</v>
      </c>
      <c r="T10" s="240">
        <f>T9/F9</f>
        <v>4.9226760000000001</v>
      </c>
      <c r="U10" s="259">
        <f>U9/F9</f>
        <v>0.26109599999999994</v>
      </c>
      <c r="V10" s="239">
        <f>V9/F9</f>
        <v>3.7265519999999999</v>
      </c>
      <c r="W10" s="240">
        <f>W9/F9</f>
        <v>4.5521520000000004</v>
      </c>
      <c r="X10" s="259">
        <f>X9/F9</f>
        <v>0.25198799999999999</v>
      </c>
      <c r="Y10" s="239">
        <f>Y9/F9</f>
        <v>3.5965559999999996</v>
      </c>
      <c r="Z10" s="240">
        <f>Z9/F9</f>
        <v>4.3933559999999998</v>
      </c>
      <c r="AA10" s="259">
        <f>AA9/F9</f>
        <v>0.22769999999999999</v>
      </c>
      <c r="AB10" s="239">
        <f>AB9/F9</f>
        <v>3.2498999999999998</v>
      </c>
      <c r="AC10" s="240">
        <f>AC9/F9</f>
        <v>3.9698999999999995</v>
      </c>
      <c r="AD10" s="259">
        <f>AD9/F9</f>
        <v>0.21251999999999996</v>
      </c>
      <c r="AE10" s="239">
        <f>AE9/F9</f>
        <v>3.0332399999999997</v>
      </c>
      <c r="AF10" s="240">
        <f>AF9/F9</f>
        <v>3.7052399999999999</v>
      </c>
    </row>
    <row r="11" spans="1:32" s="226" customFormat="1" ht="18" customHeight="1">
      <c r="A11" s="178"/>
      <c r="B11" s="1119" t="s">
        <v>1685</v>
      </c>
      <c r="C11" s="2758" t="s">
        <v>1686</v>
      </c>
      <c r="D11" s="2759"/>
      <c r="E11" s="2760"/>
      <c r="F11" s="2764">
        <v>1000</v>
      </c>
      <c r="G11" s="2765">
        <f>F11*C12</f>
        <v>4554</v>
      </c>
      <c r="H11" s="2765">
        <f>G11*25%</f>
        <v>1138.5</v>
      </c>
      <c r="I11" s="2793">
        <f>G11*32%</f>
        <v>1457.28</v>
      </c>
      <c r="J11" s="2764">
        <f>SUM(G11:I12)</f>
        <v>7149.78</v>
      </c>
      <c r="K11" s="2765">
        <f>F11*D12</f>
        <v>2088</v>
      </c>
      <c r="L11" s="2734">
        <f>F11*E12</f>
        <v>300.00000000000006</v>
      </c>
      <c r="M11" s="1113"/>
      <c r="N11" s="1115"/>
      <c r="O11" s="118">
        <f>G11/12+I11/12</f>
        <v>500.94</v>
      </c>
      <c r="P11" s="261">
        <f>SUM(G11:I12)</f>
        <v>7149.78</v>
      </c>
      <c r="Q11" s="262">
        <f>SUM(J11:L12)</f>
        <v>9537.7799999999988</v>
      </c>
      <c r="R11" s="264">
        <f>O11*$T$3</f>
        <v>465.87420000000003</v>
      </c>
      <c r="S11" s="265">
        <f>P11*$T$3</f>
        <v>6649.2954</v>
      </c>
      <c r="T11" s="266">
        <f>Q11*$T$3</f>
        <v>8870.1353999999992</v>
      </c>
      <c r="U11" s="264">
        <f>O11*$W$3</f>
        <v>430.80840000000001</v>
      </c>
      <c r="V11" s="265">
        <f>P11*$W$3</f>
        <v>6148.8107999999993</v>
      </c>
      <c r="W11" s="266">
        <f>Q11*$W$3</f>
        <v>8202.4907999999996</v>
      </c>
      <c r="X11" s="264">
        <f>O11*$Z$3</f>
        <v>415.78019999999998</v>
      </c>
      <c r="Y11" s="265">
        <f>P11*$Z$3</f>
        <v>5934.3173999999999</v>
      </c>
      <c r="Z11" s="266">
        <f>Q11*$Z$3</f>
        <v>7916.357399999999</v>
      </c>
      <c r="AA11" s="264">
        <f>O11*$AC$3</f>
        <v>375.70499999999998</v>
      </c>
      <c r="AB11" s="265">
        <f>P11*$AC$3</f>
        <v>5362.335</v>
      </c>
      <c r="AC11" s="266">
        <f>Q11*$AC$3</f>
        <v>7153.3349999999991</v>
      </c>
      <c r="AD11" s="264">
        <f>O11*$AF$3</f>
        <v>350.65799999999996</v>
      </c>
      <c r="AE11" s="265">
        <f>P11*$AF$3</f>
        <v>5004.8459999999995</v>
      </c>
      <c r="AF11" s="266">
        <f>Q11*$AF$3</f>
        <v>6676.445999999999</v>
      </c>
    </row>
    <row r="12" spans="1:32" s="226" customFormat="1" ht="17.25" customHeight="1" thickBot="1">
      <c r="A12" s="178"/>
      <c r="B12" s="1117"/>
      <c r="C12" s="15">
        <f>33%*115%*12</f>
        <v>4.5540000000000003</v>
      </c>
      <c r="D12" s="41">
        <f>17.4%*12</f>
        <v>2.0880000000000001</v>
      </c>
      <c r="E12" s="200">
        <f>2.5%*12</f>
        <v>0.30000000000000004</v>
      </c>
      <c r="F12" s="2754"/>
      <c r="G12" s="2738"/>
      <c r="H12" s="2738"/>
      <c r="I12" s="2763"/>
      <c r="J12" s="2754"/>
      <c r="K12" s="2738"/>
      <c r="L12" s="2762"/>
      <c r="M12" s="1122"/>
      <c r="N12" s="533"/>
      <c r="O12" s="259">
        <f>O11/F11</f>
        <v>0.50094000000000005</v>
      </c>
      <c r="P12" s="239">
        <f>P11/F11</f>
        <v>7.1497799999999998</v>
      </c>
      <c r="Q12" s="240">
        <f>Q11/F11</f>
        <v>9.5377799999999997</v>
      </c>
      <c r="R12" s="259">
        <f>R11/F11</f>
        <v>0.46587420000000002</v>
      </c>
      <c r="S12" s="239">
        <f>S11/F11</f>
        <v>6.6492953999999997</v>
      </c>
      <c r="T12" s="240">
        <f>T11/F11</f>
        <v>8.8701353999999988</v>
      </c>
      <c r="U12" s="259">
        <f>U11/F11</f>
        <v>0.43080839999999998</v>
      </c>
      <c r="V12" s="239">
        <f>V11/F11</f>
        <v>6.1488107999999997</v>
      </c>
      <c r="W12" s="240">
        <f>W11/F11</f>
        <v>8.2024907999999996</v>
      </c>
      <c r="X12" s="259">
        <f>X11/F11</f>
        <v>0.41578019999999999</v>
      </c>
      <c r="Y12" s="239">
        <f>Y11/F11</f>
        <v>5.9343174000000003</v>
      </c>
      <c r="Z12" s="240">
        <f>Z11/F11</f>
        <v>7.916357399999999</v>
      </c>
      <c r="AA12" s="259">
        <f>AA11/F11</f>
        <v>0.37570500000000001</v>
      </c>
      <c r="AB12" s="239">
        <f>AB11/F11</f>
        <v>5.3623349999999999</v>
      </c>
      <c r="AC12" s="240">
        <f>AC11/F11</f>
        <v>7.1533349999999993</v>
      </c>
      <c r="AD12" s="259">
        <f>AD11/F11</f>
        <v>0.35065799999999997</v>
      </c>
      <c r="AE12" s="239">
        <f>AE11/F11</f>
        <v>5.0048459999999997</v>
      </c>
      <c r="AF12" s="240">
        <f>AF11/F11</f>
        <v>6.6764459999999994</v>
      </c>
    </row>
    <row r="13" spans="1:32" s="226" customFormat="1" ht="18" customHeight="1">
      <c r="A13" s="178"/>
      <c r="B13" s="1117"/>
      <c r="C13" s="1978" t="s">
        <v>1687</v>
      </c>
      <c r="D13" s="1969"/>
      <c r="E13" s="2766"/>
      <c r="F13" s="2754">
        <v>1000</v>
      </c>
      <c r="G13" s="2738">
        <f>F13*C14</f>
        <v>3449.9999999999995</v>
      </c>
      <c r="H13" s="2738">
        <f>G13*25%</f>
        <v>862.49999999999989</v>
      </c>
      <c r="I13" s="2763">
        <f>G13*32%</f>
        <v>1103.9999999999998</v>
      </c>
      <c r="J13" s="2754">
        <f>SUM(G13:I14)</f>
        <v>5416.4999999999991</v>
      </c>
      <c r="K13" s="2738">
        <f>F13*D14</f>
        <v>1584</v>
      </c>
      <c r="L13" s="2738">
        <f>F13*E14</f>
        <v>300.00000000000006</v>
      </c>
      <c r="M13" s="1120"/>
      <c r="N13" s="312"/>
      <c r="O13" s="118">
        <f>G13/12+I13/12</f>
        <v>379.49999999999994</v>
      </c>
      <c r="P13" s="261">
        <f>SUM(G13:I14)</f>
        <v>5416.4999999999991</v>
      </c>
      <c r="Q13" s="262">
        <f>SUM(J13:L14)</f>
        <v>7300.4999999999991</v>
      </c>
      <c r="R13" s="126">
        <f>O13*$T$3</f>
        <v>352.93499999999995</v>
      </c>
      <c r="S13" s="127">
        <f>P13*$T$3</f>
        <v>5037.3449999999993</v>
      </c>
      <c r="T13" s="128">
        <f>Q13*$T$3</f>
        <v>6789.4649999999992</v>
      </c>
      <c r="U13" s="126">
        <f>O13*$W$3</f>
        <v>326.36999999999995</v>
      </c>
      <c r="V13" s="127">
        <f>P13*$W$3</f>
        <v>4658.1899999999996</v>
      </c>
      <c r="W13" s="128">
        <f>Q13*$W$3</f>
        <v>6278.4299999999994</v>
      </c>
      <c r="X13" s="126">
        <f>O13*$Z$3</f>
        <v>314.98499999999996</v>
      </c>
      <c r="Y13" s="127">
        <f>P13*$Z$3</f>
        <v>4495.6949999999988</v>
      </c>
      <c r="Z13" s="128">
        <f>Q13*$Z$3</f>
        <v>6059.4149999999991</v>
      </c>
      <c r="AA13" s="126">
        <f>O13*$AC$3</f>
        <v>284.62499999999994</v>
      </c>
      <c r="AB13" s="127">
        <f>P13*$AC$3</f>
        <v>4062.3749999999991</v>
      </c>
      <c r="AC13" s="128">
        <f>Q13*$AC$3</f>
        <v>5475.3749999999991</v>
      </c>
      <c r="AD13" s="126">
        <f>O13*$AF$3</f>
        <v>265.64999999999992</v>
      </c>
      <c r="AE13" s="127">
        <f>P13*$AF$3</f>
        <v>3791.5499999999993</v>
      </c>
      <c r="AF13" s="128">
        <f>Q13*$AF$3</f>
        <v>5110.3499999999995</v>
      </c>
    </row>
    <row r="14" spans="1:32" s="226" customFormat="1" ht="17.25" customHeight="1" thickBot="1">
      <c r="A14" s="178"/>
      <c r="B14" s="1117"/>
      <c r="C14" s="15">
        <f>25%*115%*12</f>
        <v>3.4499999999999997</v>
      </c>
      <c r="D14" s="41">
        <f>13.2%*12</f>
        <v>1.5840000000000001</v>
      </c>
      <c r="E14" s="200">
        <f>2.5%*12</f>
        <v>0.30000000000000004</v>
      </c>
      <c r="F14" s="2754"/>
      <c r="G14" s="2738"/>
      <c r="H14" s="2738"/>
      <c r="I14" s="2763"/>
      <c r="J14" s="2754"/>
      <c r="K14" s="2738"/>
      <c r="L14" s="2738"/>
      <c r="M14" s="1122"/>
      <c r="N14" s="533"/>
      <c r="O14" s="259">
        <f>O13/F13</f>
        <v>0.37949999999999995</v>
      </c>
      <c r="P14" s="239">
        <f>P13/F13</f>
        <v>5.4164999999999992</v>
      </c>
      <c r="Q14" s="240">
        <f>Q13/F13</f>
        <v>7.3004999999999987</v>
      </c>
      <c r="R14" s="259">
        <f>R13/F13</f>
        <v>0.35293499999999994</v>
      </c>
      <c r="S14" s="239">
        <f>S13/F13</f>
        <v>5.0373449999999993</v>
      </c>
      <c r="T14" s="240">
        <f>T13/F13</f>
        <v>6.789464999999999</v>
      </c>
      <c r="U14" s="259">
        <f>U13/F13</f>
        <v>0.32636999999999994</v>
      </c>
      <c r="V14" s="239">
        <f>V13/F13</f>
        <v>4.6581899999999994</v>
      </c>
      <c r="W14" s="240">
        <f>W13/F13</f>
        <v>6.2784299999999993</v>
      </c>
      <c r="X14" s="259">
        <f>X13/F13</f>
        <v>0.31498499999999996</v>
      </c>
      <c r="Y14" s="239">
        <f>Y13/F13</f>
        <v>4.4956949999999987</v>
      </c>
      <c r="Z14" s="240">
        <f>Z13/F13</f>
        <v>6.0594149999999987</v>
      </c>
      <c r="AA14" s="259">
        <f>AA13/F13</f>
        <v>0.28462499999999996</v>
      </c>
      <c r="AB14" s="239">
        <f>AB13/F13</f>
        <v>4.0623749999999994</v>
      </c>
      <c r="AC14" s="240">
        <f>AC13/F13</f>
        <v>5.4753749999999988</v>
      </c>
      <c r="AD14" s="259">
        <f>AD13/F13</f>
        <v>0.26564999999999994</v>
      </c>
      <c r="AE14" s="239">
        <f>AE13/F13</f>
        <v>3.7915499999999991</v>
      </c>
      <c r="AF14" s="240">
        <f>AF13/F13</f>
        <v>5.1103499999999995</v>
      </c>
    </row>
    <row r="15" spans="1:32" s="226" customFormat="1" ht="18" customHeight="1">
      <c r="A15" s="178"/>
      <c r="B15" s="1117"/>
      <c r="C15" s="1978" t="s">
        <v>1688</v>
      </c>
      <c r="D15" s="1969"/>
      <c r="E15" s="2766"/>
      <c r="F15" s="2754">
        <v>1000</v>
      </c>
      <c r="G15" s="2738">
        <f>F15*C16</f>
        <v>2760</v>
      </c>
      <c r="H15" s="2738">
        <f>G15*25%</f>
        <v>690</v>
      </c>
      <c r="I15" s="2763">
        <f>G15*32%</f>
        <v>883.2</v>
      </c>
      <c r="J15" s="2754">
        <f>SUM(G15:I16)</f>
        <v>4333.2</v>
      </c>
      <c r="K15" s="2738">
        <f>F15*D16</f>
        <v>1260</v>
      </c>
      <c r="L15" s="2762">
        <f>F15*E16</f>
        <v>300.00000000000006</v>
      </c>
      <c r="M15" s="1120"/>
      <c r="N15" s="312"/>
      <c r="O15" s="118">
        <f>G15/12+I15/12</f>
        <v>303.60000000000002</v>
      </c>
      <c r="P15" s="261">
        <f>SUM(G15:I16)</f>
        <v>4333.2</v>
      </c>
      <c r="Q15" s="262">
        <f>SUM(J15:L16)</f>
        <v>5893.2</v>
      </c>
      <c r="R15" s="118">
        <f>O15*$T$3</f>
        <v>282.34800000000001</v>
      </c>
      <c r="S15" s="119">
        <f>P15*$T$3</f>
        <v>4029.8760000000002</v>
      </c>
      <c r="T15" s="120">
        <f>Q15*$T$3</f>
        <v>5480.6760000000004</v>
      </c>
      <c r="U15" s="118">
        <f>O15*$W$3</f>
        <v>261.096</v>
      </c>
      <c r="V15" s="119">
        <f>P15*$W$3</f>
        <v>3726.5519999999997</v>
      </c>
      <c r="W15" s="120">
        <f>Q15*$W$3</f>
        <v>5068.152</v>
      </c>
      <c r="X15" s="118">
        <f>O15*$Z$3</f>
        <v>251.988</v>
      </c>
      <c r="Y15" s="119">
        <f>P15*$Z$3</f>
        <v>3596.5559999999996</v>
      </c>
      <c r="Z15" s="120">
        <f>Q15*$Z$3</f>
        <v>4891.3559999999998</v>
      </c>
      <c r="AA15" s="118">
        <f>O15*$AC$3</f>
        <v>227.70000000000002</v>
      </c>
      <c r="AB15" s="119">
        <f>P15*$AC$3</f>
        <v>3249.8999999999996</v>
      </c>
      <c r="AC15" s="120">
        <f>Q15*$AC$3</f>
        <v>4419.8999999999996</v>
      </c>
      <c r="AD15" s="118">
        <f>O15*$AF$3</f>
        <v>212.52</v>
      </c>
      <c r="AE15" s="119">
        <f>P15*$AF$3</f>
        <v>3033.24</v>
      </c>
      <c r="AF15" s="120">
        <f>Q15*$AF$3</f>
        <v>4125.24</v>
      </c>
    </row>
    <row r="16" spans="1:32" s="226" customFormat="1" ht="18" customHeight="1" thickBot="1">
      <c r="A16" s="178"/>
      <c r="B16" s="1118"/>
      <c r="C16" s="238">
        <f>20%*115%*12</f>
        <v>2.76</v>
      </c>
      <c r="D16" s="40">
        <f>10.5%*12</f>
        <v>1.26</v>
      </c>
      <c r="E16" s="534">
        <f>2.5%*12</f>
        <v>0.30000000000000004</v>
      </c>
      <c r="F16" s="2750"/>
      <c r="G16" s="2739"/>
      <c r="H16" s="2739"/>
      <c r="I16" s="2753"/>
      <c r="J16" s="2750"/>
      <c r="K16" s="2739"/>
      <c r="L16" s="2735"/>
      <c r="M16" s="1114"/>
      <c r="N16" s="1116"/>
      <c r="O16" s="259">
        <f>O15/F15</f>
        <v>0.30360000000000004</v>
      </c>
      <c r="P16" s="239">
        <f>P15/F15</f>
        <v>4.3331999999999997</v>
      </c>
      <c r="Q16" s="240">
        <f>Q15/F15</f>
        <v>5.8932000000000002</v>
      </c>
      <c r="R16" s="259">
        <f>R15/F15</f>
        <v>0.28234799999999999</v>
      </c>
      <c r="S16" s="239">
        <f>S15/F15</f>
        <v>4.0298759999999998</v>
      </c>
      <c r="T16" s="240">
        <f>T15/F15</f>
        <v>5.4806760000000008</v>
      </c>
      <c r="U16" s="259">
        <f>U15/F15</f>
        <v>0.26109599999999999</v>
      </c>
      <c r="V16" s="239">
        <f>V15/F15</f>
        <v>3.7265519999999999</v>
      </c>
      <c r="W16" s="240">
        <f>W15/F15</f>
        <v>5.0681520000000004</v>
      </c>
      <c r="X16" s="259">
        <f>X15/F15</f>
        <v>0.25198799999999999</v>
      </c>
      <c r="Y16" s="239">
        <f>Y15/F15</f>
        <v>3.5965559999999996</v>
      </c>
      <c r="Z16" s="240">
        <f>Z15/F15</f>
        <v>4.891356</v>
      </c>
      <c r="AA16" s="259">
        <f>AA15/F15</f>
        <v>0.22770000000000001</v>
      </c>
      <c r="AB16" s="239">
        <f>AB15/F15</f>
        <v>3.2498999999999998</v>
      </c>
      <c r="AC16" s="240">
        <f>AC15/F15</f>
        <v>4.4198999999999993</v>
      </c>
      <c r="AD16" s="259">
        <f>AD15/F15</f>
        <v>0.21252000000000001</v>
      </c>
      <c r="AE16" s="239">
        <f>AE15/F15</f>
        <v>3.0332399999999997</v>
      </c>
      <c r="AF16" s="240">
        <f>AF15/F15</f>
        <v>4.1252399999999998</v>
      </c>
    </row>
    <row r="17" spans="1:32" s="226" customFormat="1" ht="18.75" customHeight="1">
      <c r="A17" s="39"/>
      <c r="B17" s="1119"/>
      <c r="C17" s="2789" t="s">
        <v>1689</v>
      </c>
      <c r="D17" s="2790" t="s">
        <v>1690</v>
      </c>
      <c r="E17" s="2791" t="s">
        <v>1691</v>
      </c>
      <c r="F17" s="2778">
        <v>1000</v>
      </c>
      <c r="G17" s="2738">
        <f>F17*C18</f>
        <v>5361.3</v>
      </c>
      <c r="H17" s="2738">
        <f>G17*25%</f>
        <v>1340.325</v>
      </c>
      <c r="I17" s="2763">
        <f>G17*32%</f>
        <v>1715.616</v>
      </c>
      <c r="J17" s="2754">
        <f>SUM(G17:I18)</f>
        <v>8417.241</v>
      </c>
      <c r="K17" s="2738">
        <f>F17*D18</f>
        <v>2340</v>
      </c>
      <c r="L17" s="2734">
        <f>F17*E18</f>
        <v>300.00000000000006</v>
      </c>
      <c r="M17" s="1113"/>
      <c r="N17" s="462"/>
      <c r="O17" s="118">
        <f>G17/12+I17/12</f>
        <v>589.74300000000005</v>
      </c>
      <c r="P17" s="261">
        <f>SUM(G17:I18)</f>
        <v>8417.241</v>
      </c>
      <c r="Q17" s="262">
        <f>SUM(J17:L18)</f>
        <v>11057.241</v>
      </c>
      <c r="R17" s="465">
        <f>O17*$T$3</f>
        <v>548.46099000000004</v>
      </c>
      <c r="S17" s="671">
        <f>P17*$T$3</f>
        <v>7828.03413</v>
      </c>
      <c r="T17" s="464">
        <f>Q17*$T$3</f>
        <v>10283.234130000001</v>
      </c>
      <c r="U17" s="465">
        <f>O17*$W$3</f>
        <v>507.17898000000002</v>
      </c>
      <c r="V17" s="671">
        <f>P17*$W$3</f>
        <v>7238.82726</v>
      </c>
      <c r="W17" s="466">
        <f>Q17*$W$3</f>
        <v>9509.2272599999997</v>
      </c>
      <c r="X17" s="465">
        <f>O17*$Z$3</f>
        <v>489.48669000000001</v>
      </c>
      <c r="Y17" s="671">
        <f>P17*$Z$3</f>
        <v>6986.3100299999996</v>
      </c>
      <c r="Z17" s="466">
        <f>Q17*$Z$3</f>
        <v>9177.5100299999995</v>
      </c>
      <c r="AA17" s="465">
        <f>O17*$AC$3</f>
        <v>442.30725000000007</v>
      </c>
      <c r="AB17" s="671">
        <f>P17*$AC$3</f>
        <v>6312.9307499999995</v>
      </c>
      <c r="AC17" s="466">
        <f>Q17*$AC$3</f>
        <v>8292.9307499999995</v>
      </c>
      <c r="AD17" s="465">
        <f>O17*$AF$3</f>
        <v>412.82010000000002</v>
      </c>
      <c r="AE17" s="671">
        <f>P17*$AF$3</f>
        <v>5892.0686999999998</v>
      </c>
      <c r="AF17" s="466">
        <f>Q17*$AF$3</f>
        <v>7740.0686999999998</v>
      </c>
    </row>
    <row r="18" spans="1:32" s="226" customFormat="1" ht="18.75" customHeight="1" thickBot="1">
      <c r="A18" s="39"/>
      <c r="B18" s="1117" t="s">
        <v>1692</v>
      </c>
      <c r="C18" s="15">
        <f>37%*115%*105%*12</f>
        <v>5.3613</v>
      </c>
      <c r="D18" s="41">
        <f>19.5%*12</f>
        <v>2.34</v>
      </c>
      <c r="E18" s="200">
        <f>2.5%*12</f>
        <v>0.30000000000000004</v>
      </c>
      <c r="F18" s="2788"/>
      <c r="G18" s="2775"/>
      <c r="H18" s="2775"/>
      <c r="I18" s="2786"/>
      <c r="J18" s="2785"/>
      <c r="K18" s="2775"/>
      <c r="L18" s="2792"/>
      <c r="M18" s="1121"/>
      <c r="N18" s="467"/>
      <c r="O18" s="259">
        <f>O17/F17</f>
        <v>0.58974300000000002</v>
      </c>
      <c r="P18" s="239">
        <f>P17/F17</f>
        <v>8.4172410000000006</v>
      </c>
      <c r="Q18" s="240">
        <f>Q17/F17</f>
        <v>11.057240999999999</v>
      </c>
      <c r="R18" s="259">
        <f>R17/F17</f>
        <v>0.54846099000000004</v>
      </c>
      <c r="S18" s="239">
        <f>S17/F17</f>
        <v>7.8280341299999998</v>
      </c>
      <c r="T18" s="240">
        <f>T17/F17</f>
        <v>10.28323413</v>
      </c>
      <c r="U18" s="259">
        <f>U17/F17</f>
        <v>0.50717898000000006</v>
      </c>
      <c r="V18" s="239">
        <f>V17/F17</f>
        <v>7.2388272599999999</v>
      </c>
      <c r="W18" s="240">
        <f>W17/F17</f>
        <v>9.5092272599999994</v>
      </c>
      <c r="X18" s="259">
        <f>X17/F17</f>
        <v>0.48948669</v>
      </c>
      <c r="Y18" s="239">
        <f>Y17/F17</f>
        <v>6.9863100299999994</v>
      </c>
      <c r="Z18" s="240">
        <f>Z17/F17</f>
        <v>9.1775100299999988</v>
      </c>
      <c r="AA18" s="259">
        <f>AA17/F17</f>
        <v>0.44230725000000004</v>
      </c>
      <c r="AB18" s="239">
        <f>AB17/F17</f>
        <v>6.3129307499999996</v>
      </c>
      <c r="AC18" s="240">
        <f>AC17/F17</f>
        <v>8.29293075</v>
      </c>
      <c r="AD18" s="259">
        <f>AD17/F17</f>
        <v>0.41282010000000002</v>
      </c>
      <c r="AE18" s="239">
        <f>AE17/F17</f>
        <v>5.8920686999999994</v>
      </c>
      <c r="AF18" s="240">
        <f>AF17/F17</f>
        <v>7.7400687000000001</v>
      </c>
    </row>
    <row r="19" spans="1:32" s="226" customFormat="1" ht="18" customHeight="1">
      <c r="A19" s="39"/>
      <c r="B19" s="1117"/>
      <c r="C19" s="2770" t="s">
        <v>1693</v>
      </c>
      <c r="D19" s="1969" t="s">
        <v>1690</v>
      </c>
      <c r="E19" s="2766" t="s">
        <v>1691</v>
      </c>
      <c r="F19" s="2749">
        <v>1000</v>
      </c>
      <c r="G19" s="2751">
        <f>F19*C20</f>
        <v>4346.9999999999991</v>
      </c>
      <c r="H19" s="2751">
        <f>G19*25%</f>
        <v>1086.7499999999998</v>
      </c>
      <c r="I19" s="2752">
        <f>G19*32%</f>
        <v>1391.0399999999997</v>
      </c>
      <c r="J19" s="2749">
        <f>SUM(G19:I20)</f>
        <v>6824.7899999999991</v>
      </c>
      <c r="K19" s="2751">
        <f>F19*D20</f>
        <v>1896</v>
      </c>
      <c r="L19" s="2751">
        <f>F19*E20</f>
        <v>300.00000000000006</v>
      </c>
      <c r="M19" s="1120"/>
      <c r="N19" s="468"/>
      <c r="O19" s="118">
        <f>G19/12+I19/12</f>
        <v>478.1699999999999</v>
      </c>
      <c r="P19" s="261">
        <f>SUM(G19:I20)</f>
        <v>6824.7899999999991</v>
      </c>
      <c r="Q19" s="262">
        <f>SUM(J19:L20)</f>
        <v>9020.7899999999991</v>
      </c>
      <c r="R19" s="470">
        <f>O19*$T$3</f>
        <v>444.69809999999995</v>
      </c>
      <c r="S19" s="1095">
        <f>P19*$T$3</f>
        <v>6347.0546999999997</v>
      </c>
      <c r="T19" s="1096">
        <f>Q19*$T$3</f>
        <v>8389.3346999999994</v>
      </c>
      <c r="U19" s="470">
        <f>O19*$W$3</f>
        <v>411.22619999999989</v>
      </c>
      <c r="V19" s="1095">
        <f>P19*$W$3</f>
        <v>5869.3193999999994</v>
      </c>
      <c r="W19" s="1096">
        <f>Q19*$W$3</f>
        <v>7757.8793999999989</v>
      </c>
      <c r="X19" s="470">
        <f>O19*$Z$3</f>
        <v>396.88109999999989</v>
      </c>
      <c r="Y19" s="1095">
        <f>P19*$Z$3</f>
        <v>5664.5756999999985</v>
      </c>
      <c r="Z19" s="1096">
        <f>Q19*$Z$3</f>
        <v>7487.2556999999988</v>
      </c>
      <c r="AA19" s="470">
        <f>O19*$AC$3</f>
        <v>358.62749999999994</v>
      </c>
      <c r="AB19" s="1095">
        <f>P19*$AC$3</f>
        <v>5118.5924999999988</v>
      </c>
      <c r="AC19" s="1096">
        <f>Q19*$AC$3</f>
        <v>6765.5924999999988</v>
      </c>
      <c r="AD19" s="470">
        <f>O19*$AF$3</f>
        <v>334.71899999999994</v>
      </c>
      <c r="AE19" s="1095">
        <f>P19*$AF$3</f>
        <v>4777.3529999999992</v>
      </c>
      <c r="AF19" s="1096">
        <f>Q19*$AF$3</f>
        <v>6314.552999999999</v>
      </c>
    </row>
    <row r="20" spans="1:32" s="226" customFormat="1" ht="18" customHeight="1" thickBot="1">
      <c r="A20" s="39"/>
      <c r="B20" s="1117"/>
      <c r="C20" s="764">
        <f>30%*115%*105%*12</f>
        <v>4.3469999999999995</v>
      </c>
      <c r="D20" s="41">
        <f>15.8%*12</f>
        <v>1.8959999999999999</v>
      </c>
      <c r="E20" s="200">
        <f>2.5%*12</f>
        <v>0.30000000000000004</v>
      </c>
      <c r="F20" s="2785"/>
      <c r="G20" s="2775"/>
      <c r="H20" s="2775"/>
      <c r="I20" s="2786"/>
      <c r="J20" s="2785"/>
      <c r="K20" s="2775"/>
      <c r="L20" s="2775"/>
      <c r="M20" s="1121"/>
      <c r="N20" s="467"/>
      <c r="O20" s="259">
        <f>O19/F19</f>
        <v>0.47816999999999993</v>
      </c>
      <c r="P20" s="239">
        <f>P19/F19</f>
        <v>6.8247899999999992</v>
      </c>
      <c r="Q20" s="240">
        <f>Q19/F19</f>
        <v>9.0207899999999999</v>
      </c>
      <c r="R20" s="259">
        <f>R19/F19</f>
        <v>0.44469809999999993</v>
      </c>
      <c r="S20" s="239">
        <f>S19/F19</f>
        <v>6.3470546999999993</v>
      </c>
      <c r="T20" s="240">
        <f>T19/F19</f>
        <v>8.3893346999999991</v>
      </c>
      <c r="U20" s="259">
        <f>U19/F19</f>
        <v>0.41122619999999988</v>
      </c>
      <c r="V20" s="239">
        <f>V19/F19</f>
        <v>5.8693193999999993</v>
      </c>
      <c r="W20" s="240">
        <f>W19/F19</f>
        <v>7.7578793999999993</v>
      </c>
      <c r="X20" s="259">
        <f>X19/F19</f>
        <v>0.39688109999999988</v>
      </c>
      <c r="Y20" s="239">
        <f>Y19/F19</f>
        <v>5.6645756999999985</v>
      </c>
      <c r="Z20" s="240">
        <f>Z19/F19</f>
        <v>7.4872556999999986</v>
      </c>
      <c r="AA20" s="259">
        <f>AA19/F19</f>
        <v>0.35862749999999993</v>
      </c>
      <c r="AB20" s="239">
        <f>AB19/F19</f>
        <v>5.1185924999999992</v>
      </c>
      <c r="AC20" s="240">
        <f>AC19/F19</f>
        <v>6.7655924999999986</v>
      </c>
      <c r="AD20" s="259">
        <f>AD19/F19</f>
        <v>0.33471899999999993</v>
      </c>
      <c r="AE20" s="239">
        <f>AE19/F19</f>
        <v>4.7773529999999989</v>
      </c>
      <c r="AF20" s="240">
        <f>AF19/F19</f>
        <v>6.3145529999999992</v>
      </c>
    </row>
    <row r="21" spans="1:32" s="226" customFormat="1" ht="18" customHeight="1">
      <c r="A21" s="39"/>
      <c r="B21" s="2782"/>
      <c r="C21" s="2784" t="s">
        <v>1694</v>
      </c>
      <c r="D21" s="1971" t="s">
        <v>1690</v>
      </c>
      <c r="E21" s="1975" t="s">
        <v>1691</v>
      </c>
      <c r="F21" s="2749">
        <v>1000</v>
      </c>
      <c r="G21" s="2751">
        <f>F21*C22</f>
        <v>7245</v>
      </c>
      <c r="H21" s="2751">
        <f>G21*25%</f>
        <v>1811.25</v>
      </c>
      <c r="I21" s="2752">
        <f>G21*32%</f>
        <v>2318.4</v>
      </c>
      <c r="J21" s="2749">
        <f>SUM(G21:I22)</f>
        <v>11374.65</v>
      </c>
      <c r="K21" s="2751">
        <f>F21*D22</f>
        <v>1200.0000000000002</v>
      </c>
      <c r="L21" s="2751">
        <f>F21*E22</f>
        <v>300.00000000000006</v>
      </c>
      <c r="M21" s="1120"/>
      <c r="N21" s="468"/>
      <c r="O21" s="118">
        <f>G21/12+I21/12</f>
        <v>796.95</v>
      </c>
      <c r="P21" s="261">
        <f>SUM(G21:I22)</f>
        <v>11374.65</v>
      </c>
      <c r="Q21" s="262">
        <f>SUM(J21:L22)</f>
        <v>12874.65</v>
      </c>
      <c r="R21" s="470">
        <f>O21*$T$3</f>
        <v>741.16350000000011</v>
      </c>
      <c r="S21" s="1095">
        <f>P21*$T$3</f>
        <v>10578.424500000001</v>
      </c>
      <c r="T21" s="1096">
        <f>Q21*$T$3</f>
        <v>11973.424500000001</v>
      </c>
      <c r="U21" s="470">
        <f>O21*$W$3</f>
        <v>685.37700000000007</v>
      </c>
      <c r="V21" s="1095">
        <f>P21*$W$3</f>
        <v>9782.1989999999987</v>
      </c>
      <c r="W21" s="1096">
        <f>Q21*$W$3</f>
        <v>11072.198999999999</v>
      </c>
      <c r="X21" s="470">
        <f>O21*$Z$3</f>
        <v>661.46849999999995</v>
      </c>
      <c r="Y21" s="1095">
        <f>P21*$Z$3</f>
        <v>9440.959499999999</v>
      </c>
      <c r="Z21" s="1096">
        <f>Q21*$Z$3</f>
        <v>10685.959499999999</v>
      </c>
      <c r="AA21" s="470">
        <f>O21*$AC$3</f>
        <v>597.71250000000009</v>
      </c>
      <c r="AB21" s="1095">
        <f>P21*$AC$3</f>
        <v>8530.9874999999993</v>
      </c>
      <c r="AC21" s="1096">
        <f>Q21*$AC$3</f>
        <v>9655.9874999999993</v>
      </c>
      <c r="AD21" s="470">
        <f>O21*$AF$3</f>
        <v>557.86500000000001</v>
      </c>
      <c r="AE21" s="1095">
        <f>P21*$AF$3</f>
        <v>7962.2549999999992</v>
      </c>
      <c r="AF21" s="1096">
        <f>Q21*$AF$3</f>
        <v>9012.2549999999992</v>
      </c>
    </row>
    <row r="22" spans="1:32" s="226" customFormat="1" ht="18" customHeight="1" thickBot="1">
      <c r="A22" s="39"/>
      <c r="B22" s="2782"/>
      <c r="C22" s="764">
        <f>60.375%*12</f>
        <v>7.2450000000000001</v>
      </c>
      <c r="D22" s="41">
        <f>10%*12</f>
        <v>1.2000000000000002</v>
      </c>
      <c r="E22" s="200">
        <f>2.5%*12</f>
        <v>0.30000000000000004</v>
      </c>
      <c r="F22" s="2785"/>
      <c r="G22" s="2775"/>
      <c r="H22" s="2775"/>
      <c r="I22" s="2786"/>
      <c r="J22" s="2785"/>
      <c r="K22" s="2775"/>
      <c r="L22" s="2775"/>
      <c r="M22" s="1121"/>
      <c r="N22" s="467"/>
      <c r="O22" s="259">
        <f>O21/F21</f>
        <v>0.79695000000000005</v>
      </c>
      <c r="P22" s="239">
        <f>P21/F21</f>
        <v>11.374649999999999</v>
      </c>
      <c r="Q22" s="240">
        <f>Q21/F21</f>
        <v>12.874649999999999</v>
      </c>
      <c r="R22" s="259">
        <f>R21/F21</f>
        <v>0.74116350000000009</v>
      </c>
      <c r="S22" s="239">
        <f>S21/F21</f>
        <v>10.578424500000001</v>
      </c>
      <c r="T22" s="240">
        <f>T21/F21</f>
        <v>11.9734245</v>
      </c>
      <c r="U22" s="259">
        <f>U21/F21</f>
        <v>0.68537700000000001</v>
      </c>
      <c r="V22" s="239">
        <f>V21/F21</f>
        <v>9.7821989999999985</v>
      </c>
      <c r="W22" s="240">
        <f>W21/F21</f>
        <v>11.072198999999999</v>
      </c>
      <c r="X22" s="259">
        <f>X21/F21</f>
        <v>0.6614684999999999</v>
      </c>
      <c r="Y22" s="239">
        <f>Y21/F21</f>
        <v>9.4409594999999982</v>
      </c>
      <c r="Z22" s="240">
        <f>Z21/F21</f>
        <v>10.685959499999999</v>
      </c>
      <c r="AA22" s="259">
        <f>AA21/F21</f>
        <v>0.59771250000000009</v>
      </c>
      <c r="AB22" s="239">
        <f>AB21/F21</f>
        <v>8.5309874999999984</v>
      </c>
      <c r="AC22" s="240">
        <f>AC21/F21</f>
        <v>9.6559874999999984</v>
      </c>
      <c r="AD22" s="259">
        <f>AD21/F21</f>
        <v>0.55786500000000006</v>
      </c>
      <c r="AE22" s="239">
        <f>AE21/F21</f>
        <v>7.962254999999999</v>
      </c>
      <c r="AF22" s="240">
        <f>AF21/F21</f>
        <v>9.0122549999999997</v>
      </c>
    </row>
    <row r="23" spans="1:32" s="226" customFormat="1" ht="18" customHeight="1">
      <c r="A23" s="39"/>
      <c r="B23" s="2783"/>
      <c r="C23" s="2776" t="s">
        <v>1695</v>
      </c>
      <c r="D23" s="1969" t="s">
        <v>1690</v>
      </c>
      <c r="E23" s="2766" t="s">
        <v>1691</v>
      </c>
      <c r="F23" s="2787">
        <v>1000</v>
      </c>
      <c r="G23" s="2777">
        <f>F23*C24</f>
        <v>5382</v>
      </c>
      <c r="H23" s="2751">
        <f>G23*25%</f>
        <v>1345.5</v>
      </c>
      <c r="I23" s="2752">
        <f>G23*32%</f>
        <v>1722.24</v>
      </c>
      <c r="J23" s="2749">
        <f>SUM(G23:I24)</f>
        <v>8449.74</v>
      </c>
      <c r="K23" s="2751">
        <f>F23*D24</f>
        <v>1799.9999999999998</v>
      </c>
      <c r="L23" s="2751">
        <f>F23*E24</f>
        <v>3599.9999999999995</v>
      </c>
      <c r="M23" s="1120"/>
      <c r="N23" s="468"/>
      <c r="O23" s="118">
        <f>G23/12+I23/12</f>
        <v>592.02</v>
      </c>
      <c r="P23" s="261">
        <f>SUM(G23:I24)</f>
        <v>8449.74</v>
      </c>
      <c r="Q23" s="262">
        <f>SUM(J23:L24)</f>
        <v>13849.74</v>
      </c>
      <c r="R23" s="470">
        <f>O23*$T$3</f>
        <v>550.57860000000005</v>
      </c>
      <c r="S23" s="1095">
        <f>P23*$T$3</f>
        <v>7858.2582000000002</v>
      </c>
      <c r="T23" s="1096">
        <f>Q23*$T$3</f>
        <v>12880.2582</v>
      </c>
      <c r="U23" s="470">
        <f>O23*$W$3</f>
        <v>509.13719999999995</v>
      </c>
      <c r="V23" s="1095">
        <f>P23*$W$3</f>
        <v>7266.7763999999997</v>
      </c>
      <c r="W23" s="1096">
        <f>Q23*$W$3</f>
        <v>11910.776399999999</v>
      </c>
      <c r="X23" s="470">
        <f>O23*$Z$3</f>
        <v>491.37659999999994</v>
      </c>
      <c r="Y23" s="1095">
        <f>P23*$Z$3</f>
        <v>7013.2841999999991</v>
      </c>
      <c r="Z23" s="1096">
        <f>Q23*$Z$3</f>
        <v>11495.2842</v>
      </c>
      <c r="AA23" s="470">
        <f>O23*$AC$3</f>
        <v>444.01499999999999</v>
      </c>
      <c r="AB23" s="1095">
        <f>P23*$AC$3</f>
        <v>6337.3050000000003</v>
      </c>
      <c r="AC23" s="1096">
        <f>Q23*$AC$3</f>
        <v>10387.305</v>
      </c>
      <c r="AD23" s="470">
        <f>O23*$AF$3</f>
        <v>414.41399999999999</v>
      </c>
      <c r="AE23" s="1095">
        <f>P23*$AF$3</f>
        <v>5914.8179999999993</v>
      </c>
      <c r="AF23" s="1096">
        <f>Q23*$AF$3</f>
        <v>9694.8179999999993</v>
      </c>
    </row>
    <row r="24" spans="1:32" s="226" customFormat="1" ht="18" customHeight="1" thickBot="1">
      <c r="A24" s="39"/>
      <c r="B24" s="2783"/>
      <c r="C24" s="764">
        <f>30%*115%*130%*12</f>
        <v>5.3819999999999997</v>
      </c>
      <c r="D24" s="14">
        <f>15%*12</f>
        <v>1.7999999999999998</v>
      </c>
      <c r="E24" s="258">
        <f>30%*12</f>
        <v>3.5999999999999996</v>
      </c>
      <c r="F24" s="2785"/>
      <c r="G24" s="2788"/>
      <c r="H24" s="2775"/>
      <c r="I24" s="2786"/>
      <c r="J24" s="2785"/>
      <c r="K24" s="2775"/>
      <c r="L24" s="2775"/>
      <c r="M24" s="1121"/>
      <c r="N24" s="467"/>
      <c r="O24" s="259">
        <f>O23/F23</f>
        <v>0.59201999999999999</v>
      </c>
      <c r="P24" s="239">
        <f>P23/F23</f>
        <v>8.4497400000000003</v>
      </c>
      <c r="Q24" s="240">
        <f>Q23/F23</f>
        <v>13.849740000000001</v>
      </c>
      <c r="R24" s="259">
        <f>R23/F23</f>
        <v>0.55057860000000003</v>
      </c>
      <c r="S24" s="239">
        <f>S23/F23</f>
        <v>7.8582581999999999</v>
      </c>
      <c r="T24" s="240">
        <f>T23/F23</f>
        <v>12.8802582</v>
      </c>
      <c r="U24" s="259">
        <f>U23/F23</f>
        <v>0.50913719999999996</v>
      </c>
      <c r="V24" s="239">
        <f>V23/F23</f>
        <v>7.2667763999999995</v>
      </c>
      <c r="W24" s="240">
        <f>W23/F23</f>
        <v>11.9107764</v>
      </c>
      <c r="X24" s="259">
        <f>X23/F23</f>
        <v>0.49137659999999994</v>
      </c>
      <c r="Y24" s="239">
        <f>Y23/F23</f>
        <v>7.0132841999999993</v>
      </c>
      <c r="Z24" s="240">
        <f>Z23/F23</f>
        <v>11.4952842</v>
      </c>
      <c r="AA24" s="259">
        <f>AA23/F23</f>
        <v>0.44401499999999999</v>
      </c>
      <c r="AB24" s="239">
        <f>AB23/F23</f>
        <v>6.3373050000000006</v>
      </c>
      <c r="AC24" s="240">
        <f>AC23/F23</f>
        <v>10.387305</v>
      </c>
      <c r="AD24" s="259">
        <f>AD23/F23</f>
        <v>0.414414</v>
      </c>
      <c r="AE24" s="239">
        <f>AE23/F23</f>
        <v>5.9148179999999995</v>
      </c>
      <c r="AF24" s="240">
        <f>AF23/F23</f>
        <v>9.6948179999999997</v>
      </c>
    </row>
    <row r="25" spans="1:32" s="226" customFormat="1" ht="18" customHeight="1">
      <c r="A25" s="39"/>
      <c r="B25" s="1123"/>
      <c r="C25" s="2779" t="s">
        <v>1696</v>
      </c>
      <c r="D25" s="2780" t="s">
        <v>1690</v>
      </c>
      <c r="E25" s="2781" t="s">
        <v>1691</v>
      </c>
      <c r="F25" s="2777">
        <v>1000</v>
      </c>
      <c r="G25" s="2751">
        <f>F25*C26</f>
        <v>4140</v>
      </c>
      <c r="H25" s="2751">
        <f>G25*25%</f>
        <v>1035</v>
      </c>
      <c r="I25" s="2752">
        <f>G25*32%</f>
        <v>1324.8</v>
      </c>
      <c r="J25" s="2749">
        <f>SUM(G25:I26)</f>
        <v>6499.8</v>
      </c>
      <c r="K25" s="2751">
        <f>F25*D26</f>
        <v>1200.0000000000002</v>
      </c>
      <c r="L25" s="2751">
        <f>F25*E26</f>
        <v>3599.9999999999995</v>
      </c>
      <c r="M25" s="1120"/>
      <c r="N25" s="468"/>
      <c r="O25" s="118">
        <f>G25/12+I25/12</f>
        <v>455.4</v>
      </c>
      <c r="P25" s="261">
        <f>SUM(G25:I26)</f>
        <v>6499.8</v>
      </c>
      <c r="Q25" s="262">
        <f>SUM(J25:L26)</f>
        <v>11299.8</v>
      </c>
      <c r="R25" s="470">
        <f>O25*$T$3</f>
        <v>423.52199999999999</v>
      </c>
      <c r="S25" s="1095">
        <f>P25*$T$3</f>
        <v>6044.8140000000003</v>
      </c>
      <c r="T25" s="1096">
        <f>Q25*$T$3</f>
        <v>10508.814</v>
      </c>
      <c r="U25" s="470">
        <f>O25*$W$3</f>
        <v>391.64399999999995</v>
      </c>
      <c r="V25" s="1095">
        <f>P25*$W$3</f>
        <v>5589.8280000000004</v>
      </c>
      <c r="W25" s="1096">
        <f>Q25*$W$3</f>
        <v>9717.8279999999995</v>
      </c>
      <c r="X25" s="470">
        <f>O25*$Z$3</f>
        <v>377.98199999999997</v>
      </c>
      <c r="Y25" s="1095">
        <f>P25*$Z$3</f>
        <v>5394.8339999999998</v>
      </c>
      <c r="Z25" s="1096">
        <f>Q25*$Z$3</f>
        <v>9378.8339999999989</v>
      </c>
      <c r="AA25" s="470">
        <f>O25*$AC$3</f>
        <v>341.54999999999995</v>
      </c>
      <c r="AB25" s="1095">
        <f>P25*$AC$3</f>
        <v>4874.8500000000004</v>
      </c>
      <c r="AC25" s="1096">
        <f>Q25*$AC$3</f>
        <v>8474.8499999999985</v>
      </c>
      <c r="AD25" s="470">
        <f>O25*$AF$3</f>
        <v>318.77999999999997</v>
      </c>
      <c r="AE25" s="1095">
        <f>P25*$AF$3</f>
        <v>4549.8599999999997</v>
      </c>
      <c r="AF25" s="1096">
        <f>Q25*$AF$3</f>
        <v>7909.8599999999988</v>
      </c>
    </row>
    <row r="26" spans="1:32" s="226" customFormat="1" ht="18" customHeight="1" thickBot="1">
      <c r="A26" s="39"/>
      <c r="B26" s="1123"/>
      <c r="C26" s="764">
        <f>30%*115%*100%*12</f>
        <v>4.1399999999999997</v>
      </c>
      <c r="D26" s="41">
        <f>10%*12</f>
        <v>1.2000000000000002</v>
      </c>
      <c r="E26" s="200">
        <f>30%*12</f>
        <v>3.5999999999999996</v>
      </c>
      <c r="F26" s="2778"/>
      <c r="G26" s="2738"/>
      <c r="H26" s="2738"/>
      <c r="I26" s="2763"/>
      <c r="J26" s="2754"/>
      <c r="K26" s="2738"/>
      <c r="L26" s="2738"/>
      <c r="M26" s="1122"/>
      <c r="N26" s="532"/>
      <c r="O26" s="259">
        <f>O25/F25</f>
        <v>0.45539999999999997</v>
      </c>
      <c r="P26" s="239">
        <f>P25/F25</f>
        <v>6.4998000000000005</v>
      </c>
      <c r="Q26" s="240">
        <f>Q25/F25</f>
        <v>11.299799999999999</v>
      </c>
      <c r="R26" s="259">
        <f>R25/F25</f>
        <v>0.42352200000000001</v>
      </c>
      <c r="S26" s="239">
        <f>S25/F25</f>
        <v>6.0448140000000006</v>
      </c>
      <c r="T26" s="240">
        <f>T25/F25</f>
        <v>10.508814000000001</v>
      </c>
      <c r="U26" s="259">
        <f>U25/F25</f>
        <v>0.39164399999999994</v>
      </c>
      <c r="V26" s="239">
        <f>V25/F25</f>
        <v>5.5898280000000007</v>
      </c>
      <c r="W26" s="240">
        <f>W25/F25</f>
        <v>9.717827999999999</v>
      </c>
      <c r="X26" s="259">
        <f>X25/F25</f>
        <v>0.37798199999999998</v>
      </c>
      <c r="Y26" s="239">
        <f>Y25/F25</f>
        <v>5.3948339999999995</v>
      </c>
      <c r="Z26" s="240">
        <f>Z25/F25</f>
        <v>9.3788339999999994</v>
      </c>
      <c r="AA26" s="259">
        <f>AA25/F25</f>
        <v>0.34154999999999996</v>
      </c>
      <c r="AB26" s="239">
        <f>AB25/F25</f>
        <v>4.8748500000000003</v>
      </c>
      <c r="AC26" s="240">
        <f>AC25/F25</f>
        <v>8.4748499999999982</v>
      </c>
      <c r="AD26" s="259">
        <f>AD25/F25</f>
        <v>0.31877999999999995</v>
      </c>
      <c r="AE26" s="239">
        <f>AE25/F25</f>
        <v>4.5498599999999998</v>
      </c>
      <c r="AF26" s="240">
        <f>AF25/F25</f>
        <v>7.9098599999999983</v>
      </c>
    </row>
    <row r="27" spans="1:32" s="226" customFormat="1" ht="18" customHeight="1">
      <c r="A27" s="39"/>
      <c r="B27" s="1123"/>
      <c r="C27" s="2776" t="s">
        <v>1697</v>
      </c>
      <c r="D27" s="1969" t="s">
        <v>1690</v>
      </c>
      <c r="E27" s="2766" t="s">
        <v>1691</v>
      </c>
      <c r="F27" s="2777">
        <v>1000</v>
      </c>
      <c r="G27" s="2751">
        <f>F27*C28</f>
        <v>2760</v>
      </c>
      <c r="H27" s="2751">
        <f>G27*25%</f>
        <v>690</v>
      </c>
      <c r="I27" s="2752">
        <f>G27*32%</f>
        <v>883.2</v>
      </c>
      <c r="J27" s="2749">
        <f>SUM(G27:I28)</f>
        <v>4333.2</v>
      </c>
      <c r="K27" s="2751">
        <f>F27*D28</f>
        <v>600.00000000000011</v>
      </c>
      <c r="L27" s="2762">
        <f>F27*E28</f>
        <v>1799.9999999999998</v>
      </c>
      <c r="M27" s="1120"/>
      <c r="N27" s="468"/>
      <c r="O27" s="118">
        <f>G27/12+I27/12</f>
        <v>303.60000000000002</v>
      </c>
      <c r="P27" s="261">
        <f>SUM(G27:I28)</f>
        <v>4333.2</v>
      </c>
      <c r="Q27" s="262">
        <f>SUM(J27:L28)</f>
        <v>6733.2</v>
      </c>
      <c r="R27" s="470">
        <f>O27*$T$3</f>
        <v>282.34800000000001</v>
      </c>
      <c r="S27" s="1095">
        <f>P27*$T$3</f>
        <v>4029.8760000000002</v>
      </c>
      <c r="T27" s="1096">
        <f>Q27*$T$3</f>
        <v>6261.8760000000002</v>
      </c>
      <c r="U27" s="470">
        <f>O27*$W$3</f>
        <v>261.096</v>
      </c>
      <c r="V27" s="1095">
        <f>P27*$W$3</f>
        <v>3726.5519999999997</v>
      </c>
      <c r="W27" s="1096">
        <f>Q27*$W$3</f>
        <v>5790.5519999999997</v>
      </c>
      <c r="X27" s="470">
        <f>O27*$Z$3</f>
        <v>251.988</v>
      </c>
      <c r="Y27" s="1095">
        <f>P27*$Z$3</f>
        <v>3596.5559999999996</v>
      </c>
      <c r="Z27" s="1096">
        <f>Q27*$Z$3</f>
        <v>5588.5559999999996</v>
      </c>
      <c r="AA27" s="470">
        <f>O27*$AC$3</f>
        <v>227.70000000000002</v>
      </c>
      <c r="AB27" s="1095">
        <f>P27*$AC$3</f>
        <v>3249.8999999999996</v>
      </c>
      <c r="AC27" s="1096">
        <f>Q27*$AC$3</f>
        <v>5049.8999999999996</v>
      </c>
      <c r="AD27" s="470">
        <f>O27*$AF$3</f>
        <v>212.52</v>
      </c>
      <c r="AE27" s="1095">
        <f>P27*$AF$3</f>
        <v>3033.24</v>
      </c>
      <c r="AF27" s="1096">
        <f>Q27*$AF$3</f>
        <v>4713.24</v>
      </c>
    </row>
    <row r="28" spans="1:32" s="226" customFormat="1" ht="18" customHeight="1" thickBot="1">
      <c r="A28" s="39"/>
      <c r="B28" s="471"/>
      <c r="C28" s="241">
        <f>20%*115%*100%*12</f>
        <v>2.76</v>
      </c>
      <c r="D28" s="14">
        <f>5%*12</f>
        <v>0.60000000000000009</v>
      </c>
      <c r="E28" s="258">
        <f>15%*12</f>
        <v>1.7999999999999998</v>
      </c>
      <c r="F28" s="2778"/>
      <c r="G28" s="2738"/>
      <c r="H28" s="2738"/>
      <c r="I28" s="2753"/>
      <c r="J28" s="2750"/>
      <c r="K28" s="2739"/>
      <c r="L28" s="2735"/>
      <c r="M28" s="1114"/>
      <c r="N28" s="532"/>
      <c r="O28" s="259">
        <f>O27/F27</f>
        <v>0.30360000000000004</v>
      </c>
      <c r="P28" s="239">
        <f>P27/F27</f>
        <v>4.3331999999999997</v>
      </c>
      <c r="Q28" s="240">
        <f>Q27/F27</f>
        <v>6.7332000000000001</v>
      </c>
      <c r="R28" s="259">
        <f>R27/F27</f>
        <v>0.28234799999999999</v>
      </c>
      <c r="S28" s="239">
        <f>S27/F27</f>
        <v>4.0298759999999998</v>
      </c>
      <c r="T28" s="240">
        <f>T27/F27</f>
        <v>6.261876</v>
      </c>
      <c r="U28" s="259">
        <f>U27/F27</f>
        <v>0.26109599999999999</v>
      </c>
      <c r="V28" s="239">
        <f>V27/F27</f>
        <v>3.7265519999999999</v>
      </c>
      <c r="W28" s="240">
        <f>W27/F27</f>
        <v>5.7905519999999999</v>
      </c>
      <c r="X28" s="259">
        <f>X27/F27</f>
        <v>0.25198799999999999</v>
      </c>
      <c r="Y28" s="239">
        <f>Y27/F27</f>
        <v>3.5965559999999996</v>
      </c>
      <c r="Z28" s="240">
        <f>Z27/F27</f>
        <v>5.5885559999999996</v>
      </c>
      <c r="AA28" s="259">
        <f>AA27/F27</f>
        <v>0.22770000000000001</v>
      </c>
      <c r="AB28" s="239">
        <f>AB27/F27</f>
        <v>3.2498999999999998</v>
      </c>
      <c r="AC28" s="240">
        <f>AC27/F27</f>
        <v>5.0499000000000001</v>
      </c>
      <c r="AD28" s="259">
        <f>AD27/F27</f>
        <v>0.21252000000000001</v>
      </c>
      <c r="AE28" s="239">
        <f>AE27/F27</f>
        <v>3.0332399999999997</v>
      </c>
      <c r="AF28" s="240">
        <f>AF27/F27</f>
        <v>4.7132399999999999</v>
      </c>
    </row>
    <row r="29" spans="1:32" s="226" customFormat="1" ht="18" customHeight="1">
      <c r="A29" s="39"/>
      <c r="B29" s="2771" t="s">
        <v>1698</v>
      </c>
      <c r="C29" s="2758" t="s">
        <v>1699</v>
      </c>
      <c r="D29" s="2759" t="s">
        <v>1690</v>
      </c>
      <c r="E29" s="2760" t="s">
        <v>1691</v>
      </c>
      <c r="F29" s="2773">
        <v>1000</v>
      </c>
      <c r="G29" s="2734">
        <f>F29*C30</f>
        <v>2760</v>
      </c>
      <c r="H29" s="2734">
        <f>G29*25%</f>
        <v>690</v>
      </c>
      <c r="I29" s="2747">
        <f>G29*32%</f>
        <v>883.2</v>
      </c>
      <c r="J29" s="2745">
        <f>SUM(G29:I30)</f>
        <v>4333.2</v>
      </c>
      <c r="K29" s="2734">
        <f>F29*D30</f>
        <v>384</v>
      </c>
      <c r="L29" s="2734">
        <f>F29*E30</f>
        <v>384</v>
      </c>
      <c r="M29" s="317"/>
      <c r="N29" s="318"/>
      <c r="O29" s="118">
        <f>G29/12+I29/12</f>
        <v>303.60000000000002</v>
      </c>
      <c r="P29" s="261">
        <f>SUM(G29:I30)</f>
        <v>4333.2</v>
      </c>
      <c r="Q29" s="262">
        <f>SUM(J29:L30)</f>
        <v>5101.2</v>
      </c>
      <c r="R29" s="472">
        <f>O29*$T$3</f>
        <v>282.34800000000001</v>
      </c>
      <c r="S29" s="265">
        <f>P29*$T$3</f>
        <v>4029.8760000000002</v>
      </c>
      <c r="T29" s="266">
        <f>Q29*$T$3</f>
        <v>4744.116</v>
      </c>
      <c r="U29" s="472">
        <f>O29*$W$3</f>
        <v>261.096</v>
      </c>
      <c r="V29" s="265">
        <f>P29*$W$3</f>
        <v>3726.5519999999997</v>
      </c>
      <c r="W29" s="1096">
        <f>Q29*$W$3</f>
        <v>4387.0320000000002</v>
      </c>
      <c r="X29" s="472">
        <f>O29*$Z$3</f>
        <v>251.988</v>
      </c>
      <c r="Y29" s="265">
        <f>P29*$Z$3</f>
        <v>3596.5559999999996</v>
      </c>
      <c r="Z29" s="266">
        <f>Q29*$Z$3</f>
        <v>4233.9960000000001</v>
      </c>
      <c r="AA29" s="264">
        <f>O29*$AC$3</f>
        <v>227.70000000000002</v>
      </c>
      <c r="AB29" s="265">
        <f>P29*$AC$3</f>
        <v>3249.8999999999996</v>
      </c>
      <c r="AC29" s="266">
        <f>Q29*$AC$3</f>
        <v>3825.8999999999996</v>
      </c>
      <c r="AD29" s="472">
        <f>O29*$AF$3</f>
        <v>212.52</v>
      </c>
      <c r="AE29" s="265">
        <f>P29*$AF$3</f>
        <v>3033.24</v>
      </c>
      <c r="AF29" s="266">
        <f>Q29*$AF$3</f>
        <v>3570.8399999999997</v>
      </c>
    </row>
    <row r="30" spans="1:32" s="226" customFormat="1" ht="18" customHeight="1" thickBot="1">
      <c r="A30" s="39"/>
      <c r="B30" s="2772"/>
      <c r="C30" s="41">
        <f>20%*1.15*12</f>
        <v>2.76</v>
      </c>
      <c r="D30" s="41">
        <f>3.2%*12</f>
        <v>0.38400000000000001</v>
      </c>
      <c r="E30" s="200">
        <f>3.2%*12</f>
        <v>0.38400000000000001</v>
      </c>
      <c r="F30" s="2774"/>
      <c r="G30" s="2735"/>
      <c r="H30" s="2735"/>
      <c r="I30" s="2748"/>
      <c r="J30" s="2746"/>
      <c r="K30" s="2735"/>
      <c r="L30" s="2735"/>
      <c r="M30" s="319"/>
      <c r="N30" s="320"/>
      <c r="O30" s="259">
        <f>O29/F29</f>
        <v>0.30360000000000004</v>
      </c>
      <c r="P30" s="239">
        <f>P29/F29</f>
        <v>4.3331999999999997</v>
      </c>
      <c r="Q30" s="240">
        <f>Q29/F29</f>
        <v>5.1011999999999995</v>
      </c>
      <c r="R30" s="259">
        <f>R29/F29</f>
        <v>0.28234799999999999</v>
      </c>
      <c r="S30" s="239">
        <f>S29/F29</f>
        <v>4.0298759999999998</v>
      </c>
      <c r="T30" s="240">
        <f>T29/F29</f>
        <v>4.744116</v>
      </c>
      <c r="U30" s="259">
        <f>U29/F29</f>
        <v>0.26109599999999999</v>
      </c>
      <c r="V30" s="239">
        <f>V29/F29</f>
        <v>3.7265519999999999</v>
      </c>
      <c r="W30" s="240">
        <f>W29/F29</f>
        <v>4.3870320000000005</v>
      </c>
      <c r="X30" s="259">
        <f>X29/F29</f>
        <v>0.25198799999999999</v>
      </c>
      <c r="Y30" s="239">
        <f>Y29/F29</f>
        <v>3.5965559999999996</v>
      </c>
      <c r="Z30" s="240">
        <f>Z29/F29</f>
        <v>4.2339960000000003</v>
      </c>
      <c r="AA30" s="259">
        <f>AA29/F29</f>
        <v>0.22770000000000001</v>
      </c>
      <c r="AB30" s="239">
        <f>AB29/F29</f>
        <v>3.2498999999999998</v>
      </c>
      <c r="AC30" s="240">
        <f>AC29/F29</f>
        <v>3.8258999999999999</v>
      </c>
      <c r="AD30" s="259">
        <f>AD29/F29</f>
        <v>0.21252000000000001</v>
      </c>
      <c r="AE30" s="239">
        <f>AE29/F29</f>
        <v>3.0332399999999997</v>
      </c>
      <c r="AF30" s="240">
        <f>AF29/F29</f>
        <v>3.5708399999999996</v>
      </c>
    </row>
    <row r="31" spans="1:32" s="226" customFormat="1" ht="18" customHeight="1">
      <c r="A31" s="178"/>
      <c r="B31" s="2771" t="s">
        <v>1700</v>
      </c>
      <c r="C31" s="2758" t="s">
        <v>1701</v>
      </c>
      <c r="D31" s="2759"/>
      <c r="E31" s="2760"/>
      <c r="F31" s="2745">
        <v>1000</v>
      </c>
      <c r="G31" s="2734">
        <f>F31*C32</f>
        <v>2208</v>
      </c>
      <c r="H31" s="2734">
        <f>G31*25%</f>
        <v>552</v>
      </c>
      <c r="I31" s="2747">
        <f>G31*32%</f>
        <v>706.56000000000006</v>
      </c>
      <c r="J31" s="2745">
        <f>SUM(G31:I32)</f>
        <v>3466.56</v>
      </c>
      <c r="K31" s="2734">
        <f>F31*D32</f>
        <v>420.00000000000006</v>
      </c>
      <c r="L31" s="2734">
        <f>F31*E32</f>
        <v>420.00000000000006</v>
      </c>
      <c r="M31" s="317"/>
      <c r="N31" s="318"/>
      <c r="O31" s="118">
        <f>G31/12+I31/12</f>
        <v>242.88</v>
      </c>
      <c r="P31" s="261">
        <f>SUM(G31:I32)</f>
        <v>3466.56</v>
      </c>
      <c r="Q31" s="262">
        <f>SUM(J31:L32)</f>
        <v>4306.5600000000004</v>
      </c>
      <c r="R31" s="264">
        <f>O31*$T$3</f>
        <v>225.8784</v>
      </c>
      <c r="S31" s="265">
        <f>P31*$T$3</f>
        <v>3223.9008000000003</v>
      </c>
      <c r="T31" s="266">
        <f>Q31*$T$3</f>
        <v>4005.1008000000006</v>
      </c>
      <c r="U31" s="264">
        <f>O31*$W$3</f>
        <v>208.8768</v>
      </c>
      <c r="V31" s="265">
        <f>P31*$W$3</f>
        <v>2981.2415999999998</v>
      </c>
      <c r="W31" s="266">
        <f>Q31*$W$3</f>
        <v>3703.6416000000004</v>
      </c>
      <c r="X31" s="264">
        <f>O31*$Z$3</f>
        <v>201.59039999999999</v>
      </c>
      <c r="Y31" s="265">
        <f>P31*$Z$3</f>
        <v>2877.2447999999999</v>
      </c>
      <c r="Z31" s="266">
        <f>Q31*$Z$3</f>
        <v>3574.4448000000002</v>
      </c>
      <c r="AA31" s="264">
        <f>O31*$AC$3</f>
        <v>182.16</v>
      </c>
      <c r="AB31" s="265">
        <f>P31*$AC$3</f>
        <v>2599.92</v>
      </c>
      <c r="AC31" s="266">
        <f>Q31*$AC$3</f>
        <v>3229.92</v>
      </c>
      <c r="AD31" s="264">
        <f>O31*$AF$3</f>
        <v>170.01599999999999</v>
      </c>
      <c r="AE31" s="265">
        <f>P31*$AF$3</f>
        <v>2426.5919999999996</v>
      </c>
      <c r="AF31" s="266">
        <f>Q31*$AF$3</f>
        <v>3014.5920000000001</v>
      </c>
    </row>
    <row r="32" spans="1:32" s="226" customFormat="1" ht="18" customHeight="1" thickBot="1">
      <c r="A32" s="39"/>
      <c r="B32" s="2772"/>
      <c r="C32" s="40">
        <f>16%*115%*12</f>
        <v>2.2080000000000002</v>
      </c>
      <c r="D32" s="40">
        <f>3.5%*12</f>
        <v>0.42000000000000004</v>
      </c>
      <c r="E32" s="534">
        <f>3.5%*12</f>
        <v>0.42000000000000004</v>
      </c>
      <c r="F32" s="2746"/>
      <c r="G32" s="2735"/>
      <c r="H32" s="2735"/>
      <c r="I32" s="2748"/>
      <c r="J32" s="2746"/>
      <c r="K32" s="2735"/>
      <c r="L32" s="2735"/>
      <c r="M32" s="319"/>
      <c r="N32" s="320"/>
      <c r="O32" s="259">
        <f>O31/F31</f>
        <v>0.24287999999999998</v>
      </c>
      <c r="P32" s="239">
        <f>P31/F31</f>
        <v>3.4665599999999999</v>
      </c>
      <c r="Q32" s="240">
        <f>Q31/F31</f>
        <v>4.3065600000000002</v>
      </c>
      <c r="R32" s="259">
        <f>R31/F31</f>
        <v>0.22587840000000001</v>
      </c>
      <c r="S32" s="239">
        <f>S31/F31</f>
        <v>3.2239008000000005</v>
      </c>
      <c r="T32" s="240">
        <f>T31/F31</f>
        <v>4.005100800000001</v>
      </c>
      <c r="U32" s="259">
        <f>U31/F31</f>
        <v>0.2088768</v>
      </c>
      <c r="V32" s="239">
        <f>V31/F31</f>
        <v>2.9812415999999997</v>
      </c>
      <c r="W32" s="240">
        <f>W31/F31</f>
        <v>3.7036416000000005</v>
      </c>
      <c r="X32" s="259">
        <f>X31/F31</f>
        <v>0.20159039999999998</v>
      </c>
      <c r="Y32" s="239">
        <f>Y31/F31</f>
        <v>2.8772448000000002</v>
      </c>
      <c r="Z32" s="240">
        <f>Z31/F31</f>
        <v>3.5744448000000002</v>
      </c>
      <c r="AA32" s="259">
        <f>AA31/F31</f>
        <v>0.18215999999999999</v>
      </c>
      <c r="AB32" s="239">
        <f>AB31/F31</f>
        <v>2.59992</v>
      </c>
      <c r="AC32" s="240">
        <f>AC31/F31</f>
        <v>3.2299199999999999</v>
      </c>
      <c r="AD32" s="259">
        <f>AD31/F31</f>
        <v>0.170016</v>
      </c>
      <c r="AE32" s="239">
        <f>AE31/F31</f>
        <v>2.4265919999999999</v>
      </c>
      <c r="AF32" s="240">
        <f>AF31/F31</f>
        <v>3.0145919999999999</v>
      </c>
    </row>
    <row r="33" spans="1:32" s="226" customFormat="1" ht="18" customHeight="1">
      <c r="A33" s="39"/>
      <c r="B33" s="2755" t="s">
        <v>1702</v>
      </c>
      <c r="C33" s="2758" t="s">
        <v>1703</v>
      </c>
      <c r="D33" s="2759"/>
      <c r="E33" s="2760"/>
      <c r="F33" s="2745">
        <v>1000</v>
      </c>
      <c r="G33" s="2734">
        <f>F33*C34</f>
        <v>4140</v>
      </c>
      <c r="H33" s="2734">
        <f>G33*25%</f>
        <v>1035</v>
      </c>
      <c r="I33" s="2747">
        <f>G33*32%</f>
        <v>1324.8</v>
      </c>
      <c r="J33" s="2745">
        <f>SUM(G33:I34)</f>
        <v>6499.8</v>
      </c>
      <c r="K33" s="2734">
        <f>F33*D34</f>
        <v>1896</v>
      </c>
      <c r="L33" s="2734">
        <f>F33*E34</f>
        <v>300.00000000000006</v>
      </c>
      <c r="M33" s="1113"/>
      <c r="N33" s="1115"/>
      <c r="O33" s="264">
        <f>G33/12+I33/12</f>
        <v>455.4</v>
      </c>
      <c r="P33" s="261">
        <f>SUM(G33:I34)</f>
        <v>6499.8</v>
      </c>
      <c r="Q33" s="262">
        <f>SUM(J33:L34)</f>
        <v>8695.7999999999993</v>
      </c>
      <c r="R33" s="264">
        <f>O33*$T$3</f>
        <v>423.52199999999999</v>
      </c>
      <c r="S33" s="265">
        <f>P33*$T$3</f>
        <v>6044.8140000000003</v>
      </c>
      <c r="T33" s="266">
        <f>Q33*$T$3</f>
        <v>8087.0940000000001</v>
      </c>
      <c r="U33" s="264">
        <f>O33*$W$3</f>
        <v>391.64399999999995</v>
      </c>
      <c r="V33" s="265">
        <f>P33*$W$3</f>
        <v>5589.8280000000004</v>
      </c>
      <c r="W33" s="266">
        <f>Q33*$W$3</f>
        <v>7478.387999999999</v>
      </c>
      <c r="X33" s="264">
        <f>O33*$Z$3</f>
        <v>377.98199999999997</v>
      </c>
      <c r="Y33" s="265">
        <f>P33*$Z$3</f>
        <v>5394.8339999999998</v>
      </c>
      <c r="Z33" s="266">
        <f>Q33*$Z$3</f>
        <v>7217.5139999999992</v>
      </c>
      <c r="AA33" s="264">
        <f>O33*$AC$3</f>
        <v>341.54999999999995</v>
      </c>
      <c r="AB33" s="265">
        <f>P33*$AC$3</f>
        <v>4874.8500000000004</v>
      </c>
      <c r="AC33" s="266">
        <f>Q33*$AC$3</f>
        <v>6521.8499999999995</v>
      </c>
      <c r="AD33" s="264">
        <f>O33*$AF$3</f>
        <v>318.77999999999997</v>
      </c>
      <c r="AE33" s="265">
        <f>P33*$AF$3</f>
        <v>4549.8599999999997</v>
      </c>
      <c r="AF33" s="266">
        <f>Q33*$AF$3</f>
        <v>6087.0599999999995</v>
      </c>
    </row>
    <row r="34" spans="1:32" s="226" customFormat="1" ht="18" customHeight="1" thickBot="1">
      <c r="A34" s="39"/>
      <c r="B34" s="2756"/>
      <c r="C34" s="15">
        <f>34.5%*12</f>
        <v>4.1399999999999997</v>
      </c>
      <c r="D34" s="41">
        <f>15.8%*12</f>
        <v>1.8959999999999999</v>
      </c>
      <c r="E34" s="200">
        <f>2.5%*12</f>
        <v>0.30000000000000004</v>
      </c>
      <c r="F34" s="2749"/>
      <c r="G34" s="2751"/>
      <c r="H34" s="2751"/>
      <c r="I34" s="2752"/>
      <c r="J34" s="2746"/>
      <c r="K34" s="2735"/>
      <c r="L34" s="2735"/>
      <c r="M34" s="1114"/>
      <c r="N34" s="1116"/>
      <c r="O34" s="259">
        <f>O33/F33</f>
        <v>0.45539999999999997</v>
      </c>
      <c r="P34" s="239">
        <f>P33/F33</f>
        <v>6.4998000000000005</v>
      </c>
      <c r="Q34" s="240">
        <f>Q33/F33</f>
        <v>8.6957999999999984</v>
      </c>
      <c r="R34" s="259">
        <f>R33/F33</f>
        <v>0.42352200000000001</v>
      </c>
      <c r="S34" s="239">
        <f>S33/F33</f>
        <v>6.0448140000000006</v>
      </c>
      <c r="T34" s="240">
        <f>T33/F33</f>
        <v>8.0870940000000004</v>
      </c>
      <c r="U34" s="259">
        <f>U33/F33</f>
        <v>0.39164399999999994</v>
      </c>
      <c r="V34" s="239">
        <f>V33/F33</f>
        <v>5.5898280000000007</v>
      </c>
      <c r="W34" s="240">
        <f>W33/F33</f>
        <v>7.4783879999999989</v>
      </c>
      <c r="X34" s="259">
        <f>X33/F33</f>
        <v>0.37798199999999998</v>
      </c>
      <c r="Y34" s="239">
        <f>Y33/F33</f>
        <v>5.3948339999999995</v>
      </c>
      <c r="Z34" s="240">
        <f>Z33/F33</f>
        <v>7.2175139999999995</v>
      </c>
      <c r="AA34" s="259">
        <f>AA33/F33</f>
        <v>0.34154999999999996</v>
      </c>
      <c r="AB34" s="239">
        <f>AB33/F33</f>
        <v>4.8748500000000003</v>
      </c>
      <c r="AC34" s="240">
        <f>AC33/F33</f>
        <v>6.5218499999999997</v>
      </c>
      <c r="AD34" s="259">
        <f>AD33/F33</f>
        <v>0.31877999999999995</v>
      </c>
      <c r="AE34" s="239">
        <f>AE33/F33</f>
        <v>4.5498599999999998</v>
      </c>
      <c r="AF34" s="240">
        <f>AF33/F33</f>
        <v>6.0870599999999992</v>
      </c>
    </row>
    <row r="35" spans="1:32" s="226" customFormat="1" ht="18" customHeight="1">
      <c r="A35" s="178"/>
      <c r="B35" s="2756"/>
      <c r="C35" s="1998" t="s">
        <v>1704</v>
      </c>
      <c r="D35" s="1971"/>
      <c r="E35" s="1975"/>
      <c r="F35" s="2749">
        <v>1000</v>
      </c>
      <c r="G35" s="2751">
        <f>F35*C36</f>
        <v>3864</v>
      </c>
      <c r="H35" s="2751">
        <f>G35*25%</f>
        <v>966</v>
      </c>
      <c r="I35" s="2752">
        <f>G35*32%</f>
        <v>1236.48</v>
      </c>
      <c r="J35" s="2764">
        <f>SUM(G35:I36)</f>
        <v>6066.48</v>
      </c>
      <c r="K35" s="2765">
        <f>F35*D36</f>
        <v>1763.9999999999998</v>
      </c>
      <c r="L35" s="2734">
        <f>F35*E36</f>
        <v>300.00000000000006</v>
      </c>
      <c r="M35" s="1113"/>
      <c r="N35" s="1115"/>
      <c r="O35" s="118">
        <f>G35/12+I35/12</f>
        <v>425.04</v>
      </c>
      <c r="P35" s="261">
        <f>SUM(G35:I36)</f>
        <v>6066.48</v>
      </c>
      <c r="Q35" s="262">
        <f>SUM(J35:L36)</f>
        <v>8130.48</v>
      </c>
      <c r="R35" s="264">
        <f>O35*$T$3</f>
        <v>395.28720000000004</v>
      </c>
      <c r="S35" s="265">
        <f>P35*$T$3</f>
        <v>5641.8263999999999</v>
      </c>
      <c r="T35" s="266">
        <f>Q35*$T$3</f>
        <v>7561.3464000000004</v>
      </c>
      <c r="U35" s="264">
        <f>O35*$W$3</f>
        <v>365.53440000000001</v>
      </c>
      <c r="V35" s="265">
        <f>P35*$W$3</f>
        <v>5217.1727999999994</v>
      </c>
      <c r="W35" s="266">
        <f>Q35*$W$3</f>
        <v>6992.2127999999993</v>
      </c>
      <c r="X35" s="264">
        <f>O35*$Z$3</f>
        <v>352.78320000000002</v>
      </c>
      <c r="Y35" s="265">
        <f>P35*$Z$3</f>
        <v>5035.1783999999998</v>
      </c>
      <c r="Z35" s="266">
        <f>Q35*$Z$3</f>
        <v>6748.2983999999997</v>
      </c>
      <c r="AA35" s="264">
        <f>O35*$AC$3</f>
        <v>318.78000000000003</v>
      </c>
      <c r="AB35" s="265">
        <f>P35*$AC$3</f>
        <v>4549.8599999999997</v>
      </c>
      <c r="AC35" s="266">
        <f>Q35*$AC$3</f>
        <v>6097.86</v>
      </c>
      <c r="AD35" s="264">
        <f>O35*$AF$3</f>
        <v>297.52800000000002</v>
      </c>
      <c r="AE35" s="265">
        <f>P35*$AF$3</f>
        <v>4246.5359999999991</v>
      </c>
      <c r="AF35" s="266">
        <f>Q35*$AF$3</f>
        <v>5691.3359999999993</v>
      </c>
    </row>
    <row r="36" spans="1:32" s="226" customFormat="1" ht="18" customHeight="1" thickBot="1">
      <c r="A36" s="178"/>
      <c r="B36" s="2756"/>
      <c r="C36" s="15">
        <f>32.2%*12</f>
        <v>3.8639999999999999</v>
      </c>
      <c r="D36" s="41">
        <f>14.7%*12</f>
        <v>1.7639999999999998</v>
      </c>
      <c r="E36" s="200">
        <f>2.5%*12</f>
        <v>0.30000000000000004</v>
      </c>
      <c r="F36" s="2754"/>
      <c r="G36" s="2738"/>
      <c r="H36" s="2738"/>
      <c r="I36" s="2763"/>
      <c r="J36" s="2754"/>
      <c r="K36" s="2738"/>
      <c r="L36" s="2751"/>
      <c r="M36" s="1122"/>
      <c r="N36" s="533"/>
      <c r="O36" s="259">
        <f>O35/F35</f>
        <v>0.42504000000000003</v>
      </c>
      <c r="P36" s="239">
        <f>P35/F35</f>
        <v>6.0664799999999994</v>
      </c>
      <c r="Q36" s="240">
        <f>Q35/F35</f>
        <v>8.1304800000000004</v>
      </c>
      <c r="R36" s="259">
        <f>R35/F35</f>
        <v>0.39528720000000006</v>
      </c>
      <c r="S36" s="239">
        <f>S35/F35</f>
        <v>5.6418264000000002</v>
      </c>
      <c r="T36" s="240">
        <f>T35/F35</f>
        <v>7.5613464000000006</v>
      </c>
      <c r="U36" s="259">
        <f>U35/F35</f>
        <v>0.36553439999999998</v>
      </c>
      <c r="V36" s="239">
        <f>V35/F35</f>
        <v>5.2171727999999993</v>
      </c>
      <c r="W36" s="240">
        <f>W35/F35</f>
        <v>6.992212799999999</v>
      </c>
      <c r="X36" s="259">
        <f>X35/F35</f>
        <v>0.35278320000000002</v>
      </c>
      <c r="Y36" s="239">
        <f>Y35/F35</f>
        <v>5.0351783999999995</v>
      </c>
      <c r="Z36" s="240">
        <f>Z35/F35</f>
        <v>6.7482983999999995</v>
      </c>
      <c r="AA36" s="259">
        <f>AA35/F35</f>
        <v>0.31878000000000001</v>
      </c>
      <c r="AB36" s="239">
        <f>AB35/F35</f>
        <v>4.5498599999999998</v>
      </c>
      <c r="AC36" s="240">
        <f>AC35/F35</f>
        <v>6.0978599999999998</v>
      </c>
      <c r="AD36" s="259">
        <f>AD35/F35</f>
        <v>0.29752800000000001</v>
      </c>
      <c r="AE36" s="239">
        <f>AE35/F35</f>
        <v>4.246535999999999</v>
      </c>
      <c r="AF36" s="240">
        <f>AF35/F35</f>
        <v>5.6913359999999997</v>
      </c>
    </row>
    <row r="37" spans="1:32" s="226" customFormat="1" ht="18" customHeight="1">
      <c r="A37" s="178"/>
      <c r="B37" s="2756"/>
      <c r="C37" s="1978" t="s">
        <v>1705</v>
      </c>
      <c r="D37" s="1969" t="s">
        <v>1690</v>
      </c>
      <c r="E37" s="2766" t="s">
        <v>1691</v>
      </c>
      <c r="F37" s="2754">
        <v>1000</v>
      </c>
      <c r="G37" s="2738">
        <f>F37*C38</f>
        <v>5589</v>
      </c>
      <c r="H37" s="2738">
        <f>G37*25%</f>
        <v>1397.25</v>
      </c>
      <c r="I37" s="2763">
        <f>G37*32%</f>
        <v>1788.48</v>
      </c>
      <c r="J37" s="2754">
        <f>SUM(G37:I38)</f>
        <v>8774.73</v>
      </c>
      <c r="K37" s="2738">
        <f>F37*D38</f>
        <v>2556</v>
      </c>
      <c r="L37" s="2751">
        <f>F37*E38</f>
        <v>300.00000000000006</v>
      </c>
      <c r="M37" s="1120"/>
      <c r="N37" s="312"/>
      <c r="O37" s="118">
        <f>G37/12+I37/12</f>
        <v>614.79</v>
      </c>
      <c r="P37" s="261">
        <f>SUM(G37:I38)</f>
        <v>8774.73</v>
      </c>
      <c r="Q37" s="262">
        <f>SUM(J37:L38)</f>
        <v>11630.73</v>
      </c>
      <c r="R37" s="126">
        <f>O37*$T$3</f>
        <v>571.75469999999996</v>
      </c>
      <c r="S37" s="127">
        <f>P37*$T$3</f>
        <v>8160.4988999999996</v>
      </c>
      <c r="T37" s="128">
        <f>Q37*$T$3</f>
        <v>10816.5789</v>
      </c>
      <c r="U37" s="126">
        <f>O37*$W$3</f>
        <v>528.71939999999995</v>
      </c>
      <c r="V37" s="127">
        <f>P37*$W$3</f>
        <v>7546.2677999999996</v>
      </c>
      <c r="W37" s="128">
        <f>Q37*$W$3</f>
        <v>10002.427799999999</v>
      </c>
      <c r="X37" s="126">
        <f>O37*$Z$3</f>
        <v>510.27569999999997</v>
      </c>
      <c r="Y37" s="127">
        <f>P37*$Z$3</f>
        <v>7283.0258999999996</v>
      </c>
      <c r="Z37" s="128">
        <f>Q37*$Z$3</f>
        <v>9653.5058999999983</v>
      </c>
      <c r="AA37" s="126">
        <f>O37*$AC$3</f>
        <v>461.09249999999997</v>
      </c>
      <c r="AB37" s="127">
        <f>P37*$AC$3</f>
        <v>6581.0474999999997</v>
      </c>
      <c r="AC37" s="128">
        <f>Q37*$AC$3</f>
        <v>8723.0475000000006</v>
      </c>
      <c r="AD37" s="126">
        <f>O37*$AF$3</f>
        <v>430.35299999999995</v>
      </c>
      <c r="AE37" s="127">
        <f>P37*$AF$3</f>
        <v>6142.3109999999997</v>
      </c>
      <c r="AF37" s="128">
        <f>Q37*$AF$3</f>
        <v>8141.5109999999995</v>
      </c>
    </row>
    <row r="38" spans="1:32" s="226" customFormat="1" ht="18" customHeight="1" thickBot="1">
      <c r="A38" s="178"/>
      <c r="B38" s="2756"/>
      <c r="C38" s="15">
        <f>40.5%*115%*12</f>
        <v>5.5890000000000004</v>
      </c>
      <c r="D38" s="41">
        <f>21.3%*12</f>
        <v>2.556</v>
      </c>
      <c r="E38" s="200">
        <f>2.5%*12</f>
        <v>0.30000000000000004</v>
      </c>
      <c r="F38" s="2754"/>
      <c r="G38" s="2738"/>
      <c r="H38" s="2738"/>
      <c r="I38" s="2763"/>
      <c r="J38" s="2754"/>
      <c r="K38" s="2738"/>
      <c r="L38" s="2738"/>
      <c r="M38" s="1122"/>
      <c r="N38" s="533"/>
      <c r="O38" s="259">
        <f>O37/F37</f>
        <v>0.61478999999999995</v>
      </c>
      <c r="P38" s="239">
        <f>P37/F37</f>
        <v>8.7747299999999999</v>
      </c>
      <c r="Q38" s="240">
        <f>Q37/F37</f>
        <v>11.63073</v>
      </c>
      <c r="R38" s="259">
        <f>R37/F37</f>
        <v>0.57175469999999995</v>
      </c>
      <c r="S38" s="239">
        <f>S37/F37</f>
        <v>8.1604989000000003</v>
      </c>
      <c r="T38" s="240">
        <f>T37/F37</f>
        <v>10.8165789</v>
      </c>
      <c r="U38" s="259">
        <f>U37/F37</f>
        <v>0.52871939999999995</v>
      </c>
      <c r="V38" s="239">
        <f>V37/F37</f>
        <v>7.5462677999999999</v>
      </c>
      <c r="W38" s="240">
        <f>W37/F37</f>
        <v>10.0024278</v>
      </c>
      <c r="X38" s="259">
        <f>X37/F37</f>
        <v>0.5102757</v>
      </c>
      <c r="Y38" s="239">
        <f>Y37/F37</f>
        <v>7.2830258999999993</v>
      </c>
      <c r="Z38" s="240">
        <f>Z37/F37</f>
        <v>9.653505899999999</v>
      </c>
      <c r="AA38" s="259">
        <f>AA37/F37</f>
        <v>0.46109249999999996</v>
      </c>
      <c r="AB38" s="239">
        <f>AB37/F37</f>
        <v>6.5810474999999995</v>
      </c>
      <c r="AC38" s="240">
        <f>AC37/F37</f>
        <v>8.7230474999999998</v>
      </c>
      <c r="AD38" s="259">
        <f>AD37/F37</f>
        <v>0.43035299999999993</v>
      </c>
      <c r="AE38" s="239">
        <f>AE37/F37</f>
        <v>6.1423109999999994</v>
      </c>
      <c r="AF38" s="240">
        <f>AF37/F37</f>
        <v>8.1415109999999995</v>
      </c>
    </row>
    <row r="39" spans="1:32" s="226" customFormat="1" ht="18" customHeight="1">
      <c r="A39" s="39"/>
      <c r="B39" s="2756"/>
      <c r="C39" s="2770" t="s">
        <v>1706</v>
      </c>
      <c r="D39" s="1969"/>
      <c r="E39" s="2766"/>
      <c r="F39" s="2754">
        <v>1000</v>
      </c>
      <c r="G39" s="2738">
        <f>F39*C40</f>
        <v>3864</v>
      </c>
      <c r="H39" s="2738">
        <f>G39*25%</f>
        <v>966</v>
      </c>
      <c r="I39" s="2763">
        <f>G39*32%</f>
        <v>1236.48</v>
      </c>
      <c r="J39" s="2754">
        <f>SUM(G39:I40)</f>
        <v>6066.48</v>
      </c>
      <c r="K39" s="2738">
        <f>F39*D40</f>
        <v>1763.9999999999998</v>
      </c>
      <c r="L39" s="2738">
        <f>F39*E40</f>
        <v>300.00000000000006</v>
      </c>
      <c r="M39" s="1120"/>
      <c r="N39" s="312"/>
      <c r="O39" s="118">
        <f>G39/12+I39/12</f>
        <v>425.04</v>
      </c>
      <c r="P39" s="261">
        <f>SUM(G39:I40)</f>
        <v>6066.48</v>
      </c>
      <c r="Q39" s="262">
        <f>SUM(J39:L40)</f>
        <v>8130.48</v>
      </c>
      <c r="R39" s="126">
        <f>O39*$T$3</f>
        <v>395.28720000000004</v>
      </c>
      <c r="S39" s="127">
        <f>P39*$T$3</f>
        <v>5641.8263999999999</v>
      </c>
      <c r="T39" s="128">
        <f>Q39*$T$3</f>
        <v>7561.3464000000004</v>
      </c>
      <c r="U39" s="126">
        <f>O39*$W$3</f>
        <v>365.53440000000001</v>
      </c>
      <c r="V39" s="127">
        <f>P39*$W$3</f>
        <v>5217.1727999999994</v>
      </c>
      <c r="W39" s="128">
        <f>Q39*$W$3</f>
        <v>6992.2127999999993</v>
      </c>
      <c r="X39" s="126">
        <f>O39*$Z$3</f>
        <v>352.78320000000002</v>
      </c>
      <c r="Y39" s="127">
        <f>P39*$Z$3</f>
        <v>5035.1783999999998</v>
      </c>
      <c r="Z39" s="128">
        <f>Q39*$Z$3</f>
        <v>6748.2983999999997</v>
      </c>
      <c r="AA39" s="126">
        <f>O39*$AC$3</f>
        <v>318.78000000000003</v>
      </c>
      <c r="AB39" s="127">
        <f>P39*$AC$3</f>
        <v>4549.8599999999997</v>
      </c>
      <c r="AC39" s="128">
        <f>Q39*$AC$3</f>
        <v>6097.86</v>
      </c>
      <c r="AD39" s="126">
        <f>O39*$AF$3</f>
        <v>297.52800000000002</v>
      </c>
      <c r="AE39" s="127">
        <f>P39*$AF$3</f>
        <v>4246.5359999999991</v>
      </c>
      <c r="AF39" s="128">
        <f>Q39*$AF$3</f>
        <v>5691.3359999999993</v>
      </c>
    </row>
    <row r="40" spans="1:32" s="226" customFormat="1" ht="18" customHeight="1" thickBot="1">
      <c r="A40" s="39"/>
      <c r="B40" s="2756"/>
      <c r="C40" s="15">
        <f>32.2%*12</f>
        <v>3.8639999999999999</v>
      </c>
      <c r="D40" s="41">
        <f>14.7%*12</f>
        <v>1.7639999999999998</v>
      </c>
      <c r="E40" s="200">
        <f>2.5%*12</f>
        <v>0.30000000000000004</v>
      </c>
      <c r="F40" s="2754"/>
      <c r="G40" s="2738"/>
      <c r="H40" s="2738"/>
      <c r="I40" s="2763"/>
      <c r="J40" s="2754"/>
      <c r="K40" s="2738"/>
      <c r="L40" s="2738"/>
      <c r="M40" s="1122"/>
      <c r="N40" s="533"/>
      <c r="O40" s="259">
        <f>O39/F39</f>
        <v>0.42504000000000003</v>
      </c>
      <c r="P40" s="239">
        <f>P39/F39</f>
        <v>6.0664799999999994</v>
      </c>
      <c r="Q40" s="240">
        <f>Q39/F39</f>
        <v>8.1304800000000004</v>
      </c>
      <c r="R40" s="259">
        <f>R39/F39</f>
        <v>0.39528720000000006</v>
      </c>
      <c r="S40" s="239">
        <f>S39/F39</f>
        <v>5.6418264000000002</v>
      </c>
      <c r="T40" s="240">
        <f>T39/F39</f>
        <v>7.5613464000000006</v>
      </c>
      <c r="U40" s="259">
        <f>U39/F39</f>
        <v>0.36553439999999998</v>
      </c>
      <c r="V40" s="239">
        <f>V39/F39</f>
        <v>5.2171727999999993</v>
      </c>
      <c r="W40" s="240">
        <f>W39/F39</f>
        <v>6.992212799999999</v>
      </c>
      <c r="X40" s="259">
        <f>X39/F39</f>
        <v>0.35278320000000002</v>
      </c>
      <c r="Y40" s="239">
        <f>Y39/F39</f>
        <v>5.0351783999999995</v>
      </c>
      <c r="Z40" s="240">
        <f>Z39/F39</f>
        <v>6.7482983999999995</v>
      </c>
      <c r="AA40" s="259">
        <f>AA39/F39</f>
        <v>0.31878000000000001</v>
      </c>
      <c r="AB40" s="239">
        <f>AB39/F39</f>
        <v>4.5498599999999998</v>
      </c>
      <c r="AC40" s="240">
        <f>AC39/F39</f>
        <v>6.0978599999999998</v>
      </c>
      <c r="AD40" s="259">
        <f>AD39/F39</f>
        <v>0.29752800000000001</v>
      </c>
      <c r="AE40" s="239">
        <f>AE39/F39</f>
        <v>4.246535999999999</v>
      </c>
      <c r="AF40" s="240">
        <f>AF39/F39</f>
        <v>5.6913359999999997</v>
      </c>
    </row>
    <row r="41" spans="1:32" s="226" customFormat="1" ht="18" customHeight="1">
      <c r="A41" s="178"/>
      <c r="B41" s="2756"/>
      <c r="C41" s="1978" t="s">
        <v>1707</v>
      </c>
      <c r="D41" s="1969"/>
      <c r="E41" s="2766"/>
      <c r="F41" s="2769">
        <v>1000</v>
      </c>
      <c r="G41" s="2768">
        <f>F41*C42</f>
        <v>4140</v>
      </c>
      <c r="H41" s="2768">
        <f>G41*25%</f>
        <v>1035</v>
      </c>
      <c r="I41" s="2763">
        <f>G41*32%</f>
        <v>1324.8</v>
      </c>
      <c r="J41" s="2769">
        <f>SUM(G41:I42)</f>
        <v>6499.8</v>
      </c>
      <c r="K41" s="2768">
        <f>F41*D42</f>
        <v>1896</v>
      </c>
      <c r="L41" s="2768">
        <f>F41*E42</f>
        <v>300.00000000000006</v>
      </c>
      <c r="M41" s="1120"/>
      <c r="N41" s="312"/>
      <c r="O41" s="118">
        <f>G41/12+I41/12</f>
        <v>455.4</v>
      </c>
      <c r="P41" s="261">
        <f>SUM(G41:I42)</f>
        <v>6499.8</v>
      </c>
      <c r="Q41" s="262">
        <f>SUM(J41:L42)</f>
        <v>8695.7999999999993</v>
      </c>
      <c r="R41" s="267">
        <f>O41*$T$3</f>
        <v>423.52199999999999</v>
      </c>
      <c r="S41" s="268">
        <f>P41*$T$3</f>
        <v>6044.8140000000003</v>
      </c>
      <c r="T41" s="269">
        <f>Q41*$T$3</f>
        <v>8087.0940000000001</v>
      </c>
      <c r="U41" s="267">
        <f>O41*$W$3</f>
        <v>391.64399999999995</v>
      </c>
      <c r="V41" s="268">
        <f>P41*$W$3</f>
        <v>5589.8280000000004</v>
      </c>
      <c r="W41" s="269">
        <f>Q41*$W$3</f>
        <v>7478.387999999999</v>
      </c>
      <c r="X41" s="267">
        <f>O41*$Z$3</f>
        <v>377.98199999999997</v>
      </c>
      <c r="Y41" s="268">
        <f>P41*$Z$3</f>
        <v>5394.8339999999998</v>
      </c>
      <c r="Z41" s="269">
        <f>Q41*$Z$3</f>
        <v>7217.5139999999992</v>
      </c>
      <c r="AA41" s="267">
        <f>O41*$AC$3</f>
        <v>341.54999999999995</v>
      </c>
      <c r="AB41" s="268">
        <f>P41*$AC$3</f>
        <v>4874.8500000000004</v>
      </c>
      <c r="AC41" s="269">
        <f>Q41*$AC$3</f>
        <v>6521.8499999999995</v>
      </c>
      <c r="AD41" s="267">
        <f>O41*$AF$3</f>
        <v>318.77999999999997</v>
      </c>
      <c r="AE41" s="268">
        <f>P41*$AF$3</f>
        <v>4549.8599999999997</v>
      </c>
      <c r="AF41" s="269">
        <f>Q41*$AF$3</f>
        <v>6087.0599999999995</v>
      </c>
    </row>
    <row r="42" spans="1:32" s="226" customFormat="1" ht="18" customHeight="1" thickBot="1">
      <c r="A42" s="178"/>
      <c r="B42" s="2756"/>
      <c r="C42" s="15">
        <f>34.5%*12</f>
        <v>4.1399999999999997</v>
      </c>
      <c r="D42" s="41">
        <f>15.8%*12</f>
        <v>1.8959999999999999</v>
      </c>
      <c r="E42" s="200">
        <f>2.5%*12</f>
        <v>0.30000000000000004</v>
      </c>
      <c r="F42" s="2769"/>
      <c r="G42" s="2768"/>
      <c r="H42" s="2768"/>
      <c r="I42" s="2763"/>
      <c r="J42" s="2769"/>
      <c r="K42" s="2768"/>
      <c r="L42" s="2768"/>
      <c r="M42" s="1122"/>
      <c r="N42" s="533"/>
      <c r="O42" s="259">
        <f>O41/F41</f>
        <v>0.45539999999999997</v>
      </c>
      <c r="P42" s="239">
        <f>P41/F41</f>
        <v>6.4998000000000005</v>
      </c>
      <c r="Q42" s="240">
        <f>Q41/F41</f>
        <v>8.6957999999999984</v>
      </c>
      <c r="R42" s="259">
        <f>R41/F41</f>
        <v>0.42352200000000001</v>
      </c>
      <c r="S42" s="239">
        <f>S41/F41</f>
        <v>6.0448140000000006</v>
      </c>
      <c r="T42" s="240">
        <f>T41/F41</f>
        <v>8.0870940000000004</v>
      </c>
      <c r="U42" s="259">
        <f>U41/F41</f>
        <v>0.39164399999999994</v>
      </c>
      <c r="V42" s="239">
        <f>V41/F41</f>
        <v>5.5898280000000007</v>
      </c>
      <c r="W42" s="240">
        <f>W41/F41</f>
        <v>7.4783879999999989</v>
      </c>
      <c r="X42" s="259">
        <f>X41/F41</f>
        <v>0.37798199999999998</v>
      </c>
      <c r="Y42" s="239">
        <f>Y41/F41</f>
        <v>5.3948339999999995</v>
      </c>
      <c r="Z42" s="240">
        <f>Z41/F41</f>
        <v>7.2175139999999995</v>
      </c>
      <c r="AA42" s="259">
        <f>AA41/F41</f>
        <v>0.34154999999999996</v>
      </c>
      <c r="AB42" s="239">
        <f>AB41/F41</f>
        <v>4.8748500000000003</v>
      </c>
      <c r="AC42" s="240">
        <f>AC41/F41</f>
        <v>6.5218499999999997</v>
      </c>
      <c r="AD42" s="259">
        <f>AD41/F41</f>
        <v>0.31877999999999995</v>
      </c>
      <c r="AE42" s="239">
        <f>AE41/F41</f>
        <v>4.5498599999999998</v>
      </c>
      <c r="AF42" s="240">
        <f>AF41/F41</f>
        <v>6.0870599999999992</v>
      </c>
    </row>
    <row r="43" spans="1:32" s="226" customFormat="1" ht="18" customHeight="1">
      <c r="A43" s="178"/>
      <c r="B43" s="2756"/>
      <c r="C43" s="1978" t="s">
        <v>1708</v>
      </c>
      <c r="D43" s="1969"/>
      <c r="E43" s="2766"/>
      <c r="F43" s="2754">
        <v>1000</v>
      </c>
      <c r="G43" s="2738">
        <f>F43*C44</f>
        <v>2070</v>
      </c>
      <c r="H43" s="2738">
        <f>G43*25%</f>
        <v>517.5</v>
      </c>
      <c r="I43" s="2763">
        <f>G43*32%</f>
        <v>662.4</v>
      </c>
      <c r="J43" s="2754">
        <f>SUM(G43:I44)</f>
        <v>3249.9</v>
      </c>
      <c r="K43" s="2738">
        <f>F43*D44</f>
        <v>948</v>
      </c>
      <c r="L43" s="2738">
        <f>F43*E44</f>
        <v>300.00000000000006</v>
      </c>
      <c r="M43" s="1120"/>
      <c r="N43" s="312"/>
      <c r="O43" s="118">
        <f>G43/12+I43/12</f>
        <v>227.7</v>
      </c>
      <c r="P43" s="261">
        <f>SUM(G43:I44)</f>
        <v>3249.9</v>
      </c>
      <c r="Q43" s="262">
        <f>SUM(J43:L44)</f>
        <v>4497.8999999999996</v>
      </c>
      <c r="R43" s="126">
        <f>O43*$T$3</f>
        <v>211.761</v>
      </c>
      <c r="S43" s="127">
        <f>P43*$T$3</f>
        <v>3022.4070000000002</v>
      </c>
      <c r="T43" s="128">
        <f>Q43*$T$3</f>
        <v>4183.0469999999996</v>
      </c>
      <c r="U43" s="126">
        <f>O43*$W$3</f>
        <v>195.82199999999997</v>
      </c>
      <c r="V43" s="127">
        <f>P43*$W$3</f>
        <v>2794.9140000000002</v>
      </c>
      <c r="W43" s="128">
        <f>Q43*$W$3</f>
        <v>3868.1939999999995</v>
      </c>
      <c r="X43" s="126">
        <f>O43*$Z$3</f>
        <v>188.99099999999999</v>
      </c>
      <c r="Y43" s="127">
        <f>P43*$Z$3</f>
        <v>2697.4169999999999</v>
      </c>
      <c r="Z43" s="128">
        <f>Q43*$Z$3</f>
        <v>3733.2569999999996</v>
      </c>
      <c r="AA43" s="126">
        <f>O43*$AC$3</f>
        <v>170.77499999999998</v>
      </c>
      <c r="AB43" s="127">
        <f>P43*$AC$3</f>
        <v>2437.4250000000002</v>
      </c>
      <c r="AC43" s="128">
        <f>Q43*$AC$3</f>
        <v>3373.4249999999997</v>
      </c>
      <c r="AD43" s="126">
        <f>O43*$AF$3</f>
        <v>159.38999999999999</v>
      </c>
      <c r="AE43" s="127">
        <f>P43*$AF$3</f>
        <v>2274.9299999999998</v>
      </c>
      <c r="AF43" s="128">
        <f>Q43*$AF$3</f>
        <v>3148.5299999999997</v>
      </c>
    </row>
    <row r="44" spans="1:32" s="226" customFormat="1" ht="18" customHeight="1" thickBot="1">
      <c r="A44" s="178"/>
      <c r="B44" s="2756"/>
      <c r="C44" s="15">
        <f>17.25%*12</f>
        <v>2.0699999999999998</v>
      </c>
      <c r="D44" s="41">
        <f>7.9%*12</f>
        <v>0.94799999999999995</v>
      </c>
      <c r="E44" s="200">
        <f>2.5%*12</f>
        <v>0.30000000000000004</v>
      </c>
      <c r="F44" s="2754"/>
      <c r="G44" s="2738"/>
      <c r="H44" s="2738"/>
      <c r="I44" s="2763"/>
      <c r="J44" s="2754"/>
      <c r="K44" s="2738"/>
      <c r="L44" s="2738"/>
      <c r="M44" s="1122"/>
      <c r="N44" s="533"/>
      <c r="O44" s="259">
        <f>O43/F43</f>
        <v>0.22769999999999999</v>
      </c>
      <c r="P44" s="239">
        <f>P43/F43</f>
        <v>3.2499000000000002</v>
      </c>
      <c r="Q44" s="240">
        <f>Q43/F43</f>
        <v>4.4978999999999996</v>
      </c>
      <c r="R44" s="259">
        <f>R43/F43</f>
        <v>0.211761</v>
      </c>
      <c r="S44" s="239">
        <f>S43/F43</f>
        <v>3.0224070000000003</v>
      </c>
      <c r="T44" s="240">
        <f>T43/F43</f>
        <v>4.1830469999999993</v>
      </c>
      <c r="U44" s="259">
        <f>U43/F43</f>
        <v>0.19582199999999997</v>
      </c>
      <c r="V44" s="239">
        <f>V43/F43</f>
        <v>2.7949140000000003</v>
      </c>
      <c r="W44" s="240">
        <f>W43/F43</f>
        <v>3.8681939999999995</v>
      </c>
      <c r="X44" s="259">
        <f>X43/F43</f>
        <v>0.18899099999999999</v>
      </c>
      <c r="Y44" s="239">
        <f>Y43/F43</f>
        <v>2.6974169999999997</v>
      </c>
      <c r="Z44" s="240">
        <f>Z43/F43</f>
        <v>3.7332569999999996</v>
      </c>
      <c r="AA44" s="259">
        <f>AA43/F43</f>
        <v>0.17077499999999998</v>
      </c>
      <c r="AB44" s="239">
        <f>AB43/F43</f>
        <v>2.4374250000000002</v>
      </c>
      <c r="AC44" s="240">
        <f>AC43/F43</f>
        <v>3.3734249999999997</v>
      </c>
      <c r="AD44" s="259">
        <f>AD43/F43</f>
        <v>0.15938999999999998</v>
      </c>
      <c r="AE44" s="239">
        <f>AE43/F43</f>
        <v>2.2749299999999999</v>
      </c>
      <c r="AF44" s="240">
        <f>AF43/F43</f>
        <v>3.1485299999999996</v>
      </c>
    </row>
    <row r="45" spans="1:32" s="226" customFormat="1" ht="18" customHeight="1">
      <c r="A45" s="178"/>
      <c r="B45" s="2756"/>
      <c r="C45" s="1978" t="s">
        <v>1709</v>
      </c>
      <c r="D45" s="1969" t="s">
        <v>1690</v>
      </c>
      <c r="E45" s="2766" t="s">
        <v>1691</v>
      </c>
      <c r="F45" s="2754">
        <v>1000</v>
      </c>
      <c r="G45" s="2738">
        <f>F45*C46</f>
        <v>3864</v>
      </c>
      <c r="H45" s="2738">
        <f>G45*25%</f>
        <v>966</v>
      </c>
      <c r="I45" s="2763">
        <f>G45*32%</f>
        <v>1236.48</v>
      </c>
      <c r="J45" s="2754">
        <f>SUM(G45:I46)</f>
        <v>6066.48</v>
      </c>
      <c r="K45" s="2738">
        <f>F45*D46</f>
        <v>1763.9999999999998</v>
      </c>
      <c r="L45" s="2762">
        <f>F45*E46</f>
        <v>300.00000000000006</v>
      </c>
      <c r="M45" s="315"/>
      <c r="N45" s="316"/>
      <c r="O45" s="118">
        <f>G45/12+I45/12</f>
        <v>425.04</v>
      </c>
      <c r="P45" s="261">
        <f>SUM(G45:I46)</f>
        <v>6066.48</v>
      </c>
      <c r="Q45" s="262">
        <f>SUM(J45:L46)</f>
        <v>8130.48</v>
      </c>
      <c r="R45" s="126">
        <f>O45*$T$3</f>
        <v>395.28720000000004</v>
      </c>
      <c r="S45" s="127">
        <f>P45*$T$3</f>
        <v>5641.8263999999999</v>
      </c>
      <c r="T45" s="128">
        <f>Q45*$T$3</f>
        <v>7561.3464000000004</v>
      </c>
      <c r="U45" s="126">
        <f>O45*$W$3</f>
        <v>365.53440000000001</v>
      </c>
      <c r="V45" s="127">
        <f>P45*$W$3</f>
        <v>5217.1727999999994</v>
      </c>
      <c r="W45" s="128">
        <f>Q45*$W$3</f>
        <v>6992.2127999999993</v>
      </c>
      <c r="X45" s="126">
        <f>O45*$Z$3</f>
        <v>352.78320000000002</v>
      </c>
      <c r="Y45" s="127">
        <f>P45*$Z$3</f>
        <v>5035.1783999999998</v>
      </c>
      <c r="Z45" s="128">
        <f>Q45*$Z$3</f>
        <v>6748.2983999999997</v>
      </c>
      <c r="AA45" s="126">
        <f>O45*$AC$3</f>
        <v>318.78000000000003</v>
      </c>
      <c r="AB45" s="127">
        <f>P45*$AC$3</f>
        <v>4549.8599999999997</v>
      </c>
      <c r="AC45" s="128">
        <f>Q45*$AC$3</f>
        <v>6097.86</v>
      </c>
      <c r="AD45" s="126">
        <f>O45*$AF$3</f>
        <v>297.52800000000002</v>
      </c>
      <c r="AE45" s="127">
        <f>P45*$AF$3</f>
        <v>4246.5359999999991</v>
      </c>
      <c r="AF45" s="128">
        <f>Q45*$AF$3</f>
        <v>5691.3359999999993</v>
      </c>
    </row>
    <row r="46" spans="1:32" s="226" customFormat="1" ht="18" customHeight="1" thickBot="1">
      <c r="A46" s="490"/>
      <c r="B46" s="2756"/>
      <c r="C46" s="15">
        <f>32.2%*12</f>
        <v>3.8639999999999999</v>
      </c>
      <c r="D46" s="41">
        <f>14.7%*12</f>
        <v>1.7639999999999998</v>
      </c>
      <c r="E46" s="200">
        <f>2.5%*12</f>
        <v>0.30000000000000004</v>
      </c>
      <c r="F46" s="2754"/>
      <c r="G46" s="2738"/>
      <c r="H46" s="2738"/>
      <c r="I46" s="2763"/>
      <c r="J46" s="2767"/>
      <c r="K46" s="2761"/>
      <c r="L46" s="2735"/>
      <c r="M46" s="315"/>
      <c r="N46" s="316"/>
      <c r="O46" s="259">
        <f>O45/F45</f>
        <v>0.42504000000000003</v>
      </c>
      <c r="P46" s="239">
        <f>P45/F45</f>
        <v>6.0664799999999994</v>
      </c>
      <c r="Q46" s="240">
        <f>Q45/F45</f>
        <v>8.1304800000000004</v>
      </c>
      <c r="R46" s="259">
        <f>R45/F45</f>
        <v>0.39528720000000006</v>
      </c>
      <c r="S46" s="239">
        <f>S45/F45</f>
        <v>5.6418264000000002</v>
      </c>
      <c r="T46" s="240">
        <f>T45/F45</f>
        <v>7.5613464000000006</v>
      </c>
      <c r="U46" s="259">
        <f>U45/F45</f>
        <v>0.36553439999999998</v>
      </c>
      <c r="V46" s="239">
        <f>V45/F45</f>
        <v>5.2171727999999993</v>
      </c>
      <c r="W46" s="240">
        <f>W45/F45</f>
        <v>6.992212799999999</v>
      </c>
      <c r="X46" s="259">
        <f>X45/F45</f>
        <v>0.35278320000000002</v>
      </c>
      <c r="Y46" s="239">
        <f>Y45/F45</f>
        <v>5.0351783999999995</v>
      </c>
      <c r="Z46" s="240">
        <f>Z45/F45</f>
        <v>6.7482983999999995</v>
      </c>
      <c r="AA46" s="259">
        <f>AA45/F45</f>
        <v>0.31878000000000001</v>
      </c>
      <c r="AB46" s="239">
        <f>AB45/F45</f>
        <v>4.5498599999999998</v>
      </c>
      <c r="AC46" s="240">
        <f>AC45/F45</f>
        <v>6.0978599999999998</v>
      </c>
      <c r="AD46" s="259">
        <f>AD45/F45</f>
        <v>0.29752800000000001</v>
      </c>
      <c r="AE46" s="239">
        <f>AE45/F45</f>
        <v>4.246535999999999</v>
      </c>
      <c r="AF46" s="240">
        <f>AF45/F45</f>
        <v>5.6913359999999997</v>
      </c>
    </row>
    <row r="47" spans="1:32" s="226" customFormat="1" ht="18" customHeight="1">
      <c r="A47" s="490"/>
      <c r="B47" s="2756"/>
      <c r="C47" s="1998" t="s">
        <v>1710</v>
      </c>
      <c r="D47" s="1971" t="s">
        <v>1690</v>
      </c>
      <c r="E47" s="1975" t="s">
        <v>1691</v>
      </c>
      <c r="F47" s="2754">
        <v>1000</v>
      </c>
      <c r="G47" s="2738">
        <f>F47*C48</f>
        <v>3449.9999999999995</v>
      </c>
      <c r="H47" s="2738">
        <f>G47*25%</f>
        <v>862.49999999999989</v>
      </c>
      <c r="I47" s="2763">
        <f>G47*32%</f>
        <v>1103.9999999999998</v>
      </c>
      <c r="J47" s="2764">
        <f>SUM(G47:I48)</f>
        <v>5416.4999999999991</v>
      </c>
      <c r="K47" s="2765">
        <f>F47*D48</f>
        <v>1584</v>
      </c>
      <c r="L47" s="2734">
        <f>F47*E48</f>
        <v>300.00000000000006</v>
      </c>
      <c r="M47" s="491"/>
      <c r="N47" s="492"/>
      <c r="O47" s="118">
        <f>G47/12+I47/12</f>
        <v>379.49999999999994</v>
      </c>
      <c r="P47" s="261">
        <f>SUM(G47:I48)</f>
        <v>5416.4999999999991</v>
      </c>
      <c r="Q47" s="262">
        <f>SUM(J47:L48)</f>
        <v>7300.4999999999991</v>
      </c>
      <c r="R47" s="264">
        <f>O47*$T$3</f>
        <v>352.93499999999995</v>
      </c>
      <c r="S47" s="265">
        <f>P47*$T$3</f>
        <v>5037.3449999999993</v>
      </c>
      <c r="T47" s="266">
        <f>Q47*$T$3</f>
        <v>6789.4649999999992</v>
      </c>
      <c r="U47" s="264">
        <f>O47*$W$3</f>
        <v>326.36999999999995</v>
      </c>
      <c r="V47" s="265">
        <f>P47*$W$3</f>
        <v>4658.1899999999996</v>
      </c>
      <c r="W47" s="266">
        <f>Q47*$W$3</f>
        <v>6278.4299999999994</v>
      </c>
      <c r="X47" s="264">
        <f>O47*$Z$3</f>
        <v>314.98499999999996</v>
      </c>
      <c r="Y47" s="265">
        <f>P47*$Z$3</f>
        <v>4495.6949999999988</v>
      </c>
      <c r="Z47" s="266">
        <f>Q47*$Z$3</f>
        <v>6059.4149999999991</v>
      </c>
      <c r="AA47" s="264">
        <f>O47*$AC$3</f>
        <v>284.62499999999994</v>
      </c>
      <c r="AB47" s="265">
        <f>P47*$AC$3</f>
        <v>4062.3749999999991</v>
      </c>
      <c r="AC47" s="266">
        <f>Q47*$AC$3</f>
        <v>5475.3749999999991</v>
      </c>
      <c r="AD47" s="264">
        <f>O47*$AF$3</f>
        <v>265.64999999999992</v>
      </c>
      <c r="AE47" s="265">
        <f>P47*$AF$3</f>
        <v>3791.5499999999993</v>
      </c>
      <c r="AF47" s="266">
        <f>Q47*$AF$3</f>
        <v>5110.3499999999995</v>
      </c>
    </row>
    <row r="48" spans="1:32" s="226" customFormat="1" ht="18" customHeight="1" thickBot="1">
      <c r="A48" s="490"/>
      <c r="B48" s="2756"/>
      <c r="C48" s="764">
        <f>25%*115%*12</f>
        <v>3.4499999999999997</v>
      </c>
      <c r="D48" s="41">
        <f>13.2%*12</f>
        <v>1.5840000000000001</v>
      </c>
      <c r="E48" s="200">
        <f>2.5%*12</f>
        <v>0.30000000000000004</v>
      </c>
      <c r="F48" s="2754"/>
      <c r="G48" s="2738"/>
      <c r="H48" s="2738"/>
      <c r="I48" s="2763"/>
      <c r="J48" s="2750"/>
      <c r="K48" s="2739"/>
      <c r="L48" s="2735"/>
      <c r="M48" s="313"/>
      <c r="N48" s="314"/>
      <c r="O48" s="259">
        <f>O47/F47</f>
        <v>0.37949999999999995</v>
      </c>
      <c r="P48" s="239">
        <f>P47/F47</f>
        <v>5.4164999999999992</v>
      </c>
      <c r="Q48" s="240">
        <f>Q47/F47</f>
        <v>7.3004999999999987</v>
      </c>
      <c r="R48" s="259">
        <f>R47/F47</f>
        <v>0.35293499999999994</v>
      </c>
      <c r="S48" s="239">
        <f>S47/F47</f>
        <v>5.0373449999999993</v>
      </c>
      <c r="T48" s="240">
        <f>T47/F47</f>
        <v>6.789464999999999</v>
      </c>
      <c r="U48" s="259">
        <f>U47/F47</f>
        <v>0.32636999999999994</v>
      </c>
      <c r="V48" s="239">
        <f>V47/F47</f>
        <v>4.6581899999999994</v>
      </c>
      <c r="W48" s="240">
        <f>W47/F47</f>
        <v>6.2784299999999993</v>
      </c>
      <c r="X48" s="259">
        <f>X47/F47</f>
        <v>0.31498499999999996</v>
      </c>
      <c r="Y48" s="239">
        <f>Y47/F47</f>
        <v>4.4956949999999987</v>
      </c>
      <c r="Z48" s="240">
        <f>Z47/F47</f>
        <v>6.0594149999999987</v>
      </c>
      <c r="AA48" s="259">
        <f>AA47/F47</f>
        <v>0.28462499999999996</v>
      </c>
      <c r="AB48" s="239">
        <f>AB47/F47</f>
        <v>4.0623749999999994</v>
      </c>
      <c r="AC48" s="240">
        <f>AC47/F47</f>
        <v>5.4753749999999988</v>
      </c>
      <c r="AD48" s="259">
        <f>AD47/F47</f>
        <v>0.26564999999999994</v>
      </c>
      <c r="AE48" s="239">
        <f>AE47/F47</f>
        <v>3.7915499999999991</v>
      </c>
      <c r="AF48" s="240">
        <f>AF47/F47</f>
        <v>5.1103499999999995</v>
      </c>
    </row>
    <row r="49" spans="1:32" s="226" customFormat="1" ht="18" customHeight="1">
      <c r="A49" s="178"/>
      <c r="B49" s="2756"/>
      <c r="C49" s="1998" t="s">
        <v>1711</v>
      </c>
      <c r="D49" s="1971"/>
      <c r="E49" s="1975"/>
      <c r="F49" s="2749">
        <v>1000</v>
      </c>
      <c r="G49" s="2751">
        <f>F49*C50</f>
        <v>3864</v>
      </c>
      <c r="H49" s="2751">
        <f>G49*25%</f>
        <v>966</v>
      </c>
      <c r="I49" s="2752">
        <f>G49*32%</f>
        <v>1236.48</v>
      </c>
      <c r="J49" s="2754">
        <f>SUM(G49:I50)</f>
        <v>6066.48</v>
      </c>
      <c r="K49" s="2738">
        <f>F49*D50</f>
        <v>1763.9999999999998</v>
      </c>
      <c r="L49" s="2738">
        <f>F49*E50</f>
        <v>300.00000000000006</v>
      </c>
      <c r="M49" s="1120"/>
      <c r="N49" s="312"/>
      <c r="O49" s="118">
        <f>G49/12+I49/12</f>
        <v>425.04</v>
      </c>
      <c r="P49" s="261">
        <f>SUM(G49:I50)</f>
        <v>6066.48</v>
      </c>
      <c r="Q49" s="262">
        <f>SUM(J49:L50)</f>
        <v>8130.48</v>
      </c>
      <c r="R49" s="126">
        <f>O49*$T$3</f>
        <v>395.28720000000004</v>
      </c>
      <c r="S49" s="127">
        <f>P49*$T$3</f>
        <v>5641.8263999999999</v>
      </c>
      <c r="T49" s="128">
        <f>Q49*$T$3</f>
        <v>7561.3464000000004</v>
      </c>
      <c r="U49" s="126">
        <f>O49*$W$3</f>
        <v>365.53440000000001</v>
      </c>
      <c r="V49" s="127">
        <f>P49*$W$3</f>
        <v>5217.1727999999994</v>
      </c>
      <c r="W49" s="128">
        <f>Q49*$W$3</f>
        <v>6992.2127999999993</v>
      </c>
      <c r="X49" s="126">
        <f>O49*$Z$3</f>
        <v>352.78320000000002</v>
      </c>
      <c r="Y49" s="127">
        <f>P49*$Z$3</f>
        <v>5035.1783999999998</v>
      </c>
      <c r="Z49" s="128">
        <f>Q49*$Z$3</f>
        <v>6748.2983999999997</v>
      </c>
      <c r="AA49" s="126">
        <f>O49*$AC$3</f>
        <v>318.78000000000003</v>
      </c>
      <c r="AB49" s="127">
        <f>P49*$AC$3</f>
        <v>4549.8599999999997</v>
      </c>
      <c r="AC49" s="128">
        <f>Q49*$AC$3</f>
        <v>6097.86</v>
      </c>
      <c r="AD49" s="126">
        <f>O49*$AF$3</f>
        <v>297.52800000000002</v>
      </c>
      <c r="AE49" s="127">
        <f>P49*$AF$3</f>
        <v>4246.5359999999991</v>
      </c>
      <c r="AF49" s="128">
        <f>Q49*$AF$3</f>
        <v>5691.3359999999993</v>
      </c>
    </row>
    <row r="50" spans="1:32" s="226" customFormat="1" ht="18" customHeight="1" thickBot="1">
      <c r="A50" s="178"/>
      <c r="B50" s="2757"/>
      <c r="C50" s="238">
        <f>32.2%*12</f>
        <v>3.8639999999999999</v>
      </c>
      <c r="D50" s="40">
        <f>14.7%*12</f>
        <v>1.7639999999999998</v>
      </c>
      <c r="E50" s="534">
        <f>2.5%*12</f>
        <v>0.30000000000000004</v>
      </c>
      <c r="F50" s="2750"/>
      <c r="G50" s="2739"/>
      <c r="H50" s="2739"/>
      <c r="I50" s="2753"/>
      <c r="J50" s="2750"/>
      <c r="K50" s="2739"/>
      <c r="L50" s="2739"/>
      <c r="M50" s="1114"/>
      <c r="N50" s="1116"/>
      <c r="O50" s="259">
        <f>O49/F49</f>
        <v>0.42504000000000003</v>
      </c>
      <c r="P50" s="239">
        <f>P49/F49</f>
        <v>6.0664799999999994</v>
      </c>
      <c r="Q50" s="240">
        <f>Q49/F49</f>
        <v>8.1304800000000004</v>
      </c>
      <c r="R50" s="259">
        <f>R49/F49</f>
        <v>0.39528720000000006</v>
      </c>
      <c r="S50" s="239">
        <f>S49/F49</f>
        <v>5.6418264000000002</v>
      </c>
      <c r="T50" s="240">
        <f>T49/F49</f>
        <v>7.5613464000000006</v>
      </c>
      <c r="U50" s="259">
        <f>U49/F49</f>
        <v>0.36553439999999998</v>
      </c>
      <c r="V50" s="239">
        <f>V49/F49</f>
        <v>5.2171727999999993</v>
      </c>
      <c r="W50" s="240">
        <f>W49/F49</f>
        <v>6.992212799999999</v>
      </c>
      <c r="X50" s="259">
        <f>X49/F49</f>
        <v>0.35278320000000002</v>
      </c>
      <c r="Y50" s="239">
        <f>Y49/F49</f>
        <v>5.0351783999999995</v>
      </c>
      <c r="Z50" s="240">
        <f>Z49/F49</f>
        <v>6.7482983999999995</v>
      </c>
      <c r="AA50" s="259">
        <f>AA49/F49</f>
        <v>0.31878000000000001</v>
      </c>
      <c r="AB50" s="239">
        <f>AB49/F49</f>
        <v>4.5498599999999998</v>
      </c>
      <c r="AC50" s="240">
        <f>AC49/F49</f>
        <v>6.0978599999999998</v>
      </c>
      <c r="AD50" s="259">
        <f>AD49/F49</f>
        <v>0.29752800000000001</v>
      </c>
      <c r="AE50" s="239">
        <f>AE49/F49</f>
        <v>4.246535999999999</v>
      </c>
      <c r="AF50" s="240">
        <f>AF49/F49</f>
        <v>5.6913359999999997</v>
      </c>
    </row>
    <row r="51" spans="1:32" s="226" customFormat="1" ht="18" customHeight="1">
      <c r="A51" s="39"/>
      <c r="B51" s="2740" t="s">
        <v>1585</v>
      </c>
      <c r="C51" s="2742" t="s">
        <v>1712</v>
      </c>
      <c r="D51" s="2743"/>
      <c r="E51" s="2744"/>
      <c r="F51" s="2745">
        <v>100000</v>
      </c>
      <c r="G51" s="2734">
        <f>F51*C52</f>
        <v>3070</v>
      </c>
      <c r="H51" s="2734"/>
      <c r="I51" s="2747">
        <f>G51*10%</f>
        <v>307</v>
      </c>
      <c r="J51" s="2745">
        <f>SUM(G51:I52)</f>
        <v>3377</v>
      </c>
      <c r="K51" s="2734">
        <f>F51*D52</f>
        <v>0</v>
      </c>
      <c r="L51" s="2734">
        <f>F51*E52</f>
        <v>0</v>
      </c>
      <c r="M51" s="2734">
        <f>F51*E52</f>
        <v>0</v>
      </c>
      <c r="N51" s="2736">
        <f>F51*E52</f>
        <v>0</v>
      </c>
      <c r="O51" s="118">
        <f>G51+I51</f>
        <v>3377</v>
      </c>
      <c r="P51" s="261">
        <f>SUM(G51:I52)</f>
        <v>3377</v>
      </c>
      <c r="Q51" s="262">
        <f>SUM(J51:N52)</f>
        <v>3377</v>
      </c>
      <c r="R51" s="263">
        <f>O51*$T$3</f>
        <v>3140.61</v>
      </c>
      <c r="S51" s="261">
        <f>P51*$T$3</f>
        <v>3140.61</v>
      </c>
      <c r="T51" s="262">
        <f>Q51*$T$3</f>
        <v>3140.61</v>
      </c>
      <c r="U51" s="263">
        <f>O51*$W$3</f>
        <v>2904.22</v>
      </c>
      <c r="V51" s="261">
        <f>P51*$W$3</f>
        <v>2904.22</v>
      </c>
      <c r="W51" s="262">
        <f>Q51*$W$3</f>
        <v>2904.22</v>
      </c>
      <c r="X51" s="263">
        <f>O51*$Z$3</f>
        <v>2802.91</v>
      </c>
      <c r="Y51" s="261">
        <f>P51*$Z$3</f>
        <v>2802.91</v>
      </c>
      <c r="Z51" s="262">
        <f>Q51*$Z$3</f>
        <v>2802.91</v>
      </c>
      <c r="AA51" s="263">
        <f>O51*$AC$3</f>
        <v>2532.75</v>
      </c>
      <c r="AB51" s="261">
        <f>P51*$AC$3</f>
        <v>2532.75</v>
      </c>
      <c r="AC51" s="262">
        <f>Q51*$AC$3</f>
        <v>2532.75</v>
      </c>
      <c r="AD51" s="263">
        <f>O51*$AF$3</f>
        <v>2363.8999999999996</v>
      </c>
      <c r="AE51" s="261">
        <f>P51*$AF$3</f>
        <v>2363.8999999999996</v>
      </c>
      <c r="AF51" s="262">
        <f>Q51*$AF$3</f>
        <v>2363.8999999999996</v>
      </c>
    </row>
    <row r="52" spans="1:32" s="226" customFormat="1" ht="17.25" customHeight="1" thickBot="1">
      <c r="A52" s="39"/>
      <c r="B52" s="2741"/>
      <c r="C52" s="815">
        <v>3.0700000000000002E-2</v>
      </c>
      <c r="D52" s="816"/>
      <c r="E52" s="817"/>
      <c r="F52" s="2746"/>
      <c r="G52" s="2735"/>
      <c r="H52" s="2735"/>
      <c r="I52" s="2748"/>
      <c r="J52" s="2746"/>
      <c r="K52" s="2735"/>
      <c r="L52" s="2735"/>
      <c r="M52" s="2735"/>
      <c r="N52" s="2737"/>
      <c r="O52" s="259">
        <f>O51/F51</f>
        <v>3.3770000000000001E-2</v>
      </c>
      <c r="P52" s="239">
        <f>P51/F51</f>
        <v>3.3770000000000001E-2</v>
      </c>
      <c r="Q52" s="240">
        <f>Q51/F51</f>
        <v>3.3770000000000001E-2</v>
      </c>
      <c r="R52" s="259">
        <f>R51/F51</f>
        <v>3.1406099999999999E-2</v>
      </c>
      <c r="S52" s="239">
        <f>S51/F51</f>
        <v>3.1406099999999999E-2</v>
      </c>
      <c r="T52" s="240">
        <f>T51/F51</f>
        <v>3.1406099999999999E-2</v>
      </c>
      <c r="U52" s="259">
        <f>U51/F51</f>
        <v>2.9042199999999997E-2</v>
      </c>
      <c r="V52" s="239">
        <f>V51/F51</f>
        <v>2.9042199999999997E-2</v>
      </c>
      <c r="W52" s="240">
        <f>W51/F51</f>
        <v>2.9042199999999997E-2</v>
      </c>
      <c r="X52" s="259">
        <f>X51/F51</f>
        <v>2.8029099999999998E-2</v>
      </c>
      <c r="Y52" s="239">
        <f>Y51/F51</f>
        <v>2.8029099999999998E-2</v>
      </c>
      <c r="Z52" s="240">
        <f>Z51/F51</f>
        <v>2.8029099999999998E-2</v>
      </c>
      <c r="AA52" s="259">
        <f>AA51/F51</f>
        <v>2.5327499999999999E-2</v>
      </c>
      <c r="AB52" s="239">
        <f>AB51/F51</f>
        <v>2.5327499999999999E-2</v>
      </c>
      <c r="AC52" s="240">
        <f>AC51/F51</f>
        <v>2.5327499999999999E-2</v>
      </c>
      <c r="AD52" s="259">
        <f>AD51/F51</f>
        <v>2.3638999999999997E-2</v>
      </c>
      <c r="AE52" s="239">
        <f>AE51/F51</f>
        <v>2.3638999999999997E-2</v>
      </c>
      <c r="AF52" s="240">
        <f>AF51/F51</f>
        <v>2.3638999999999997E-2</v>
      </c>
    </row>
    <row r="53" spans="1:32" ht="18" customHeight="1">
      <c r="A53" s="493"/>
      <c r="C53" s="43"/>
      <c r="D53" s="43"/>
      <c r="E53" s="43"/>
      <c r="F53" s="44"/>
      <c r="G53" s="44"/>
      <c r="H53" s="44"/>
      <c r="T53" s="256"/>
      <c r="U53" s="242"/>
      <c r="V53" s="242"/>
      <c r="W53" s="242"/>
      <c r="X53" s="242"/>
      <c r="Y53" s="242"/>
      <c r="Z53" s="242"/>
      <c r="AA53" s="242"/>
      <c r="AB53" s="242"/>
      <c r="AC53" s="242"/>
      <c r="AD53" s="242"/>
      <c r="AE53" s="242"/>
      <c r="AF53" s="242"/>
    </row>
    <row r="54" spans="1:32" ht="18" customHeight="1">
      <c r="A54" s="178"/>
      <c r="B54" s="45" t="s">
        <v>1713</v>
      </c>
      <c r="C54" s="178"/>
      <c r="D54" s="178"/>
      <c r="E54" s="178"/>
      <c r="F54" s="178"/>
      <c r="G54" s="178"/>
      <c r="H54" s="178"/>
      <c r="T54" s="257"/>
      <c r="U54" s="178"/>
      <c r="V54" s="178"/>
      <c r="W54" s="178"/>
      <c r="X54" s="178"/>
      <c r="Y54" s="178"/>
      <c r="Z54" s="178"/>
      <c r="AA54" s="178"/>
      <c r="AB54" s="178"/>
      <c r="AC54" s="178"/>
      <c r="AD54" s="178"/>
      <c r="AE54" s="178"/>
      <c r="AF54" s="178"/>
    </row>
    <row r="55" spans="1:32" ht="18" customHeight="1">
      <c r="A55" s="178"/>
      <c r="B55" s="179" t="s">
        <v>1714</v>
      </c>
      <c r="C55" s="178"/>
      <c r="D55" s="178"/>
      <c r="E55" s="178"/>
      <c r="F55" s="178"/>
      <c r="G55" s="178"/>
      <c r="H55" s="178"/>
      <c r="T55" s="257"/>
      <c r="U55" s="178"/>
      <c r="V55" s="178"/>
      <c r="W55" s="178"/>
      <c r="X55" s="178"/>
      <c r="Y55" s="178"/>
      <c r="Z55" s="178"/>
      <c r="AA55" s="178"/>
      <c r="AB55" s="178"/>
      <c r="AC55" s="178"/>
      <c r="AD55" s="178"/>
      <c r="AE55" s="178"/>
      <c r="AF55" s="178"/>
    </row>
    <row r="56" spans="1:32" ht="18" customHeight="1">
      <c r="A56" s="178"/>
      <c r="B56" s="179" t="s">
        <v>1715</v>
      </c>
      <c r="C56" s="178"/>
      <c r="D56" s="178"/>
      <c r="E56" s="178"/>
      <c r="F56" s="178"/>
      <c r="G56" s="178"/>
      <c r="H56" s="178"/>
      <c r="T56" s="257"/>
      <c r="U56" s="178"/>
      <c r="V56" s="178"/>
      <c r="W56" s="178"/>
      <c r="X56" s="178"/>
      <c r="Y56" s="178"/>
      <c r="Z56" s="178"/>
      <c r="AA56" s="178"/>
      <c r="AB56" s="178"/>
      <c r="AC56" s="178"/>
      <c r="AD56" s="178"/>
      <c r="AE56" s="178"/>
      <c r="AF56" s="178"/>
    </row>
    <row r="57" spans="1:32" ht="18" customHeight="1">
      <c r="A57" s="178"/>
      <c r="B57" s="179" t="s">
        <v>1716</v>
      </c>
      <c r="C57" s="178"/>
      <c r="D57" s="178"/>
      <c r="E57" s="178"/>
      <c r="F57" s="178"/>
      <c r="G57" s="178"/>
      <c r="H57" s="178"/>
      <c r="I57" s="44"/>
      <c r="J57" s="44"/>
      <c r="K57" s="44"/>
      <c r="L57" s="44"/>
      <c r="M57" s="44"/>
      <c r="N57" s="44"/>
      <c r="O57" s="242"/>
      <c r="P57" s="242"/>
      <c r="Q57" s="242"/>
      <c r="R57" s="242"/>
      <c r="S57" s="242"/>
      <c r="T57" s="257"/>
      <c r="U57" s="178"/>
      <c r="V57" s="178"/>
      <c r="W57" s="178"/>
      <c r="X57" s="178"/>
      <c r="Y57" s="178"/>
      <c r="Z57" s="178"/>
      <c r="AA57" s="178"/>
      <c r="AB57" s="178"/>
      <c r="AC57" s="178"/>
      <c r="AD57" s="178"/>
      <c r="AE57" s="178"/>
      <c r="AF57" s="178"/>
    </row>
    <row r="58" spans="1:32" ht="18" customHeight="1">
      <c r="B58" s="178"/>
      <c r="C58" s="178"/>
      <c r="D58" s="178"/>
      <c r="E58" s="178"/>
      <c r="F58" s="178"/>
      <c r="G58" s="178"/>
      <c r="H58" s="178"/>
      <c r="I58" s="178"/>
      <c r="J58" s="178"/>
      <c r="K58" s="178"/>
      <c r="L58" s="178"/>
      <c r="M58" s="178"/>
      <c r="N58" s="178"/>
      <c r="O58" s="178"/>
      <c r="P58" s="178"/>
      <c r="Q58" s="178"/>
      <c r="R58" s="178"/>
      <c r="S58" s="178"/>
    </row>
    <row r="59" spans="1:32" ht="18" customHeight="1">
      <c r="B59" s="178"/>
      <c r="C59" s="178"/>
      <c r="D59" s="178"/>
      <c r="E59" s="178"/>
      <c r="F59" s="178"/>
      <c r="G59" s="494"/>
      <c r="H59" s="494"/>
      <c r="I59" s="178"/>
      <c r="J59" s="178"/>
      <c r="K59" s="178"/>
      <c r="L59" s="178"/>
      <c r="M59" s="178"/>
      <c r="N59" s="178"/>
      <c r="O59" s="178"/>
      <c r="P59" s="178"/>
      <c r="Q59" s="178"/>
      <c r="R59" s="178"/>
      <c r="S59" s="178"/>
    </row>
    <row r="60" spans="1:32" ht="18" customHeight="1">
      <c r="B60" s="178"/>
      <c r="C60" s="178"/>
      <c r="D60" s="178"/>
      <c r="E60" s="178"/>
      <c r="F60" s="178"/>
      <c r="G60" s="494"/>
      <c r="H60" s="494"/>
      <c r="I60" s="178"/>
      <c r="J60" s="178"/>
      <c r="K60" s="178"/>
      <c r="L60" s="178"/>
      <c r="M60" s="178"/>
      <c r="N60" s="178"/>
      <c r="O60" s="178"/>
      <c r="P60" s="178"/>
      <c r="Q60" s="178"/>
      <c r="R60" s="178"/>
      <c r="S60" s="178"/>
    </row>
    <row r="61" spans="1:32" ht="18" customHeight="1">
      <c r="B61" s="178"/>
      <c r="C61" s="178"/>
      <c r="D61" s="178"/>
      <c r="E61" s="178"/>
      <c r="F61" s="178"/>
      <c r="G61" s="494"/>
      <c r="H61" s="494"/>
      <c r="I61" s="178"/>
      <c r="J61" s="178"/>
      <c r="K61" s="178"/>
      <c r="L61" s="178"/>
      <c r="M61" s="178"/>
      <c r="N61" s="178"/>
      <c r="O61" s="178"/>
      <c r="P61" s="178"/>
      <c r="Q61" s="178"/>
      <c r="R61" s="178"/>
      <c r="S61" s="178"/>
    </row>
    <row r="62" spans="1:32" ht="18" customHeight="1">
      <c r="B62" s="178"/>
      <c r="C62" s="178"/>
      <c r="D62" s="178"/>
      <c r="E62" s="178"/>
      <c r="F62" s="178"/>
    </row>
    <row r="63" spans="1:32" ht="18" customHeight="1">
      <c r="B63" s="178"/>
      <c r="C63" s="178"/>
      <c r="D63" s="178"/>
      <c r="E63" s="178"/>
      <c r="F63" s="178"/>
    </row>
    <row r="64" spans="1:32" ht="18" customHeight="1">
      <c r="B64" s="178"/>
      <c r="C64" s="178"/>
      <c r="D64" s="178"/>
      <c r="E64" s="178"/>
      <c r="F64" s="178"/>
      <c r="G64" s="177"/>
    </row>
    <row r="65" spans="2:20" ht="18" customHeight="1">
      <c r="B65" s="178"/>
      <c r="C65" s="178"/>
      <c r="D65" s="178"/>
      <c r="E65" s="178"/>
      <c r="F65" s="178"/>
      <c r="G65" s="495"/>
    </row>
    <row r="66" spans="2:20" ht="18" customHeight="1">
      <c r="B66" s="178"/>
      <c r="C66" s="178"/>
      <c r="D66" s="178"/>
      <c r="E66" s="178"/>
      <c r="F66" s="178"/>
    </row>
    <row r="67" spans="2:20" ht="18" customHeight="1">
      <c r="B67" s="178"/>
      <c r="C67" s="178"/>
      <c r="D67" s="178"/>
      <c r="E67" s="178"/>
      <c r="F67" s="178"/>
      <c r="T67" s="228"/>
    </row>
  </sheetData>
  <mergeCells count="217">
    <mergeCell ref="B1:AF1"/>
    <mergeCell ref="B3:E3"/>
    <mergeCell ref="F3:I3"/>
    <mergeCell ref="J3:N3"/>
    <mergeCell ref="O3:Q3"/>
    <mergeCell ref="R3:S3"/>
    <mergeCell ref="U3:V3"/>
    <mergeCell ref="X3:Y3"/>
    <mergeCell ref="AA3:AB3"/>
    <mergeCell ref="AD3:AE3"/>
    <mergeCell ref="I5:I6"/>
    <mergeCell ref="J5:J6"/>
    <mergeCell ref="K5:K6"/>
    <mergeCell ref="L5:L6"/>
    <mergeCell ref="M5:M6"/>
    <mergeCell ref="N5:N6"/>
    <mergeCell ref="C4:E4"/>
    <mergeCell ref="B5:B6"/>
    <mergeCell ref="C5:E5"/>
    <mergeCell ref="F5:F6"/>
    <mergeCell ref="G5:G6"/>
    <mergeCell ref="H5:H6"/>
    <mergeCell ref="J7:J8"/>
    <mergeCell ref="K7:K8"/>
    <mergeCell ref="L7:L8"/>
    <mergeCell ref="B9:B10"/>
    <mergeCell ref="C9:E9"/>
    <mergeCell ref="F9:F10"/>
    <mergeCell ref="G9:G10"/>
    <mergeCell ref="H9:H10"/>
    <mergeCell ref="I9:I10"/>
    <mergeCell ref="J9:J10"/>
    <mergeCell ref="B7:B8"/>
    <mergeCell ref="C7:E7"/>
    <mergeCell ref="F7:F8"/>
    <mergeCell ref="G7:G8"/>
    <mergeCell ref="H7:H8"/>
    <mergeCell ref="I7:I8"/>
    <mergeCell ref="K9:K10"/>
    <mergeCell ref="L9:L10"/>
    <mergeCell ref="M9:M10"/>
    <mergeCell ref="N9:N10"/>
    <mergeCell ref="C11:E11"/>
    <mergeCell ref="F11:F12"/>
    <mergeCell ref="G11:G12"/>
    <mergeCell ref="H11:H12"/>
    <mergeCell ref="I11:I12"/>
    <mergeCell ref="J11:J12"/>
    <mergeCell ref="K11:K12"/>
    <mergeCell ref="L11:L12"/>
    <mergeCell ref="C13:E13"/>
    <mergeCell ref="F13:F14"/>
    <mergeCell ref="G13:G14"/>
    <mergeCell ref="H13:H14"/>
    <mergeCell ref="I13:I14"/>
    <mergeCell ref="J13:J14"/>
    <mergeCell ref="K13:K14"/>
    <mergeCell ref="L13:L14"/>
    <mergeCell ref="K15:K16"/>
    <mergeCell ref="L15:L16"/>
    <mergeCell ref="C17:E17"/>
    <mergeCell ref="F17:F18"/>
    <mergeCell ref="G17:G18"/>
    <mergeCell ref="H17:H18"/>
    <mergeCell ref="I17:I18"/>
    <mergeCell ref="J17:J18"/>
    <mergeCell ref="K17:K18"/>
    <mergeCell ref="L17:L18"/>
    <mergeCell ref="C15:E15"/>
    <mergeCell ref="F15:F16"/>
    <mergeCell ref="G15:G16"/>
    <mergeCell ref="H15:H16"/>
    <mergeCell ref="I15:I16"/>
    <mergeCell ref="J15:J16"/>
    <mergeCell ref="K19:K20"/>
    <mergeCell ref="L19:L20"/>
    <mergeCell ref="B21:B24"/>
    <mergeCell ref="C21:E21"/>
    <mergeCell ref="F21:F22"/>
    <mergeCell ref="G21:G22"/>
    <mergeCell ref="H21:H22"/>
    <mergeCell ref="I21:I22"/>
    <mergeCell ref="J21:J22"/>
    <mergeCell ref="K21:K22"/>
    <mergeCell ref="C19:E19"/>
    <mergeCell ref="F19:F20"/>
    <mergeCell ref="G19:G20"/>
    <mergeCell ref="H19:H20"/>
    <mergeCell ref="I19:I20"/>
    <mergeCell ref="J19:J20"/>
    <mergeCell ref="L21:L22"/>
    <mergeCell ref="C23:E23"/>
    <mergeCell ref="F23:F24"/>
    <mergeCell ref="G23:G24"/>
    <mergeCell ref="H23:H24"/>
    <mergeCell ref="I23:I24"/>
    <mergeCell ref="J23:J24"/>
    <mergeCell ref="K23:K24"/>
    <mergeCell ref="L23:L24"/>
    <mergeCell ref="K25:K26"/>
    <mergeCell ref="L25:L26"/>
    <mergeCell ref="C27:E27"/>
    <mergeCell ref="F27:F28"/>
    <mergeCell ref="G27:G28"/>
    <mergeCell ref="H27:H28"/>
    <mergeCell ref="I27:I28"/>
    <mergeCell ref="J27:J28"/>
    <mergeCell ref="K27:K28"/>
    <mergeCell ref="L27:L28"/>
    <mergeCell ref="C25:E25"/>
    <mergeCell ref="F25:F26"/>
    <mergeCell ref="G25:G26"/>
    <mergeCell ref="H25:H26"/>
    <mergeCell ref="I25:I26"/>
    <mergeCell ref="J25:J26"/>
    <mergeCell ref="J29:J30"/>
    <mergeCell ref="K29:K30"/>
    <mergeCell ref="L29:L30"/>
    <mergeCell ref="B31:B32"/>
    <mergeCell ref="C31:E31"/>
    <mergeCell ref="F31:F32"/>
    <mergeCell ref="G31:G32"/>
    <mergeCell ref="H31:H32"/>
    <mergeCell ref="I31:I32"/>
    <mergeCell ref="J31:J32"/>
    <mergeCell ref="B29:B30"/>
    <mergeCell ref="C29:E29"/>
    <mergeCell ref="F29:F30"/>
    <mergeCell ref="G29:G30"/>
    <mergeCell ref="H29:H30"/>
    <mergeCell ref="I29:I30"/>
    <mergeCell ref="K31:K32"/>
    <mergeCell ref="L31:L32"/>
    <mergeCell ref="I33:I34"/>
    <mergeCell ref="J33:J34"/>
    <mergeCell ref="K33:K34"/>
    <mergeCell ref="L33:L34"/>
    <mergeCell ref="C35:E35"/>
    <mergeCell ref="F35:F36"/>
    <mergeCell ref="G35:G36"/>
    <mergeCell ref="H35:H36"/>
    <mergeCell ref="I35:I36"/>
    <mergeCell ref="J35:J36"/>
    <mergeCell ref="K35:K36"/>
    <mergeCell ref="L35:L36"/>
    <mergeCell ref="J39:J40"/>
    <mergeCell ref="K39:K40"/>
    <mergeCell ref="L39:L40"/>
    <mergeCell ref="C37:E37"/>
    <mergeCell ref="F37:F38"/>
    <mergeCell ref="G37:G38"/>
    <mergeCell ref="H37:H38"/>
    <mergeCell ref="I37:I38"/>
    <mergeCell ref="J37:J38"/>
    <mergeCell ref="K37:K38"/>
    <mergeCell ref="L37:L38"/>
    <mergeCell ref="C39:E39"/>
    <mergeCell ref="F39:F40"/>
    <mergeCell ref="G39:G40"/>
    <mergeCell ref="H39:H40"/>
    <mergeCell ref="I39:I40"/>
    <mergeCell ref="K41:K42"/>
    <mergeCell ref="L41:L42"/>
    <mergeCell ref="C43:E43"/>
    <mergeCell ref="F43:F44"/>
    <mergeCell ref="G43:G44"/>
    <mergeCell ref="H43:H44"/>
    <mergeCell ref="I43:I44"/>
    <mergeCell ref="J43:J44"/>
    <mergeCell ref="K43:K44"/>
    <mergeCell ref="L43:L44"/>
    <mergeCell ref="C41:E41"/>
    <mergeCell ref="F41:F42"/>
    <mergeCell ref="G41:G42"/>
    <mergeCell ref="H41:H42"/>
    <mergeCell ref="I41:I42"/>
    <mergeCell ref="J41:J42"/>
    <mergeCell ref="K45:K46"/>
    <mergeCell ref="L45:L46"/>
    <mergeCell ref="C47:E47"/>
    <mergeCell ref="F47:F48"/>
    <mergeCell ref="G47:G48"/>
    <mergeCell ref="H47:H48"/>
    <mergeCell ref="I47:I48"/>
    <mergeCell ref="J47:J48"/>
    <mergeCell ref="K47:K48"/>
    <mergeCell ref="L47:L48"/>
    <mergeCell ref="C45:E45"/>
    <mergeCell ref="F45:F46"/>
    <mergeCell ref="G45:G46"/>
    <mergeCell ref="H45:H46"/>
    <mergeCell ref="I45:I46"/>
    <mergeCell ref="J45:J46"/>
    <mergeCell ref="L51:L52"/>
    <mergeCell ref="M51:M52"/>
    <mergeCell ref="N51:N52"/>
    <mergeCell ref="K49:K50"/>
    <mergeCell ref="L49:L50"/>
    <mergeCell ref="B51:B52"/>
    <mergeCell ref="C51:E51"/>
    <mergeCell ref="F51:F52"/>
    <mergeCell ref="G51:G52"/>
    <mergeCell ref="H51:H52"/>
    <mergeCell ref="I51:I52"/>
    <mergeCell ref="J51:J52"/>
    <mergeCell ref="K51:K52"/>
    <mergeCell ref="C49:E49"/>
    <mergeCell ref="F49:F50"/>
    <mergeCell ref="G49:G50"/>
    <mergeCell ref="H49:H50"/>
    <mergeCell ref="I49:I50"/>
    <mergeCell ref="J49:J50"/>
    <mergeCell ref="B33:B50"/>
    <mergeCell ref="C33:E33"/>
    <mergeCell ref="F33:F34"/>
    <mergeCell ref="G33:G34"/>
    <mergeCell ref="H33:H34"/>
  </mergeCells>
  <phoneticPr fontId="99" type="noConversion"/>
  <pageMargins left="0.31496062992125984" right="0.31496062992125984" top="0.31496062992125984" bottom="0.31496062992125984" header="0" footer="0"/>
  <pageSetup paperSize="9"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34</vt:i4>
      </vt:variant>
      <vt:variant>
        <vt:lpstr>이름이 지정된 범위</vt:lpstr>
      </vt:variant>
      <vt:variant>
        <vt:i4>5</vt:i4>
      </vt:variant>
    </vt:vector>
  </HeadingPairs>
  <TitlesOfParts>
    <vt:vector size="39" baseType="lpstr">
      <vt:lpstr>표지</vt:lpstr>
      <vt:lpstr>공통사항</vt:lpstr>
      <vt:lpstr>9월변동사항</vt:lpstr>
      <vt:lpstr>12월변동사항</vt:lpstr>
      <vt:lpstr>NH농협기초</vt:lpstr>
      <vt:lpstr>NH농협세부</vt:lpstr>
      <vt:lpstr>알리안츠기초</vt:lpstr>
      <vt:lpstr>알리안츠세부</vt:lpstr>
      <vt:lpstr>현대기초</vt:lpstr>
      <vt:lpstr>현대세부</vt:lpstr>
      <vt:lpstr>신한기초</vt:lpstr>
      <vt:lpstr>신한세부</vt:lpstr>
      <vt:lpstr>삼성기초</vt:lpstr>
      <vt:lpstr>삼성세부</vt:lpstr>
      <vt:lpstr>미래기초</vt:lpstr>
      <vt:lpstr>미래세부</vt:lpstr>
      <vt:lpstr>메트기초</vt:lpstr>
      <vt:lpstr>메트세부</vt:lpstr>
      <vt:lpstr>한화기초</vt:lpstr>
      <vt:lpstr>한화세부</vt:lpstr>
      <vt:lpstr>라이나기초</vt:lpstr>
      <vt:lpstr>라이나세부</vt:lpstr>
      <vt:lpstr>동부기초</vt:lpstr>
      <vt:lpstr>동부세부</vt:lpstr>
      <vt:lpstr>동양기초</vt:lpstr>
      <vt:lpstr>동양세부</vt:lpstr>
      <vt:lpstr>교보기초</vt:lpstr>
      <vt:lpstr>교보세부</vt:lpstr>
      <vt:lpstr>KDB기초</vt:lpstr>
      <vt:lpstr>KDB세부</vt:lpstr>
      <vt:lpstr>흥국기초</vt:lpstr>
      <vt:lpstr>흥국세부</vt:lpstr>
      <vt:lpstr>AIA기초</vt:lpstr>
      <vt:lpstr>AIA세부</vt:lpstr>
      <vt:lpstr>동부기초!Print_Area</vt:lpstr>
      <vt:lpstr>미래기초!Print_Area</vt:lpstr>
      <vt:lpstr>신한기초!Print_Area</vt:lpstr>
      <vt:lpstr>알리안츠기초!Print_Area</vt:lpstr>
      <vt:lpstr>한화세부!Print_Area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권수정</dc:creator>
  <cp:lastModifiedBy>이문영</cp:lastModifiedBy>
  <cp:lastPrinted>2014-07-07T09:04:37Z</cp:lastPrinted>
  <dcterms:created xsi:type="dcterms:W3CDTF">2012-05-08T05:47:28Z</dcterms:created>
  <dcterms:modified xsi:type="dcterms:W3CDTF">2014-12-09T02:02:56Z</dcterms:modified>
</cp:coreProperties>
</file>