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현재_통합_문서" defaultThemeVersion="124226"/>
  <bookViews>
    <workbookView xWindow="19815" yWindow="120" windowWidth="9075" windowHeight="12240"/>
  </bookViews>
  <sheets>
    <sheet name="표지" sheetId="1" r:id="rId1"/>
    <sheet name="공통사항" sheetId="2" r:id="rId2"/>
    <sheet name="10월변동사항" sheetId="3" state="hidden" r:id="rId3"/>
    <sheet name="LIG손해" sheetId="4" r:id="rId4"/>
    <sheet name="MG손해" sheetId="5" r:id="rId5"/>
    <sheet name="동부화재" sheetId="6" r:id="rId6"/>
    <sheet name="롯데손해" sheetId="7" r:id="rId7"/>
    <sheet name="메리츠화재" sheetId="8" r:id="rId8"/>
    <sheet name="삼성화재" sheetId="9" r:id="rId9"/>
    <sheet name="한화손해" sheetId="10" r:id="rId10"/>
    <sheet name="현대해상" sheetId="11" r:id="rId11"/>
    <sheet name="흥국화재" sheetId="14" r:id="rId12"/>
    <sheet name="실손상품" sheetId="13" r:id="rId13"/>
  </sheets>
  <definedNames>
    <definedName name="_xlnm.Print_Area" localSheetId="12">실손상품!$A$1:$O$26</definedName>
  </definedNames>
  <calcPr calcId="145621"/>
</workbook>
</file>

<file path=xl/calcChain.xml><?xml version="1.0" encoding="utf-8"?>
<calcChain xmlns="http://schemas.openxmlformats.org/spreadsheetml/2006/main">
  <c r="M54" i="11" l="1"/>
  <c r="M55" i="11" s="1"/>
  <c r="L54" i="11"/>
  <c r="AA54" i="11" s="1"/>
  <c r="AA55" i="11" s="1"/>
  <c r="H54" i="11"/>
  <c r="H52" i="11"/>
  <c r="L52" i="11" s="1"/>
  <c r="G52" i="11"/>
  <c r="I52" i="11" s="1"/>
  <c r="I50" i="11"/>
  <c r="M50" i="11" s="1"/>
  <c r="H50" i="11"/>
  <c r="G50" i="11"/>
  <c r="K50" i="11" s="1"/>
  <c r="R48" i="11"/>
  <c r="R49" i="11" s="1"/>
  <c r="J48" i="11"/>
  <c r="I48" i="11"/>
  <c r="N48" i="11" s="1"/>
  <c r="H48" i="11"/>
  <c r="L48" i="11" s="1"/>
  <c r="U48" i="11" s="1"/>
  <c r="U49" i="11" s="1"/>
  <c r="G48" i="11"/>
  <c r="K48" i="11" s="1"/>
  <c r="N46" i="11"/>
  <c r="J46" i="11"/>
  <c r="I46" i="11"/>
  <c r="H46" i="11"/>
  <c r="M46" i="11" s="1"/>
  <c r="V46" i="11" s="1"/>
  <c r="V47" i="11" s="1"/>
  <c r="G46" i="11"/>
  <c r="J44" i="11"/>
  <c r="I44" i="11"/>
  <c r="H44" i="11"/>
  <c r="G44" i="11"/>
  <c r="J42" i="11"/>
  <c r="I42" i="11"/>
  <c r="G42" i="11"/>
  <c r="H42" i="11" s="1"/>
  <c r="J40" i="11"/>
  <c r="I40" i="11"/>
  <c r="G40" i="11"/>
  <c r="H40" i="11" s="1"/>
  <c r="J38" i="11"/>
  <c r="I38" i="11"/>
  <c r="G38" i="11"/>
  <c r="H38" i="11" s="1"/>
  <c r="N38" i="11" s="1"/>
  <c r="L37" i="11"/>
  <c r="I36" i="11"/>
  <c r="H36" i="11"/>
  <c r="L36" i="11" s="1"/>
  <c r="G36" i="11"/>
  <c r="J36" i="11" s="1"/>
  <c r="N36" i="11" s="1"/>
  <c r="I34" i="11"/>
  <c r="H34" i="11"/>
  <c r="L34" i="11" s="1"/>
  <c r="G34" i="11"/>
  <c r="J34" i="11" s="1"/>
  <c r="L33" i="11"/>
  <c r="U32" i="11"/>
  <c r="U33" i="11" s="1"/>
  <c r="R32" i="11"/>
  <c r="R33" i="11" s="1"/>
  <c r="I32" i="11"/>
  <c r="N32" i="11" s="1"/>
  <c r="H32" i="11"/>
  <c r="L32" i="11" s="1"/>
  <c r="G32" i="11"/>
  <c r="J32" i="11" s="1"/>
  <c r="L31" i="11"/>
  <c r="U30" i="11"/>
  <c r="U31" i="11" s="1"/>
  <c r="M30" i="11"/>
  <c r="I30" i="11"/>
  <c r="H30" i="11"/>
  <c r="L30" i="11" s="1"/>
  <c r="G30" i="11"/>
  <c r="J30" i="11" s="1"/>
  <c r="N30" i="11" s="1"/>
  <c r="G28" i="11"/>
  <c r="J28" i="11" s="1"/>
  <c r="N37" i="11" l="1"/>
  <c r="T36" i="11"/>
  <c r="T37" i="11" s="1"/>
  <c r="W36" i="11"/>
  <c r="W37" i="11" s="1"/>
  <c r="AC36" i="11"/>
  <c r="AC37" i="11" s="1"/>
  <c r="Z36" i="11"/>
  <c r="Z37" i="11" s="1"/>
  <c r="Q36" i="11"/>
  <c r="Q37" i="11" s="1"/>
  <c r="N31" i="11"/>
  <c r="T30" i="11"/>
  <c r="T31" i="11" s="1"/>
  <c r="W30" i="11"/>
  <c r="W31" i="11" s="1"/>
  <c r="Z30" i="11"/>
  <c r="Z31" i="11" s="1"/>
  <c r="Q30" i="11"/>
  <c r="Q31" i="11" s="1"/>
  <c r="AC30" i="11"/>
  <c r="AC31" i="11" s="1"/>
  <c r="N33" i="11"/>
  <c r="T32" i="11"/>
  <c r="T33" i="11" s="1"/>
  <c r="W32" i="11"/>
  <c r="W33" i="11" s="1"/>
  <c r="Q32" i="11"/>
  <c r="Q33" i="11" s="1"/>
  <c r="AC32" i="11"/>
  <c r="AC33" i="11" s="1"/>
  <c r="Z32" i="11"/>
  <c r="Z33" i="11" s="1"/>
  <c r="AB30" i="11"/>
  <c r="AB31" i="11" s="1"/>
  <c r="P30" i="11"/>
  <c r="P31" i="11" s="1"/>
  <c r="M31" i="11"/>
  <c r="S30" i="11"/>
  <c r="S31" i="11" s="1"/>
  <c r="M40" i="11"/>
  <c r="L40" i="11"/>
  <c r="N40" i="11"/>
  <c r="M42" i="11"/>
  <c r="L42" i="11"/>
  <c r="H28" i="11"/>
  <c r="V30" i="11"/>
  <c r="V31" i="11" s="1"/>
  <c r="M32" i="11"/>
  <c r="X36" i="11"/>
  <c r="X37" i="11" s="1"/>
  <c r="AA36" i="11"/>
  <c r="AA37" i="11" s="1"/>
  <c r="O36" i="11"/>
  <c r="O37" i="11" s="1"/>
  <c r="X34" i="11"/>
  <c r="X35" i="11" s="1"/>
  <c r="AA34" i="11"/>
  <c r="AA35" i="11" s="1"/>
  <c r="O34" i="11"/>
  <c r="O35" i="11" s="1"/>
  <c r="R34" i="11"/>
  <c r="R35" i="11" s="1"/>
  <c r="AC38" i="11"/>
  <c r="AC39" i="11" s="1"/>
  <c r="Q38" i="11"/>
  <c r="Q39" i="11" s="1"/>
  <c r="N39" i="11"/>
  <c r="T38" i="11"/>
  <c r="T39" i="11" s="1"/>
  <c r="W38" i="11"/>
  <c r="W39" i="11" s="1"/>
  <c r="I28" i="11"/>
  <c r="X30" i="11"/>
  <c r="X31" i="11" s="1"/>
  <c r="AA30" i="11"/>
  <c r="AA31" i="11" s="1"/>
  <c r="O30" i="11"/>
  <c r="O31" i="11" s="1"/>
  <c r="Y30" i="11"/>
  <c r="Y31" i="11" s="1"/>
  <c r="M34" i="11"/>
  <c r="U34" i="11"/>
  <c r="U35" i="11" s="1"/>
  <c r="R36" i="11"/>
  <c r="R37" i="11" s="1"/>
  <c r="Z38" i="11"/>
  <c r="Z39" i="11" s="1"/>
  <c r="N49" i="11"/>
  <c r="T48" i="11"/>
  <c r="T49" i="11" s="1"/>
  <c r="W48" i="11"/>
  <c r="W49" i="11" s="1"/>
  <c r="AC48" i="11"/>
  <c r="AC49" i="11" s="1"/>
  <c r="Z48" i="11"/>
  <c r="Z49" i="11" s="1"/>
  <c r="Q48" i="11"/>
  <c r="Q49" i="11" s="1"/>
  <c r="R30" i="11"/>
  <c r="R31" i="11" s="1"/>
  <c r="X32" i="11"/>
  <c r="X33" i="11" s="1"/>
  <c r="AA32" i="11"/>
  <c r="AA33" i="11" s="1"/>
  <c r="O32" i="11"/>
  <c r="O33" i="11" s="1"/>
  <c r="N34" i="11"/>
  <c r="L35" i="11"/>
  <c r="M36" i="11"/>
  <c r="U36" i="11"/>
  <c r="U37" i="11" s="1"/>
  <c r="N42" i="11"/>
  <c r="N44" i="11"/>
  <c r="M51" i="11"/>
  <c r="S50" i="11"/>
  <c r="S51" i="11" s="1"/>
  <c r="V50" i="11"/>
  <c r="V51" i="11" s="1"/>
  <c r="AB50" i="11"/>
  <c r="AB51" i="11" s="1"/>
  <c r="P50" i="11"/>
  <c r="P51" i="11" s="1"/>
  <c r="Y50" i="11"/>
  <c r="Y51" i="11" s="1"/>
  <c r="AC46" i="11"/>
  <c r="AC47" i="11" s="1"/>
  <c r="Q46" i="11"/>
  <c r="Q47" i="11" s="1"/>
  <c r="N47" i="11"/>
  <c r="T46" i="11"/>
  <c r="T47" i="11" s="1"/>
  <c r="X52" i="11"/>
  <c r="X53" i="11" s="1"/>
  <c r="AA52" i="11"/>
  <c r="AA53" i="11" s="1"/>
  <c r="O52" i="11"/>
  <c r="O53" i="11" s="1"/>
  <c r="L53" i="11"/>
  <c r="R52" i="11"/>
  <c r="R53" i="11" s="1"/>
  <c r="U52" i="11"/>
  <c r="U53" i="11" s="1"/>
  <c r="W46" i="11"/>
  <c r="W47" i="11" s="1"/>
  <c r="Y46" i="11"/>
  <c r="Y47" i="11" s="1"/>
  <c r="AB46" i="11"/>
  <c r="AB47" i="11" s="1"/>
  <c r="P46" i="11"/>
  <c r="P47" i="11" s="1"/>
  <c r="M47" i="11"/>
  <c r="Z46" i="11"/>
  <c r="Z47" i="11" s="1"/>
  <c r="M48" i="11"/>
  <c r="M38" i="11"/>
  <c r="L38" i="11"/>
  <c r="M44" i="11"/>
  <c r="S46" i="11"/>
  <c r="S47" i="11" s="1"/>
  <c r="X48" i="11"/>
  <c r="X49" i="11" s="1"/>
  <c r="AA48" i="11"/>
  <c r="AA49" i="11" s="1"/>
  <c r="O48" i="11"/>
  <c r="O49" i="11" s="1"/>
  <c r="L49" i="11"/>
  <c r="L50" i="11"/>
  <c r="M52" i="11"/>
  <c r="P54" i="11"/>
  <c r="P55" i="11" s="1"/>
  <c r="X54" i="11"/>
  <c r="X55" i="11" s="1"/>
  <c r="AB54" i="11"/>
  <c r="AB55" i="11" s="1"/>
  <c r="U54" i="11"/>
  <c r="U55" i="11" s="1"/>
  <c r="Y54" i="11"/>
  <c r="Y55" i="11" s="1"/>
  <c r="L44" i="11"/>
  <c r="L46" i="11"/>
  <c r="J50" i="11"/>
  <c r="N50" i="11" s="1"/>
  <c r="N54" i="11"/>
  <c r="R54" i="11"/>
  <c r="R55" i="11" s="1"/>
  <c r="V54" i="11"/>
  <c r="V55" i="11" s="1"/>
  <c r="L55" i="11"/>
  <c r="O54" i="11"/>
  <c r="O55" i="11" s="1"/>
  <c r="S54" i="11"/>
  <c r="S55" i="11" s="1"/>
  <c r="W50" i="11" l="1"/>
  <c r="W51" i="11" s="1"/>
  <c r="Z50" i="11"/>
  <c r="Z51" i="11" s="1"/>
  <c r="N51" i="11"/>
  <c r="T50" i="11"/>
  <c r="T51" i="11" s="1"/>
  <c r="Q50" i="11"/>
  <c r="Q51" i="11" s="1"/>
  <c r="AC50" i="11"/>
  <c r="AC51" i="11" s="1"/>
  <c r="AB36" i="11"/>
  <c r="AB37" i="11" s="1"/>
  <c r="P36" i="11"/>
  <c r="P37" i="11" s="1"/>
  <c r="M37" i="11"/>
  <c r="S36" i="11"/>
  <c r="S37" i="11" s="1"/>
  <c r="Y36" i="11"/>
  <c r="Y37" i="11" s="1"/>
  <c r="V36" i="11"/>
  <c r="V37" i="11" s="1"/>
  <c r="L28" i="11"/>
  <c r="N28" i="11"/>
  <c r="M28" i="11"/>
  <c r="U40" i="11"/>
  <c r="U41" i="11" s="1"/>
  <c r="X40" i="11"/>
  <c r="X41" i="11" s="1"/>
  <c r="L41" i="11"/>
  <c r="AA40" i="11"/>
  <c r="AA41" i="11" s="1"/>
  <c r="O40" i="11"/>
  <c r="O41" i="11" s="1"/>
  <c r="R40" i="11"/>
  <c r="R41" i="11" s="1"/>
  <c r="AB34" i="11"/>
  <c r="AB35" i="11" s="1"/>
  <c r="P34" i="11"/>
  <c r="P35" i="11" s="1"/>
  <c r="M35" i="11"/>
  <c r="S34" i="11"/>
  <c r="S35" i="11" s="1"/>
  <c r="V34" i="11"/>
  <c r="V35" i="11" s="1"/>
  <c r="Y34" i="11"/>
  <c r="Y35" i="11" s="1"/>
  <c r="U46" i="11"/>
  <c r="U47" i="11" s="1"/>
  <c r="X46" i="11"/>
  <c r="X47" i="11" s="1"/>
  <c r="AA46" i="11"/>
  <c r="AA47" i="11" s="1"/>
  <c r="R46" i="11"/>
  <c r="R47" i="11" s="1"/>
  <c r="O46" i="11"/>
  <c r="O47" i="11" s="1"/>
  <c r="L47" i="11"/>
  <c r="AB48" i="11"/>
  <c r="AB49" i="11" s="1"/>
  <c r="P48" i="11"/>
  <c r="P49" i="11" s="1"/>
  <c r="M49" i="11"/>
  <c r="S48" i="11"/>
  <c r="S49" i="11" s="1"/>
  <c r="V48" i="11"/>
  <c r="V49" i="11" s="1"/>
  <c r="Y48" i="11"/>
  <c r="Y49" i="11" s="1"/>
  <c r="AC44" i="11"/>
  <c r="AC45" i="11" s="1"/>
  <c r="Q44" i="11"/>
  <c r="Q45" i="11" s="1"/>
  <c r="N45" i="11"/>
  <c r="T44" i="11"/>
  <c r="T45" i="11" s="1"/>
  <c r="W44" i="11"/>
  <c r="W45" i="11" s="1"/>
  <c r="Z44" i="11"/>
  <c r="Z45" i="11" s="1"/>
  <c r="U42" i="11"/>
  <c r="U43" i="11" s="1"/>
  <c r="X42" i="11"/>
  <c r="X43" i="11" s="1"/>
  <c r="AA42" i="11"/>
  <c r="AA43" i="11" s="1"/>
  <c r="R42" i="11"/>
  <c r="R43" i="11" s="1"/>
  <c r="L43" i="11"/>
  <c r="O42" i="11"/>
  <c r="O43" i="11" s="1"/>
  <c r="Y40" i="11"/>
  <c r="Y41" i="11" s="1"/>
  <c r="AB40" i="11"/>
  <c r="AB41" i="11" s="1"/>
  <c r="P40" i="11"/>
  <c r="P41" i="11" s="1"/>
  <c r="V40" i="11"/>
  <c r="V41" i="11" s="1"/>
  <c r="S40" i="11"/>
  <c r="S41" i="11" s="1"/>
  <c r="M41" i="11"/>
  <c r="W54" i="11"/>
  <c r="W55" i="11" s="1"/>
  <c r="Z54" i="11"/>
  <c r="Z55" i="11" s="1"/>
  <c r="AC54" i="11"/>
  <c r="AC55" i="11" s="1"/>
  <c r="Q54" i="11"/>
  <c r="Q55" i="11" s="1"/>
  <c r="N55" i="11"/>
  <c r="T54" i="11"/>
  <c r="T55" i="11" s="1"/>
  <c r="Y44" i="11"/>
  <c r="Y45" i="11" s="1"/>
  <c r="AB44" i="11"/>
  <c r="AB45" i="11" s="1"/>
  <c r="P44" i="11"/>
  <c r="P45" i="11" s="1"/>
  <c r="M45" i="11"/>
  <c r="V44" i="11"/>
  <c r="V45" i="11" s="1"/>
  <c r="S44" i="11"/>
  <c r="S45" i="11" s="1"/>
  <c r="AC42" i="11"/>
  <c r="AC43" i="11" s="1"/>
  <c r="Q42" i="11"/>
  <c r="Q43" i="11" s="1"/>
  <c r="N43" i="11"/>
  <c r="T42" i="11"/>
  <c r="T43" i="11" s="1"/>
  <c r="Z42" i="11"/>
  <c r="Z43" i="11" s="1"/>
  <c r="W42" i="11"/>
  <c r="W43" i="11" s="1"/>
  <c r="N35" i="11"/>
  <c r="T34" i="11"/>
  <c r="T35" i="11" s="1"/>
  <c r="W34" i="11"/>
  <c r="W35" i="11" s="1"/>
  <c r="AC34" i="11"/>
  <c r="AC35" i="11" s="1"/>
  <c r="Z34" i="11"/>
  <c r="Z35" i="11" s="1"/>
  <c r="Q34" i="11"/>
  <c r="Q35" i="11" s="1"/>
  <c r="AB32" i="11"/>
  <c r="AB33" i="11" s="1"/>
  <c r="P32" i="11"/>
  <c r="P33" i="11" s="1"/>
  <c r="M33" i="11"/>
  <c r="S32" i="11"/>
  <c r="S33" i="11" s="1"/>
  <c r="Y32" i="11"/>
  <c r="Y33" i="11" s="1"/>
  <c r="V32" i="11"/>
  <c r="V33" i="11" s="1"/>
  <c r="Y42" i="11"/>
  <c r="Y43" i="11" s="1"/>
  <c r="AB42" i="11"/>
  <c r="AB43" i="11" s="1"/>
  <c r="P42" i="11"/>
  <c r="P43" i="11" s="1"/>
  <c r="S42" i="11"/>
  <c r="S43" i="11" s="1"/>
  <c r="M43" i="11"/>
  <c r="V42" i="11"/>
  <c r="V43" i="11" s="1"/>
  <c r="AA50" i="11"/>
  <c r="AA51" i="11" s="1"/>
  <c r="O50" i="11"/>
  <c r="O51" i="11" s="1"/>
  <c r="L51" i="11"/>
  <c r="R50" i="11"/>
  <c r="R51" i="11" s="1"/>
  <c r="X50" i="11"/>
  <c r="X51" i="11" s="1"/>
  <c r="U50" i="11"/>
  <c r="U51" i="11" s="1"/>
  <c r="Y38" i="11"/>
  <c r="Y39" i="11" s="1"/>
  <c r="AB38" i="11"/>
  <c r="AB39" i="11" s="1"/>
  <c r="P38" i="11"/>
  <c r="P39" i="11" s="1"/>
  <c r="M39" i="11"/>
  <c r="V38" i="11"/>
  <c r="V39" i="11" s="1"/>
  <c r="S38" i="11"/>
  <c r="S39" i="11" s="1"/>
  <c r="U44" i="11"/>
  <c r="U45" i="11" s="1"/>
  <c r="X44" i="11"/>
  <c r="X45" i="11" s="1"/>
  <c r="O44" i="11"/>
  <c r="O45" i="11" s="1"/>
  <c r="L45" i="11"/>
  <c r="AA44" i="11"/>
  <c r="AA45" i="11" s="1"/>
  <c r="R44" i="11"/>
  <c r="R45" i="11" s="1"/>
  <c r="AB52" i="11"/>
  <c r="AB53" i="11" s="1"/>
  <c r="P52" i="11"/>
  <c r="P53" i="11" s="1"/>
  <c r="M53" i="11"/>
  <c r="S52" i="11"/>
  <c r="S53" i="11" s="1"/>
  <c r="V52" i="11"/>
  <c r="V53" i="11" s="1"/>
  <c r="N52" i="11"/>
  <c r="Y52" i="11"/>
  <c r="Y53" i="11" s="1"/>
  <c r="U38" i="11"/>
  <c r="U39" i="11" s="1"/>
  <c r="X38" i="11"/>
  <c r="X39" i="11" s="1"/>
  <c r="O38" i="11"/>
  <c r="O39" i="11" s="1"/>
  <c r="L39" i="11"/>
  <c r="AA38" i="11"/>
  <c r="AA39" i="11" s="1"/>
  <c r="R38" i="11"/>
  <c r="R39" i="11" s="1"/>
  <c r="AC40" i="11"/>
  <c r="AC41" i="11" s="1"/>
  <c r="Q40" i="11"/>
  <c r="Q41" i="11" s="1"/>
  <c r="N41" i="11"/>
  <c r="T40" i="11"/>
  <c r="T41" i="11" s="1"/>
  <c r="Z40" i="11"/>
  <c r="Z41" i="11" s="1"/>
  <c r="W40" i="11"/>
  <c r="W41" i="11" s="1"/>
  <c r="N53" i="11" l="1"/>
  <c r="T52" i="11"/>
  <c r="T53" i="11" s="1"/>
  <c r="W52" i="11"/>
  <c r="W53" i="11" s="1"/>
  <c r="Z52" i="11"/>
  <c r="Z53" i="11" s="1"/>
  <c r="AC52" i="11"/>
  <c r="AC53" i="11" s="1"/>
  <c r="Q52" i="11"/>
  <c r="Q53" i="11" s="1"/>
  <c r="AB28" i="11"/>
  <c r="AB29" i="11" s="1"/>
  <c r="M29" i="11"/>
  <c r="S28" i="11"/>
  <c r="S29" i="11" s="1"/>
  <c r="V28" i="11"/>
  <c r="V29" i="11" s="1"/>
  <c r="P28" i="11"/>
  <c r="P29" i="11" s="1"/>
  <c r="Y28" i="11"/>
  <c r="Y29" i="11" s="1"/>
  <c r="N29" i="11"/>
  <c r="W28" i="11"/>
  <c r="W29" i="11" s="1"/>
  <c r="AC28" i="11"/>
  <c r="AC29" i="11" s="1"/>
  <c r="Q28" i="11"/>
  <c r="Q29" i="11" s="1"/>
  <c r="Z28" i="11"/>
  <c r="Z29" i="11" s="1"/>
  <c r="T28" i="11"/>
  <c r="T29" i="11" s="1"/>
  <c r="AA28" i="11"/>
  <c r="AA29" i="11" s="1"/>
  <c r="O28" i="11"/>
  <c r="O29" i="11" s="1"/>
  <c r="U28" i="11"/>
  <c r="U29" i="11" s="1"/>
  <c r="L29" i="11"/>
  <c r="R28" i="11"/>
  <c r="R29" i="11" s="1"/>
  <c r="X28" i="11"/>
  <c r="X29" i="11" s="1"/>
  <c r="O49" i="9" l="1"/>
  <c r="X48" i="9"/>
  <c r="X49" i="9" s="1"/>
  <c r="U48" i="9"/>
  <c r="U49" i="9" s="1"/>
  <c r="Q48" i="9"/>
  <c r="Z48" i="9" s="1"/>
  <c r="Z49" i="9" s="1"/>
  <c r="P48" i="9"/>
  <c r="P49" i="9" s="1"/>
  <c r="O48" i="9"/>
  <c r="AD48" i="9" s="1"/>
  <c r="AD49" i="9" s="1"/>
  <c r="G48" i="9"/>
  <c r="J46" i="9"/>
  <c r="H46" i="9"/>
  <c r="Q46" i="9" s="1"/>
  <c r="G46" i="9"/>
  <c r="O46" i="9" s="1"/>
  <c r="F46" i="9"/>
  <c r="J44" i="9"/>
  <c r="H44" i="9"/>
  <c r="Q44" i="9" s="1"/>
  <c r="G44" i="9"/>
  <c r="F44" i="9"/>
  <c r="J42" i="9"/>
  <c r="H42" i="9"/>
  <c r="Q42" i="9" s="1"/>
  <c r="G42" i="9"/>
  <c r="O42" i="9" s="1"/>
  <c r="F42" i="9"/>
  <c r="N40" i="9"/>
  <c r="M40" i="9"/>
  <c r="K40" i="9"/>
  <c r="L40" i="9" s="1"/>
  <c r="J40" i="9"/>
  <c r="G40" i="9"/>
  <c r="F40" i="9"/>
  <c r="M38" i="9"/>
  <c r="L38" i="9"/>
  <c r="K38" i="9"/>
  <c r="N38" i="9" s="1"/>
  <c r="F38" i="9"/>
  <c r="J38" i="9" s="1"/>
  <c r="F36" i="9"/>
  <c r="F34" i="9"/>
  <c r="J32" i="9"/>
  <c r="H32" i="9"/>
  <c r="G32" i="9"/>
  <c r="Q32" i="9" s="1"/>
  <c r="AC32" i="9" s="1"/>
  <c r="AC33" i="9" s="1"/>
  <c r="F32" i="9"/>
  <c r="J27" i="9"/>
  <c r="H27" i="9"/>
  <c r="G27" i="9"/>
  <c r="Q27" i="9" s="1"/>
  <c r="F27" i="9"/>
  <c r="I23" i="9"/>
  <c r="H23" i="9"/>
  <c r="F23" i="9"/>
  <c r="J23" i="9" s="1"/>
  <c r="M36" i="7"/>
  <c r="L36" i="7"/>
  <c r="Z27" i="9" l="1"/>
  <c r="Z28" i="9" s="1"/>
  <c r="AC27" i="9"/>
  <c r="AC28" i="9" s="1"/>
  <c r="T27" i="9"/>
  <c r="T28" i="9" s="1"/>
  <c r="Q28" i="9"/>
  <c r="W27" i="9"/>
  <c r="W28" i="9" s="1"/>
  <c r="AF27" i="9"/>
  <c r="AF28" i="9" s="1"/>
  <c r="Q43" i="9"/>
  <c r="W42" i="9"/>
  <c r="W43" i="9" s="1"/>
  <c r="AF42" i="9"/>
  <c r="AF43" i="9" s="1"/>
  <c r="T42" i="9"/>
  <c r="T43" i="9" s="1"/>
  <c r="AC42" i="9"/>
  <c r="AC43" i="9" s="1"/>
  <c r="Z42" i="9"/>
  <c r="Z43" i="9" s="1"/>
  <c r="Q45" i="9"/>
  <c r="W44" i="9"/>
  <c r="W45" i="9" s="1"/>
  <c r="Z44" i="9"/>
  <c r="Z45" i="9" s="1"/>
  <c r="AC44" i="9"/>
  <c r="AC45" i="9" s="1"/>
  <c r="AF44" i="9"/>
  <c r="AF45" i="9" s="1"/>
  <c r="T44" i="9"/>
  <c r="T45" i="9" s="1"/>
  <c r="P27" i="9"/>
  <c r="W32" i="9"/>
  <c r="W33" i="9" s="1"/>
  <c r="G23" i="9"/>
  <c r="O27" i="9"/>
  <c r="O32" i="9"/>
  <c r="T32" i="9"/>
  <c r="T33" i="9" s="1"/>
  <c r="Z32" i="9"/>
  <c r="Z33" i="9" s="1"/>
  <c r="AF32" i="9"/>
  <c r="AF33" i="9" s="1"/>
  <c r="H36" i="9"/>
  <c r="J36" i="9"/>
  <c r="O40" i="9"/>
  <c r="P40" i="9"/>
  <c r="AA42" i="9"/>
  <c r="AA43" i="9" s="1"/>
  <c r="AD42" i="9"/>
  <c r="AD43" i="9" s="1"/>
  <c r="X42" i="9"/>
  <c r="X43" i="9" s="1"/>
  <c r="R42" i="9"/>
  <c r="R43" i="9" s="1"/>
  <c r="O44" i="9"/>
  <c r="P32" i="9"/>
  <c r="Q33" i="9"/>
  <c r="G36" i="9"/>
  <c r="G38" i="9"/>
  <c r="H34" i="9"/>
  <c r="J34" i="9"/>
  <c r="G34" i="9"/>
  <c r="Q40" i="9"/>
  <c r="U42" i="9"/>
  <c r="U43" i="9" s="1"/>
  <c r="AA46" i="9"/>
  <c r="AA47" i="9" s="1"/>
  <c r="AD46" i="9"/>
  <c r="AD47" i="9" s="1"/>
  <c r="R46" i="9"/>
  <c r="R47" i="9" s="1"/>
  <c r="O47" i="9"/>
  <c r="U46" i="9"/>
  <c r="U47" i="9" s="1"/>
  <c r="X46" i="9"/>
  <c r="X47" i="9" s="1"/>
  <c r="O43" i="9"/>
  <c r="Q47" i="9"/>
  <c r="W46" i="9"/>
  <c r="W47" i="9" s="1"/>
  <c r="Z46" i="9"/>
  <c r="Z47" i="9" s="1"/>
  <c r="AC46" i="9"/>
  <c r="AC47" i="9" s="1"/>
  <c r="AF46" i="9"/>
  <c r="AF47" i="9" s="1"/>
  <c r="T46" i="9"/>
  <c r="T47" i="9" s="1"/>
  <c r="P42" i="9"/>
  <c r="P44" i="9"/>
  <c r="P46" i="9"/>
  <c r="S48" i="9"/>
  <c r="S49" i="9" s="1"/>
  <c r="W48" i="9"/>
  <c r="W49" i="9" s="1"/>
  <c r="AA48" i="9"/>
  <c r="AA49" i="9" s="1"/>
  <c r="AE48" i="9"/>
  <c r="AE49" i="9" s="1"/>
  <c r="Q49" i="9"/>
  <c r="T48" i="9"/>
  <c r="T49" i="9" s="1"/>
  <c r="AB48" i="9"/>
  <c r="AB49" i="9" s="1"/>
  <c r="AF48" i="9"/>
  <c r="AF49" i="9" s="1"/>
  <c r="Y48" i="9"/>
  <c r="Y49" i="9" s="1"/>
  <c r="AC48" i="9"/>
  <c r="AC49" i="9" s="1"/>
  <c r="R48" i="9"/>
  <c r="R49" i="9" s="1"/>
  <c r="V48" i="9"/>
  <c r="V49" i="9" s="1"/>
  <c r="Q41" i="9" l="1"/>
  <c r="W40" i="9"/>
  <c r="W41" i="9" s="1"/>
  <c r="AF40" i="9"/>
  <c r="AF41" i="9" s="1"/>
  <c r="T40" i="9"/>
  <c r="T41" i="9" s="1"/>
  <c r="Z40" i="9"/>
  <c r="Z41" i="9" s="1"/>
  <c r="AC40" i="9"/>
  <c r="AC41" i="9" s="1"/>
  <c r="O38" i="9"/>
  <c r="Q38" i="9"/>
  <c r="P38" i="9"/>
  <c r="AA44" i="9"/>
  <c r="AA45" i="9" s="1"/>
  <c r="AD44" i="9"/>
  <c r="AD45" i="9" s="1"/>
  <c r="R44" i="9"/>
  <c r="R45" i="9" s="1"/>
  <c r="O45" i="9"/>
  <c r="U44" i="9"/>
  <c r="U45" i="9" s="1"/>
  <c r="X44" i="9"/>
  <c r="X45" i="9" s="1"/>
  <c r="P28" i="9"/>
  <c r="AB27" i="9"/>
  <c r="AB28" i="9" s="1"/>
  <c r="AE27" i="9"/>
  <c r="AE28" i="9" s="1"/>
  <c r="S27" i="9"/>
  <c r="S28" i="9" s="1"/>
  <c r="V27" i="9"/>
  <c r="V28" i="9" s="1"/>
  <c r="Y27" i="9"/>
  <c r="Y28" i="9" s="1"/>
  <c r="Q36" i="9"/>
  <c r="O36" i="9"/>
  <c r="P36" i="9"/>
  <c r="AE40" i="9"/>
  <c r="AE41" i="9" s="1"/>
  <c r="S40" i="9"/>
  <c r="S41" i="9" s="1"/>
  <c r="AB40" i="9"/>
  <c r="AB41" i="9" s="1"/>
  <c r="P41" i="9"/>
  <c r="V40" i="9"/>
  <c r="V41" i="9" s="1"/>
  <c r="Y40" i="9"/>
  <c r="Y41" i="9" s="1"/>
  <c r="AA40" i="9"/>
  <c r="AA41" i="9" s="1"/>
  <c r="X40" i="9"/>
  <c r="X41" i="9" s="1"/>
  <c r="R40" i="9"/>
  <c r="R41" i="9" s="1"/>
  <c r="O41" i="9"/>
  <c r="AD40" i="9"/>
  <c r="AD41" i="9" s="1"/>
  <c r="U40" i="9"/>
  <c r="U41" i="9" s="1"/>
  <c r="O23" i="9"/>
  <c r="Q23" i="9"/>
  <c r="P23" i="9"/>
  <c r="AE46" i="9"/>
  <c r="AE47" i="9" s="1"/>
  <c r="S46" i="9"/>
  <c r="S47" i="9" s="1"/>
  <c r="P47" i="9"/>
  <c r="V46" i="9"/>
  <c r="V47" i="9" s="1"/>
  <c r="Y46" i="9"/>
  <c r="Y47" i="9" s="1"/>
  <c r="AB46" i="9"/>
  <c r="AB47" i="9" s="1"/>
  <c r="Y32" i="9"/>
  <c r="Y33" i="9" s="1"/>
  <c r="P33" i="9"/>
  <c r="AE32" i="9"/>
  <c r="AE33" i="9" s="1"/>
  <c r="S32" i="9"/>
  <c r="S33" i="9" s="1"/>
  <c r="AB32" i="9"/>
  <c r="AB33" i="9" s="1"/>
  <c r="V32" i="9"/>
  <c r="V33" i="9" s="1"/>
  <c r="O33" i="9"/>
  <c r="U32" i="9"/>
  <c r="U33" i="9" s="1"/>
  <c r="AD32" i="9"/>
  <c r="AD33" i="9" s="1"/>
  <c r="X32" i="9"/>
  <c r="X33" i="9" s="1"/>
  <c r="R32" i="9"/>
  <c r="R33" i="9" s="1"/>
  <c r="AA32" i="9"/>
  <c r="AA33" i="9" s="1"/>
  <c r="AE44" i="9"/>
  <c r="AE45" i="9" s="1"/>
  <c r="S44" i="9"/>
  <c r="S45" i="9" s="1"/>
  <c r="P45" i="9"/>
  <c r="V44" i="9"/>
  <c r="V45" i="9" s="1"/>
  <c r="Y44" i="9"/>
  <c r="Y45" i="9" s="1"/>
  <c r="AB44" i="9"/>
  <c r="AB45" i="9" s="1"/>
  <c r="AE42" i="9"/>
  <c r="AE43" i="9" s="1"/>
  <c r="S42" i="9"/>
  <c r="S43" i="9" s="1"/>
  <c r="P43" i="9"/>
  <c r="AB42" i="9"/>
  <c r="AB43" i="9" s="1"/>
  <c r="V42" i="9"/>
  <c r="V43" i="9" s="1"/>
  <c r="Y42" i="9"/>
  <c r="Y43" i="9" s="1"/>
  <c r="Q34" i="9"/>
  <c r="O34" i="9"/>
  <c r="P34" i="9"/>
  <c r="R27" i="9"/>
  <c r="R28" i="9" s="1"/>
  <c r="U27" i="9"/>
  <c r="U28" i="9" s="1"/>
  <c r="O28" i="9"/>
  <c r="AA27" i="9"/>
  <c r="AA28" i="9" s="1"/>
  <c r="AD27" i="9"/>
  <c r="AD28" i="9" s="1"/>
  <c r="X27" i="9"/>
  <c r="X28" i="9" s="1"/>
  <c r="Y34" i="9" l="1"/>
  <c r="Y35" i="9" s="1"/>
  <c r="P35" i="9"/>
  <c r="V34" i="9"/>
  <c r="V35" i="9" s="1"/>
  <c r="AE34" i="9"/>
  <c r="AE35" i="9" s="1"/>
  <c r="AB34" i="9"/>
  <c r="AB35" i="9" s="1"/>
  <c r="S34" i="9"/>
  <c r="S35" i="9" s="1"/>
  <c r="Y36" i="9"/>
  <c r="Y37" i="9" s="1"/>
  <c r="P37" i="9"/>
  <c r="V36" i="9"/>
  <c r="V37" i="9" s="1"/>
  <c r="AE36" i="9"/>
  <c r="AE37" i="9" s="1"/>
  <c r="S36" i="9"/>
  <c r="S37" i="9" s="1"/>
  <c r="AB36" i="9"/>
  <c r="AB37" i="9" s="1"/>
  <c r="Z38" i="9"/>
  <c r="Z39" i="9" s="1"/>
  <c r="Q39" i="9"/>
  <c r="W38" i="9"/>
  <c r="W39" i="9" s="1"/>
  <c r="AC38" i="9"/>
  <c r="AC39" i="9" s="1"/>
  <c r="T38" i="9"/>
  <c r="T39" i="9" s="1"/>
  <c r="AF38" i="9"/>
  <c r="AF39" i="9" s="1"/>
  <c r="AC36" i="9"/>
  <c r="AC37" i="9" s="1"/>
  <c r="Z36" i="9"/>
  <c r="Z37" i="9" s="1"/>
  <c r="W36" i="9"/>
  <c r="W37" i="9" s="1"/>
  <c r="T36" i="9"/>
  <c r="T37" i="9" s="1"/>
  <c r="AF36" i="9"/>
  <c r="AF37" i="9" s="1"/>
  <c r="Q37" i="9"/>
  <c r="O35" i="9"/>
  <c r="U34" i="9"/>
  <c r="U35" i="9" s="1"/>
  <c r="AD34" i="9"/>
  <c r="AD35" i="9" s="1"/>
  <c r="R34" i="9"/>
  <c r="R35" i="9" s="1"/>
  <c r="X34" i="9"/>
  <c r="X35" i="9" s="1"/>
  <c r="AA34" i="9"/>
  <c r="AA35" i="9" s="1"/>
  <c r="P24" i="9"/>
  <c r="V23" i="9"/>
  <c r="V24" i="9" s="1"/>
  <c r="AB23" i="9"/>
  <c r="AB24" i="9" s="1"/>
  <c r="AE23" i="9"/>
  <c r="AE24" i="9" s="1"/>
  <c r="S23" i="9"/>
  <c r="S24" i="9" s="1"/>
  <c r="Y23" i="9"/>
  <c r="Y24" i="9" s="1"/>
  <c r="O37" i="9"/>
  <c r="U36" i="9"/>
  <c r="U37" i="9" s="1"/>
  <c r="AD36" i="9"/>
  <c r="AD37" i="9" s="1"/>
  <c r="R36" i="9"/>
  <c r="R37" i="9" s="1"/>
  <c r="AA36" i="9"/>
  <c r="AA37" i="9" s="1"/>
  <c r="X36" i="9"/>
  <c r="X37" i="9" s="1"/>
  <c r="AD38" i="9"/>
  <c r="AD39" i="9" s="1"/>
  <c r="R38" i="9"/>
  <c r="R39" i="9" s="1"/>
  <c r="AA38" i="9"/>
  <c r="AA39" i="9" s="1"/>
  <c r="O39" i="9"/>
  <c r="X38" i="9"/>
  <c r="X39" i="9" s="1"/>
  <c r="U38" i="9"/>
  <c r="U39" i="9" s="1"/>
  <c r="AC34" i="9"/>
  <c r="AC35" i="9" s="1"/>
  <c r="Z34" i="9"/>
  <c r="Z35" i="9" s="1"/>
  <c r="W34" i="9"/>
  <c r="W35" i="9" s="1"/>
  <c r="Q35" i="9"/>
  <c r="AF34" i="9"/>
  <c r="AF35" i="9" s="1"/>
  <c r="T34" i="9"/>
  <c r="T35" i="9" s="1"/>
  <c r="AC23" i="9"/>
  <c r="AC24" i="9" s="1"/>
  <c r="T23" i="9"/>
  <c r="T24" i="9" s="1"/>
  <c r="Q24" i="9"/>
  <c r="W23" i="9"/>
  <c r="W24" i="9" s="1"/>
  <c r="Z23" i="9"/>
  <c r="Z24" i="9" s="1"/>
  <c r="AF23" i="9"/>
  <c r="AF24" i="9" s="1"/>
  <c r="O24" i="9"/>
  <c r="U23" i="9"/>
  <c r="U24" i="9" s="1"/>
  <c r="X23" i="9"/>
  <c r="X24" i="9" s="1"/>
  <c r="AA23" i="9"/>
  <c r="AA24" i="9" s="1"/>
  <c r="AD23" i="9"/>
  <c r="AD24" i="9" s="1"/>
  <c r="R23" i="9"/>
  <c r="R24" i="9" s="1"/>
  <c r="P39" i="9"/>
  <c r="V38" i="9"/>
  <c r="V39" i="9" s="1"/>
  <c r="AE38" i="9"/>
  <c r="AE39" i="9" s="1"/>
  <c r="S38" i="9"/>
  <c r="S39" i="9" s="1"/>
  <c r="Y38" i="9"/>
  <c r="Y39" i="9" s="1"/>
  <c r="AB38" i="9"/>
  <c r="AB39" i="9" s="1"/>
  <c r="K41" i="8" l="1"/>
  <c r="M41" i="8" s="1"/>
  <c r="L41" i="8" l="1"/>
  <c r="AB48" i="10"/>
  <c r="P48" i="10"/>
  <c r="M48" i="10"/>
  <c r="AB47" i="10"/>
  <c r="V47" i="10"/>
  <c r="V48" i="10" s="1"/>
  <c r="S47" i="10"/>
  <c r="S48" i="10" s="1"/>
  <c r="P47" i="10"/>
  <c r="O47" i="10"/>
  <c r="X47" i="10" s="1"/>
  <c r="X48" i="10" s="1"/>
  <c r="N47" i="10"/>
  <c r="N48" i="10" s="1"/>
  <c r="M47" i="10"/>
  <c r="Y47" i="10" s="1"/>
  <c r="Y48" i="10" s="1"/>
  <c r="I45" i="10"/>
  <c r="H45" i="10"/>
  <c r="G45" i="10"/>
  <c r="O45" i="10" s="1"/>
  <c r="F45" i="10"/>
  <c r="I43" i="10"/>
  <c r="H43" i="10"/>
  <c r="G43" i="10"/>
  <c r="O43" i="10" s="1"/>
  <c r="F43" i="10"/>
  <c r="K41" i="10"/>
  <c r="I41" i="10"/>
  <c r="F41" i="10"/>
  <c r="L41" i="10" s="1"/>
  <c r="K39" i="10"/>
  <c r="F39" i="10"/>
  <c r="L37" i="10"/>
  <c r="F37" i="10"/>
  <c r="G37" i="10" s="1"/>
  <c r="F35" i="10"/>
  <c r="F33" i="10"/>
  <c r="G33" i="10" s="1"/>
  <c r="M31" i="10"/>
  <c r="G31" i="10"/>
  <c r="F31" i="10"/>
  <c r="H31" i="10" s="1"/>
  <c r="I29" i="10"/>
  <c r="G29" i="10"/>
  <c r="F29" i="10"/>
  <c r="H29" i="10" s="1"/>
  <c r="I27" i="10"/>
  <c r="H27" i="10"/>
  <c r="G27" i="10"/>
  <c r="F27" i="10"/>
  <c r="I25" i="10"/>
  <c r="G25" i="10"/>
  <c r="F25" i="10"/>
  <c r="H25" i="10" s="1"/>
  <c r="I23" i="10"/>
  <c r="G23" i="10"/>
  <c r="F23" i="10"/>
  <c r="H23" i="10" s="1"/>
  <c r="O37" i="10" l="1"/>
  <c r="M37" i="10"/>
  <c r="M23" i="10"/>
  <c r="N25" i="10"/>
  <c r="N27" i="10"/>
  <c r="N31" i="10"/>
  <c r="N29" i="10"/>
  <c r="N23" i="10"/>
  <c r="I35" i="10"/>
  <c r="J35" i="10"/>
  <c r="O23" i="10"/>
  <c r="O25" i="10"/>
  <c r="O27" i="10"/>
  <c r="O29" i="10"/>
  <c r="I31" i="10"/>
  <c r="G35" i="10"/>
  <c r="G39" i="10"/>
  <c r="I39" i="10"/>
  <c r="M32" i="10"/>
  <c r="S31" i="10"/>
  <c r="S32" i="10" s="1"/>
  <c r="AB31" i="10"/>
  <c r="AB32" i="10" s="1"/>
  <c r="P31" i="10"/>
  <c r="P32" i="10" s="1"/>
  <c r="M25" i="10"/>
  <c r="M27" i="10"/>
  <c r="M29" i="10"/>
  <c r="V31" i="10"/>
  <c r="V32" i="10" s="1"/>
  <c r="L39" i="10"/>
  <c r="O31" i="10"/>
  <c r="Y31" i="10"/>
  <c r="Y32" i="10" s="1"/>
  <c r="H33" i="10"/>
  <c r="M33" i="10" s="1"/>
  <c r="I33" i="10"/>
  <c r="I37" i="10"/>
  <c r="K37" i="10"/>
  <c r="N37" i="10" s="1"/>
  <c r="X43" i="10"/>
  <c r="X44" i="10" s="1"/>
  <c r="AA43" i="10"/>
  <c r="AA44" i="10" s="1"/>
  <c r="AD43" i="10"/>
  <c r="AD44" i="10" s="1"/>
  <c r="R43" i="10"/>
  <c r="R44" i="10" s="1"/>
  <c r="O44" i="10"/>
  <c r="U43" i="10"/>
  <c r="U44" i="10" s="1"/>
  <c r="X45" i="10"/>
  <c r="X46" i="10" s="1"/>
  <c r="AA45" i="10"/>
  <c r="AA46" i="10" s="1"/>
  <c r="AD45" i="10"/>
  <c r="AD46" i="10" s="1"/>
  <c r="R45" i="10"/>
  <c r="R46" i="10" s="1"/>
  <c r="O46" i="10"/>
  <c r="U45" i="10"/>
  <c r="U46" i="10" s="1"/>
  <c r="G41" i="10"/>
  <c r="M43" i="10"/>
  <c r="M45" i="10"/>
  <c r="Q47" i="10"/>
  <c r="Q48" i="10" s="1"/>
  <c r="U47" i="10"/>
  <c r="U48" i="10" s="1"/>
  <c r="AC47" i="10"/>
  <c r="AC48" i="10" s="1"/>
  <c r="O48" i="10"/>
  <c r="N43" i="10"/>
  <c r="N45" i="10"/>
  <c r="R47" i="10"/>
  <c r="R48" i="10" s="1"/>
  <c r="Z47" i="10"/>
  <c r="Z48" i="10" s="1"/>
  <c r="AD47" i="10"/>
  <c r="AD48" i="10" s="1"/>
  <c r="W47" i="10"/>
  <c r="W48" i="10" s="1"/>
  <c r="AA47" i="10"/>
  <c r="AA48" i="10" s="1"/>
  <c r="T47" i="10"/>
  <c r="T48" i="10" s="1"/>
  <c r="G40" i="7"/>
  <c r="J40" i="7" s="1"/>
  <c r="M38" i="7"/>
  <c r="L38" i="7"/>
  <c r="G38" i="7"/>
  <c r="H38" i="7" s="1"/>
  <c r="O38" i="7" s="1"/>
  <c r="G36" i="7"/>
  <c r="I36" i="7" s="1"/>
  <c r="M34" i="7"/>
  <c r="L34" i="7"/>
  <c r="G34" i="7"/>
  <c r="H34" i="7" s="1"/>
  <c r="G32" i="7"/>
  <c r="H30" i="7"/>
  <c r="G30" i="7"/>
  <c r="J30" i="7" s="1"/>
  <c r="G28" i="7"/>
  <c r="K28" i="7" s="1"/>
  <c r="G26" i="7"/>
  <c r="H26" i="7" s="1"/>
  <c r="G24" i="7"/>
  <c r="I24" i="7" s="1"/>
  <c r="J22" i="7"/>
  <c r="G22" i="7"/>
  <c r="K22" i="7" s="1"/>
  <c r="M34" i="10" l="1"/>
  <c r="S33" i="10"/>
  <c r="S34" i="10" s="1"/>
  <c r="AB33" i="10"/>
  <c r="AB34" i="10" s="1"/>
  <c r="P33" i="10"/>
  <c r="P34" i="10" s="1"/>
  <c r="Y33" i="10"/>
  <c r="Y34" i="10" s="1"/>
  <c r="V33" i="10"/>
  <c r="V34" i="10" s="1"/>
  <c r="Z37" i="10"/>
  <c r="Z38" i="10" s="1"/>
  <c r="W37" i="10"/>
  <c r="W38" i="10" s="1"/>
  <c r="N38" i="10"/>
  <c r="AC37" i="10"/>
  <c r="AC38" i="10" s="1"/>
  <c r="T37" i="10"/>
  <c r="T38" i="10" s="1"/>
  <c r="Q37" i="10"/>
  <c r="Q38" i="10" s="1"/>
  <c r="AC27" i="10"/>
  <c r="AC28" i="10" s="1"/>
  <c r="Q27" i="10"/>
  <c r="Q28" i="10" s="1"/>
  <c r="W27" i="10"/>
  <c r="W28" i="10" s="1"/>
  <c r="Z27" i="10"/>
  <c r="Z28" i="10" s="1"/>
  <c r="T27" i="10"/>
  <c r="T28" i="10" s="1"/>
  <c r="N28" i="10"/>
  <c r="M39" i="10"/>
  <c r="N39" i="10"/>
  <c r="O39" i="10"/>
  <c r="AB45" i="10"/>
  <c r="AB46" i="10" s="1"/>
  <c r="P45" i="10"/>
  <c r="P46" i="10" s="1"/>
  <c r="M46" i="10"/>
  <c r="S45" i="10"/>
  <c r="S46" i="10" s="1"/>
  <c r="V45" i="10"/>
  <c r="V46" i="10" s="1"/>
  <c r="Y45" i="10"/>
  <c r="Y46" i="10" s="1"/>
  <c r="AA31" i="10"/>
  <c r="AA32" i="10" s="1"/>
  <c r="X31" i="10"/>
  <c r="X32" i="10" s="1"/>
  <c r="AD31" i="10"/>
  <c r="AD32" i="10" s="1"/>
  <c r="U31" i="10"/>
  <c r="U32" i="10" s="1"/>
  <c r="R31" i="10"/>
  <c r="R32" i="10" s="1"/>
  <c r="O32" i="10"/>
  <c r="V27" i="10"/>
  <c r="V28" i="10" s="1"/>
  <c r="Y27" i="10"/>
  <c r="Y28" i="10" s="1"/>
  <c r="M28" i="10"/>
  <c r="S27" i="10"/>
  <c r="S28" i="10" s="1"/>
  <c r="AB27" i="10"/>
  <c r="AB28" i="10" s="1"/>
  <c r="P27" i="10"/>
  <c r="P28" i="10" s="1"/>
  <c r="O35" i="10"/>
  <c r="N35" i="10"/>
  <c r="M35" i="10"/>
  <c r="O26" i="10"/>
  <c r="U25" i="10"/>
  <c r="U26" i="10" s="1"/>
  <c r="AA25" i="10"/>
  <c r="AA26" i="10" s="1"/>
  <c r="AD25" i="10"/>
  <c r="AD26" i="10" s="1"/>
  <c r="R25" i="10"/>
  <c r="R26" i="10" s="1"/>
  <c r="X25" i="10"/>
  <c r="X26" i="10" s="1"/>
  <c r="Z23" i="10"/>
  <c r="Z24" i="10" s="1"/>
  <c r="AC23" i="10"/>
  <c r="AC24" i="10" s="1"/>
  <c r="Q23" i="10"/>
  <c r="Q24" i="10" s="1"/>
  <c r="W23" i="10"/>
  <c r="W24" i="10" s="1"/>
  <c r="T23" i="10"/>
  <c r="T24" i="10" s="1"/>
  <c r="N24" i="10"/>
  <c r="N33" i="10"/>
  <c r="Y23" i="10"/>
  <c r="Y24" i="10" s="1"/>
  <c r="M24" i="10"/>
  <c r="S23" i="10"/>
  <c r="S24" i="10" s="1"/>
  <c r="V23" i="10"/>
  <c r="V24" i="10" s="1"/>
  <c r="AB23" i="10"/>
  <c r="AB24" i="10" s="1"/>
  <c r="P23" i="10"/>
  <c r="P24" i="10" s="1"/>
  <c r="N46" i="10"/>
  <c r="T45" i="10"/>
  <c r="T46" i="10" s="1"/>
  <c r="W45" i="10"/>
  <c r="W46" i="10" s="1"/>
  <c r="Z45" i="10"/>
  <c r="Z46" i="10" s="1"/>
  <c r="AC45" i="10"/>
  <c r="AC46" i="10" s="1"/>
  <c r="Q45" i="10"/>
  <c r="Q46" i="10" s="1"/>
  <c r="M41" i="10"/>
  <c r="O41" i="10"/>
  <c r="N41" i="10"/>
  <c r="O30" i="10"/>
  <c r="U29" i="10"/>
  <c r="U30" i="10" s="1"/>
  <c r="X29" i="10"/>
  <c r="X30" i="10" s="1"/>
  <c r="AA29" i="10"/>
  <c r="AA30" i="10" s="1"/>
  <c r="AD29" i="10"/>
  <c r="AD30" i="10" s="1"/>
  <c r="R29" i="10"/>
  <c r="R30" i="10" s="1"/>
  <c r="AD37" i="10"/>
  <c r="AD38" i="10" s="1"/>
  <c r="R37" i="10"/>
  <c r="R38" i="10" s="1"/>
  <c r="AA37" i="10"/>
  <c r="AA38" i="10" s="1"/>
  <c r="X37" i="10"/>
  <c r="X38" i="10" s="1"/>
  <c r="U37" i="10"/>
  <c r="U38" i="10" s="1"/>
  <c r="O38" i="10"/>
  <c r="AD27" i="10"/>
  <c r="AD28" i="10" s="1"/>
  <c r="O28" i="10"/>
  <c r="U27" i="10"/>
  <c r="U28" i="10" s="1"/>
  <c r="AA27" i="10"/>
  <c r="AA28" i="10" s="1"/>
  <c r="R27" i="10"/>
  <c r="R28" i="10" s="1"/>
  <c r="X27" i="10"/>
  <c r="X28" i="10" s="1"/>
  <c r="AB43" i="10"/>
  <c r="AB44" i="10" s="1"/>
  <c r="P43" i="10"/>
  <c r="P44" i="10" s="1"/>
  <c r="M44" i="10"/>
  <c r="S43" i="10"/>
  <c r="S44" i="10" s="1"/>
  <c r="V43" i="10"/>
  <c r="V44" i="10" s="1"/>
  <c r="Y43" i="10"/>
  <c r="Y44" i="10" s="1"/>
  <c r="Y25" i="10"/>
  <c r="Y26" i="10" s="1"/>
  <c r="M26" i="10"/>
  <c r="S25" i="10"/>
  <c r="S26" i="10" s="1"/>
  <c r="V25" i="10"/>
  <c r="V26" i="10" s="1"/>
  <c r="AB25" i="10"/>
  <c r="AB26" i="10" s="1"/>
  <c r="P25" i="10"/>
  <c r="P26" i="10" s="1"/>
  <c r="R23" i="10"/>
  <c r="R24" i="10" s="1"/>
  <c r="O24" i="10"/>
  <c r="U23" i="10"/>
  <c r="U24" i="10" s="1"/>
  <c r="AA23" i="10"/>
  <c r="AA24" i="10" s="1"/>
  <c r="AD23" i="10"/>
  <c r="AD24" i="10" s="1"/>
  <c r="X23" i="10"/>
  <c r="X24" i="10" s="1"/>
  <c r="Z29" i="10"/>
  <c r="Z30" i="10" s="1"/>
  <c r="AC29" i="10"/>
  <c r="AC30" i="10" s="1"/>
  <c r="Q29" i="10"/>
  <c r="Q30" i="10" s="1"/>
  <c r="W29" i="10"/>
  <c r="W30" i="10" s="1"/>
  <c r="T29" i="10"/>
  <c r="T30" i="10" s="1"/>
  <c r="N30" i="10"/>
  <c r="O33" i="10"/>
  <c r="V37" i="10"/>
  <c r="V38" i="10" s="1"/>
  <c r="M38" i="10"/>
  <c r="S37" i="10"/>
  <c r="S38" i="10" s="1"/>
  <c r="P37" i="10"/>
  <c r="P38" i="10" s="1"/>
  <c r="AB37" i="10"/>
  <c r="AB38" i="10" s="1"/>
  <c r="Y37" i="10"/>
  <c r="Y38" i="10" s="1"/>
  <c r="W31" i="10"/>
  <c r="W32" i="10" s="1"/>
  <c r="N32" i="10"/>
  <c r="T31" i="10"/>
  <c r="T32" i="10" s="1"/>
  <c r="AC31" i="10"/>
  <c r="AC32" i="10" s="1"/>
  <c r="Z31" i="10"/>
  <c r="Z32" i="10" s="1"/>
  <c r="Q31" i="10"/>
  <c r="Q32" i="10" s="1"/>
  <c r="N44" i="10"/>
  <c r="T43" i="10"/>
  <c r="T44" i="10" s="1"/>
  <c r="W43" i="10"/>
  <c r="W44" i="10" s="1"/>
  <c r="Z43" i="10"/>
  <c r="Z44" i="10" s="1"/>
  <c r="AC43" i="10"/>
  <c r="AC44" i="10" s="1"/>
  <c r="Q43" i="10"/>
  <c r="Q44" i="10" s="1"/>
  <c r="Y29" i="10"/>
  <c r="Y30" i="10" s="1"/>
  <c r="AB29" i="10"/>
  <c r="AB30" i="10" s="1"/>
  <c r="M30" i="10"/>
  <c r="S29" i="10"/>
  <c r="S30" i="10" s="1"/>
  <c r="V29" i="10"/>
  <c r="V30" i="10" s="1"/>
  <c r="P29" i="10"/>
  <c r="P30" i="10" s="1"/>
  <c r="Z25" i="10"/>
  <c r="Z26" i="10" s="1"/>
  <c r="AC25" i="10"/>
  <c r="AC26" i="10" s="1"/>
  <c r="Q25" i="10"/>
  <c r="Q26" i="10" s="1"/>
  <c r="W25" i="10"/>
  <c r="W26" i="10" s="1"/>
  <c r="N26" i="10"/>
  <c r="T25" i="10"/>
  <c r="T26" i="10" s="1"/>
  <c r="I22" i="7"/>
  <c r="J26" i="7"/>
  <c r="J34" i="7"/>
  <c r="H28" i="7"/>
  <c r="H22" i="7"/>
  <c r="N22" i="7" s="1"/>
  <c r="N23" i="7" s="1"/>
  <c r="I28" i="7"/>
  <c r="H40" i="7"/>
  <c r="O40" i="7" s="1"/>
  <c r="T22" i="7"/>
  <c r="T23" i="7" s="1"/>
  <c r="O22" i="7"/>
  <c r="W22" i="7"/>
  <c r="W23" i="7" s="1"/>
  <c r="Q22" i="7"/>
  <c r="Q23" i="7" s="1"/>
  <c r="Z22" i="7"/>
  <c r="Z23" i="7" s="1"/>
  <c r="H24" i="7"/>
  <c r="N24" i="7" s="1"/>
  <c r="J24" i="7"/>
  <c r="K24" i="7"/>
  <c r="I32" i="7"/>
  <c r="H32" i="7"/>
  <c r="J32" i="7"/>
  <c r="K32" i="7"/>
  <c r="O39" i="7"/>
  <c r="U38" i="7"/>
  <c r="U39" i="7" s="1"/>
  <c r="X38" i="7"/>
  <c r="X39" i="7" s="1"/>
  <c r="P38" i="7"/>
  <c r="AA38" i="7"/>
  <c r="AA39" i="7" s="1"/>
  <c r="AD38" i="7"/>
  <c r="AD39" i="7" s="1"/>
  <c r="R38" i="7"/>
  <c r="R39" i="7" s="1"/>
  <c r="I26" i="7"/>
  <c r="N26" i="7" s="1"/>
  <c r="K30" i="7"/>
  <c r="I34" i="7"/>
  <c r="N34" i="7" s="1"/>
  <c r="J36" i="7"/>
  <c r="N38" i="7"/>
  <c r="K36" i="7"/>
  <c r="K26" i="7"/>
  <c r="J28" i="7"/>
  <c r="I30" i="7"/>
  <c r="N30" i="7" s="1"/>
  <c r="K34" i="7"/>
  <c r="H36" i="7"/>
  <c r="I40" i="7"/>
  <c r="W35" i="10" l="1"/>
  <c r="W36" i="10" s="1"/>
  <c r="N36" i="10"/>
  <c r="T35" i="10"/>
  <c r="T36" i="10" s="1"/>
  <c r="Q35" i="10"/>
  <c r="Q36" i="10" s="1"/>
  <c r="AC35" i="10"/>
  <c r="AC36" i="10" s="1"/>
  <c r="Z35" i="10"/>
  <c r="Z36" i="10" s="1"/>
  <c r="O40" i="10"/>
  <c r="U39" i="10"/>
  <c r="U40" i="10" s="1"/>
  <c r="AD39" i="10"/>
  <c r="AD40" i="10" s="1"/>
  <c r="R39" i="10"/>
  <c r="R40" i="10" s="1"/>
  <c r="AA39" i="10"/>
  <c r="AA40" i="10" s="1"/>
  <c r="X39" i="10"/>
  <c r="X40" i="10" s="1"/>
  <c r="AB41" i="10"/>
  <c r="AB42" i="10" s="1"/>
  <c r="P41" i="10"/>
  <c r="P42" i="10" s="1"/>
  <c r="Y41" i="10"/>
  <c r="Y42" i="10" s="1"/>
  <c r="S41" i="10"/>
  <c r="S42" i="10" s="1"/>
  <c r="M42" i="10"/>
  <c r="V41" i="10"/>
  <c r="V42" i="10" s="1"/>
  <c r="AA35" i="10"/>
  <c r="AA36" i="10" s="1"/>
  <c r="X35" i="10"/>
  <c r="X36" i="10" s="1"/>
  <c r="O36" i="10"/>
  <c r="AD35" i="10"/>
  <c r="AD36" i="10" s="1"/>
  <c r="U35" i="10"/>
  <c r="U36" i="10" s="1"/>
  <c r="R35" i="10"/>
  <c r="R36" i="10" s="1"/>
  <c r="AC39" i="10"/>
  <c r="AC40" i="10" s="1"/>
  <c r="Q39" i="10"/>
  <c r="Q40" i="10" s="1"/>
  <c r="Z39" i="10"/>
  <c r="Z40" i="10" s="1"/>
  <c r="W39" i="10"/>
  <c r="W40" i="10" s="1"/>
  <c r="T39" i="10"/>
  <c r="T40" i="10" s="1"/>
  <c r="N40" i="10"/>
  <c r="W33" i="10"/>
  <c r="W34" i="10" s="1"/>
  <c r="N34" i="10"/>
  <c r="T33" i="10"/>
  <c r="T34" i="10" s="1"/>
  <c r="Q33" i="10"/>
  <c r="Q34" i="10" s="1"/>
  <c r="AC33" i="10"/>
  <c r="AC34" i="10" s="1"/>
  <c r="Z33" i="10"/>
  <c r="Z34" i="10" s="1"/>
  <c r="Y39" i="10"/>
  <c r="Y40" i="10" s="1"/>
  <c r="V39" i="10"/>
  <c r="V40" i="10" s="1"/>
  <c r="M40" i="10"/>
  <c r="AB39" i="10"/>
  <c r="AB40" i="10" s="1"/>
  <c r="S39" i="10"/>
  <c r="S40" i="10" s="1"/>
  <c r="P39" i="10"/>
  <c r="P40" i="10" s="1"/>
  <c r="N42" i="10"/>
  <c r="T41" i="10"/>
  <c r="T42" i="10" s="1"/>
  <c r="AC41" i="10"/>
  <c r="AC42" i="10" s="1"/>
  <c r="Q41" i="10"/>
  <c r="Q42" i="10" s="1"/>
  <c r="Z41" i="10"/>
  <c r="Z42" i="10" s="1"/>
  <c r="W41" i="10"/>
  <c r="W42" i="10" s="1"/>
  <c r="M36" i="10"/>
  <c r="S35" i="10"/>
  <c r="S36" i="10" s="1"/>
  <c r="AB35" i="10"/>
  <c r="AB36" i="10" s="1"/>
  <c r="P35" i="10"/>
  <c r="P36" i="10" s="1"/>
  <c r="Y35" i="10"/>
  <c r="Y36" i="10" s="1"/>
  <c r="V35" i="10"/>
  <c r="V36" i="10" s="1"/>
  <c r="AA33" i="10"/>
  <c r="AA34" i="10" s="1"/>
  <c r="X33" i="10"/>
  <c r="X34" i="10" s="1"/>
  <c r="O34" i="10"/>
  <c r="AD33" i="10"/>
  <c r="AD34" i="10" s="1"/>
  <c r="U33" i="10"/>
  <c r="U34" i="10" s="1"/>
  <c r="R33" i="10"/>
  <c r="R34" i="10" s="1"/>
  <c r="X41" i="10"/>
  <c r="X42" i="10" s="1"/>
  <c r="O42" i="10"/>
  <c r="U41" i="10"/>
  <c r="U42" i="10" s="1"/>
  <c r="AA41" i="10"/>
  <c r="AA42" i="10" s="1"/>
  <c r="R41" i="10"/>
  <c r="R42" i="10" s="1"/>
  <c r="AD41" i="10"/>
  <c r="AD42" i="10" s="1"/>
  <c r="N40" i="7"/>
  <c r="AC40" i="7" s="1"/>
  <c r="AC41" i="7" s="1"/>
  <c r="O28" i="7"/>
  <c r="X28" i="7" s="1"/>
  <c r="X29" i="7" s="1"/>
  <c r="AC22" i="7"/>
  <c r="AC23" i="7" s="1"/>
  <c r="N28" i="7"/>
  <c r="N35" i="7"/>
  <c r="T34" i="7"/>
  <c r="T35" i="7" s="1"/>
  <c r="W34" i="7"/>
  <c r="W35" i="7" s="1"/>
  <c r="Z34" i="7"/>
  <c r="Z35" i="7" s="1"/>
  <c r="AC34" i="7"/>
  <c r="AC35" i="7" s="1"/>
  <c r="Q34" i="7"/>
  <c r="Q35" i="7" s="1"/>
  <c r="N31" i="7"/>
  <c r="T30" i="7"/>
  <c r="T31" i="7" s="1"/>
  <c r="W30" i="7"/>
  <c r="W31" i="7" s="1"/>
  <c r="O30" i="7"/>
  <c r="AC30" i="7"/>
  <c r="AC31" i="7" s="1"/>
  <c r="Q30" i="7"/>
  <c r="Q31" i="7" s="1"/>
  <c r="Z30" i="7"/>
  <c r="Z31" i="7" s="1"/>
  <c r="O34" i="7"/>
  <c r="O36" i="7"/>
  <c r="N36" i="7"/>
  <c r="O41" i="7"/>
  <c r="P41" i="7" s="1"/>
  <c r="U40" i="7"/>
  <c r="U41" i="7" s="1"/>
  <c r="X40" i="7"/>
  <c r="X41" i="7" s="1"/>
  <c r="P40" i="7"/>
  <c r="AA40" i="7"/>
  <c r="AA41" i="7" s="1"/>
  <c r="AD40" i="7"/>
  <c r="AD41" i="7" s="1"/>
  <c r="R40" i="7"/>
  <c r="R41" i="7" s="1"/>
  <c r="Y38" i="7"/>
  <c r="Y39" i="7" s="1"/>
  <c r="AB38" i="7"/>
  <c r="AB39" i="7" s="1"/>
  <c r="AE38" i="7"/>
  <c r="AE39" i="7" s="1"/>
  <c r="S38" i="7"/>
  <c r="S39" i="7" s="1"/>
  <c r="P39" i="7"/>
  <c r="V38" i="7"/>
  <c r="V39" i="7" s="1"/>
  <c r="Z26" i="7"/>
  <c r="Z27" i="7" s="1"/>
  <c r="AC26" i="7"/>
  <c r="AC27" i="7" s="1"/>
  <c r="Q26" i="7"/>
  <c r="Q27" i="7" s="1"/>
  <c r="W26" i="7"/>
  <c r="W27" i="7" s="1"/>
  <c r="O26" i="7"/>
  <c r="T26" i="7"/>
  <c r="T27" i="7" s="1"/>
  <c r="N27" i="7"/>
  <c r="X22" i="7"/>
  <c r="X23" i="7" s="1"/>
  <c r="AA22" i="7"/>
  <c r="AA23" i="7" s="1"/>
  <c r="AD22" i="7"/>
  <c r="AD23" i="7" s="1"/>
  <c r="O23" i="7"/>
  <c r="U22" i="7"/>
  <c r="U23" i="7" s="1"/>
  <c r="P22" i="7"/>
  <c r="R22" i="7"/>
  <c r="R23" i="7" s="1"/>
  <c r="Q40" i="7"/>
  <c r="Q41" i="7" s="1"/>
  <c r="N41" i="7"/>
  <c r="T40" i="7"/>
  <c r="T41" i="7" s="1"/>
  <c r="Z40" i="7"/>
  <c r="Z41" i="7" s="1"/>
  <c r="O29" i="7"/>
  <c r="U28" i="7"/>
  <c r="U29" i="7" s="1"/>
  <c r="AD28" i="7"/>
  <c r="AD29" i="7" s="1"/>
  <c r="R28" i="7"/>
  <c r="R29" i="7" s="1"/>
  <c r="AC38" i="7"/>
  <c r="AC39" i="7" s="1"/>
  <c r="Q38" i="7"/>
  <c r="Q39" i="7" s="1"/>
  <c r="N39" i="7"/>
  <c r="T38" i="7"/>
  <c r="T39" i="7" s="1"/>
  <c r="W38" i="7"/>
  <c r="W39" i="7" s="1"/>
  <c r="Z38" i="7"/>
  <c r="Z39" i="7" s="1"/>
  <c r="N32" i="7"/>
  <c r="Z24" i="7"/>
  <c r="Z25" i="7" s="1"/>
  <c r="N25" i="7"/>
  <c r="W24" i="7"/>
  <c r="W25" i="7" s="1"/>
  <c r="O24" i="7"/>
  <c r="AC24" i="7"/>
  <c r="AC25" i="7" s="1"/>
  <c r="T24" i="7"/>
  <c r="T25" i="7" s="1"/>
  <c r="Q24" i="7"/>
  <c r="Q25" i="7" s="1"/>
  <c r="P28" i="7" l="1"/>
  <c r="V28" i="7" s="1"/>
  <c r="V29" i="7" s="1"/>
  <c r="AA28" i="7"/>
  <c r="AA29" i="7" s="1"/>
  <c r="W40" i="7"/>
  <c r="W41" i="7" s="1"/>
  <c r="Q28" i="7"/>
  <c r="Q29" i="7" s="1"/>
  <c r="W28" i="7"/>
  <c r="W29" i="7" s="1"/>
  <c r="N29" i="7"/>
  <c r="T28" i="7"/>
  <c r="T29" i="7" s="1"/>
  <c r="AC28" i="7"/>
  <c r="AC29" i="7" s="1"/>
  <c r="Z28" i="7"/>
  <c r="Z29" i="7" s="1"/>
  <c r="AA24" i="7"/>
  <c r="AA25" i="7" s="1"/>
  <c r="AD24" i="7"/>
  <c r="AD25" i="7" s="1"/>
  <c r="X24" i="7"/>
  <c r="X25" i="7" s="1"/>
  <c r="O25" i="7"/>
  <c r="R24" i="7"/>
  <c r="R25" i="7" s="1"/>
  <c r="U24" i="7"/>
  <c r="U25" i="7" s="1"/>
  <c r="P24" i="7"/>
  <c r="AB22" i="7"/>
  <c r="AB23" i="7" s="1"/>
  <c r="V22" i="7"/>
  <c r="V23" i="7" s="1"/>
  <c r="Y22" i="7"/>
  <c r="Y23" i="7" s="1"/>
  <c r="AE22" i="7"/>
  <c r="AE23" i="7" s="1"/>
  <c r="S22" i="7"/>
  <c r="S23" i="7" s="1"/>
  <c r="P23" i="7"/>
  <c r="AD26" i="7"/>
  <c r="AD27" i="7" s="1"/>
  <c r="R26" i="7"/>
  <c r="R27" i="7" s="1"/>
  <c r="O27" i="7"/>
  <c r="U26" i="7"/>
  <c r="U27" i="7" s="1"/>
  <c r="AA26" i="7"/>
  <c r="AA27" i="7" s="1"/>
  <c r="X26" i="7"/>
  <c r="X27" i="7" s="1"/>
  <c r="P26" i="7"/>
  <c r="Y40" i="7"/>
  <c r="Y41" i="7" s="1"/>
  <c r="AB40" i="7"/>
  <c r="AB41" i="7" s="1"/>
  <c r="AE40" i="7"/>
  <c r="AE41" i="7" s="1"/>
  <c r="S40" i="7"/>
  <c r="S41" i="7" s="1"/>
  <c r="V40" i="7"/>
  <c r="V41" i="7" s="1"/>
  <c r="AC36" i="7"/>
  <c r="AC37" i="7" s="1"/>
  <c r="Q36" i="7"/>
  <c r="Q37" i="7" s="1"/>
  <c r="N37" i="7"/>
  <c r="T36" i="7"/>
  <c r="T37" i="7" s="1"/>
  <c r="W36" i="7"/>
  <c r="W37" i="7" s="1"/>
  <c r="Z36" i="7"/>
  <c r="Z37" i="7" s="1"/>
  <c r="W32" i="7"/>
  <c r="W33" i="7" s="1"/>
  <c r="O32" i="7"/>
  <c r="Z32" i="7"/>
  <c r="Z33" i="7" s="1"/>
  <c r="N33" i="7"/>
  <c r="T32" i="7"/>
  <c r="T33" i="7" s="1"/>
  <c r="Q32" i="7"/>
  <c r="Q33" i="7" s="1"/>
  <c r="AC32" i="7"/>
  <c r="AC33" i="7" s="1"/>
  <c r="O37" i="7"/>
  <c r="U36" i="7"/>
  <c r="U37" i="7" s="1"/>
  <c r="X36" i="7"/>
  <c r="X37" i="7" s="1"/>
  <c r="P36" i="7"/>
  <c r="AA36" i="7"/>
  <c r="AA37" i="7" s="1"/>
  <c r="AD36" i="7"/>
  <c r="AD37" i="7" s="1"/>
  <c r="R36" i="7"/>
  <c r="R37" i="7" s="1"/>
  <c r="X34" i="7"/>
  <c r="X35" i="7" s="1"/>
  <c r="P34" i="7"/>
  <c r="AA34" i="7"/>
  <c r="AA35" i="7" s="1"/>
  <c r="AD34" i="7"/>
  <c r="AD35" i="7" s="1"/>
  <c r="R34" i="7"/>
  <c r="R35" i="7" s="1"/>
  <c r="O35" i="7"/>
  <c r="U34" i="7"/>
  <c r="U35" i="7" s="1"/>
  <c r="X30" i="7"/>
  <c r="X31" i="7" s="1"/>
  <c r="P30" i="7"/>
  <c r="AA30" i="7"/>
  <c r="AA31" i="7" s="1"/>
  <c r="O31" i="7"/>
  <c r="U30" i="7"/>
  <c r="U31" i="7" s="1"/>
  <c r="R30" i="7"/>
  <c r="R31" i="7" s="1"/>
  <c r="AD30" i="7"/>
  <c r="AD31" i="7" s="1"/>
  <c r="Y28" i="7"/>
  <c r="Y29" i="7" s="1"/>
  <c r="AB28" i="7"/>
  <c r="AB29" i="7" s="1"/>
  <c r="P29" i="7"/>
  <c r="S28" i="7"/>
  <c r="S29" i="7" s="1"/>
  <c r="AE28" i="7"/>
  <c r="AE29" i="7" s="1"/>
  <c r="AB34" i="7" l="1"/>
  <c r="AB35" i="7" s="1"/>
  <c r="AE34" i="7"/>
  <c r="AE35" i="7" s="1"/>
  <c r="S34" i="7"/>
  <c r="S35" i="7" s="1"/>
  <c r="P35" i="7"/>
  <c r="V34" i="7"/>
  <c r="V35" i="7" s="1"/>
  <c r="Y34" i="7"/>
  <c r="Y35" i="7" s="1"/>
  <c r="AE24" i="7"/>
  <c r="AE25" i="7" s="1"/>
  <c r="P25" i="7"/>
  <c r="AB24" i="7"/>
  <c r="AB25" i="7" s="1"/>
  <c r="S24" i="7"/>
  <c r="S25" i="7" s="1"/>
  <c r="Y24" i="7"/>
  <c r="Y25" i="7" s="1"/>
  <c r="V24" i="7"/>
  <c r="V25" i="7" s="1"/>
  <c r="AA32" i="7"/>
  <c r="AA33" i="7" s="1"/>
  <c r="AD32" i="7"/>
  <c r="AD33" i="7" s="1"/>
  <c r="R32" i="7"/>
  <c r="R33" i="7" s="1"/>
  <c r="X32" i="7"/>
  <c r="X33" i="7" s="1"/>
  <c r="P32" i="7"/>
  <c r="O33" i="7"/>
  <c r="U32" i="7"/>
  <c r="U33" i="7" s="1"/>
  <c r="P27" i="7"/>
  <c r="V26" i="7"/>
  <c r="V27" i="7" s="1"/>
  <c r="Y26" i="7"/>
  <c r="Y27" i="7" s="1"/>
  <c r="AE26" i="7"/>
  <c r="AE27" i="7" s="1"/>
  <c r="S26" i="7"/>
  <c r="S27" i="7" s="1"/>
  <c r="AB26" i="7"/>
  <c r="AB27" i="7" s="1"/>
  <c r="AB30" i="7"/>
  <c r="AB31" i="7" s="1"/>
  <c r="AE30" i="7"/>
  <c r="AE31" i="7" s="1"/>
  <c r="S30" i="7"/>
  <c r="S31" i="7" s="1"/>
  <c r="Y30" i="7"/>
  <c r="Y31" i="7" s="1"/>
  <c r="V30" i="7"/>
  <c r="V31" i="7" s="1"/>
  <c r="P31" i="7"/>
  <c r="Y36" i="7"/>
  <c r="Y37" i="7" s="1"/>
  <c r="AB36" i="7"/>
  <c r="AB37" i="7" s="1"/>
  <c r="AE36" i="7"/>
  <c r="AE37" i="7" s="1"/>
  <c r="S36" i="7"/>
  <c r="S37" i="7" s="1"/>
  <c r="P37" i="7"/>
  <c r="V36" i="7"/>
  <c r="V37" i="7" s="1"/>
  <c r="AE32" i="7" l="1"/>
  <c r="AE33" i="7" s="1"/>
  <c r="S32" i="7"/>
  <c r="S33" i="7" s="1"/>
  <c r="P33" i="7"/>
  <c r="V32" i="7"/>
  <c r="V33" i="7" s="1"/>
  <c r="AB32" i="7"/>
  <c r="AB33" i="7" s="1"/>
  <c r="Y32" i="7"/>
  <c r="Y33" i="7" s="1"/>
  <c r="J39" i="8" l="1"/>
  <c r="I39" i="8"/>
  <c r="F39" i="8"/>
  <c r="H39" i="8" s="1"/>
  <c r="J37" i="8"/>
  <c r="I37" i="8"/>
  <c r="F37" i="8"/>
  <c r="J35" i="8"/>
  <c r="I35" i="8"/>
  <c r="F35" i="8"/>
  <c r="H35" i="8" s="1"/>
  <c r="F33" i="8"/>
  <c r="F31" i="8"/>
  <c r="H31" i="8" s="1"/>
  <c r="F29" i="8"/>
  <c r="G29" i="8" s="1"/>
  <c r="F27" i="8"/>
  <c r="H27" i="8" s="1"/>
  <c r="F25" i="8"/>
  <c r="H25" i="8" s="1"/>
  <c r="G23" i="8"/>
  <c r="K23" i="8" s="1"/>
  <c r="T23" i="8" s="1"/>
  <c r="F23" i="8"/>
  <c r="H23" i="8" s="1"/>
  <c r="I26" i="13"/>
  <c r="I24" i="13"/>
  <c r="I22" i="13"/>
  <c r="I20" i="13"/>
  <c r="I18" i="13"/>
  <c r="I16" i="13"/>
  <c r="I10" i="13"/>
  <c r="I14" i="13"/>
  <c r="K26" i="13"/>
  <c r="K25" i="13"/>
  <c r="J25" i="13"/>
  <c r="J26" i="13" s="1"/>
  <c r="H25" i="13"/>
  <c r="H26" i="13" s="1"/>
  <c r="E25" i="13"/>
  <c r="G25" i="13" s="1"/>
  <c r="K23" i="13"/>
  <c r="K24" i="13" s="1"/>
  <c r="J23" i="13"/>
  <c r="J24" i="13" s="1"/>
  <c r="F23" i="13"/>
  <c r="E23" i="13"/>
  <c r="G23" i="13" s="1"/>
  <c r="L21" i="13"/>
  <c r="L22" i="13" s="1"/>
  <c r="H21" i="13"/>
  <c r="H22" i="13" s="1"/>
  <c r="G21" i="13"/>
  <c r="G22" i="13" s="1"/>
  <c r="F21" i="13"/>
  <c r="J21" i="13" s="1"/>
  <c r="J22" i="13" s="1"/>
  <c r="E21" i="13"/>
  <c r="K19" i="13"/>
  <c r="K20" i="13" s="1"/>
  <c r="J19" i="13"/>
  <c r="J20" i="13" s="1"/>
  <c r="F19" i="13"/>
  <c r="E19" i="13"/>
  <c r="G19" i="13" s="1"/>
  <c r="H17" i="13"/>
  <c r="H18" i="13" s="1"/>
  <c r="G17" i="13"/>
  <c r="G18" i="13" s="1"/>
  <c r="F17" i="13"/>
  <c r="J17" i="13" s="1"/>
  <c r="J18" i="13" s="1"/>
  <c r="E17" i="13"/>
  <c r="J15" i="13"/>
  <c r="J16" i="13" s="1"/>
  <c r="F15" i="13"/>
  <c r="K15" i="13" s="1"/>
  <c r="K16" i="13" s="1"/>
  <c r="E15" i="13"/>
  <c r="G15" i="13" s="1"/>
  <c r="H13" i="13"/>
  <c r="H14" i="13" s="1"/>
  <c r="F13" i="13"/>
  <c r="J13" i="13" s="1"/>
  <c r="E13" i="13"/>
  <c r="I13" i="13" s="1"/>
  <c r="J12" i="13"/>
  <c r="J11" i="13"/>
  <c r="K11" i="13" s="1"/>
  <c r="K12" i="13" s="1"/>
  <c r="F11" i="13"/>
  <c r="E11" i="13"/>
  <c r="I11" i="13" s="1"/>
  <c r="I12" i="13" s="1"/>
  <c r="J10" i="13"/>
  <c r="H10" i="13"/>
  <c r="K9" i="13"/>
  <c r="K10" i="13" s="1"/>
  <c r="J9" i="13"/>
  <c r="H9" i="13"/>
  <c r="G9" i="13"/>
  <c r="M9" i="13" s="1"/>
  <c r="M10" i="13" s="1"/>
  <c r="F9" i="13"/>
  <c r="E9" i="13"/>
  <c r="H29" i="8" l="1"/>
  <c r="M29" i="8" s="1"/>
  <c r="G35" i="8"/>
  <c r="K35" i="8" s="1"/>
  <c r="W35" i="8" s="1"/>
  <c r="G39" i="8"/>
  <c r="K39" i="8" s="1"/>
  <c r="L23" i="8"/>
  <c r="G27" i="8"/>
  <c r="M27" i="8" s="1"/>
  <c r="G31" i="8"/>
  <c r="U23" i="8"/>
  <c r="X23" i="8"/>
  <c r="AA23" i="8"/>
  <c r="O23" i="8"/>
  <c r="L24" i="8"/>
  <c r="R23" i="8"/>
  <c r="W23" i="8"/>
  <c r="M23" i="8"/>
  <c r="Q23" i="8"/>
  <c r="K24" i="8"/>
  <c r="L29" i="8"/>
  <c r="K29" i="8"/>
  <c r="N23" i="8"/>
  <c r="Z23" i="8"/>
  <c r="M35" i="8"/>
  <c r="L35" i="8"/>
  <c r="H37" i="8"/>
  <c r="G37" i="8"/>
  <c r="K27" i="8"/>
  <c r="H33" i="8"/>
  <c r="G33" i="8"/>
  <c r="W39" i="8"/>
  <c r="Z39" i="8"/>
  <c r="N39" i="8"/>
  <c r="K40" i="8"/>
  <c r="Q39" i="8"/>
  <c r="T39" i="8"/>
  <c r="G25" i="8"/>
  <c r="K36" i="8"/>
  <c r="Q35" i="8"/>
  <c r="T35" i="8"/>
  <c r="Z35" i="8"/>
  <c r="N35" i="8"/>
  <c r="L39" i="8"/>
  <c r="L31" i="8"/>
  <c r="J14" i="13"/>
  <c r="K13" i="13"/>
  <c r="K14" i="13" s="1"/>
  <c r="L19" i="13"/>
  <c r="L20" i="13" s="1"/>
  <c r="G20" i="13"/>
  <c r="L15" i="13"/>
  <c r="L16" i="13" s="1"/>
  <c r="G16" i="13"/>
  <c r="L23" i="13"/>
  <c r="L24" i="13" s="1"/>
  <c r="G24" i="13"/>
  <c r="M23" i="13"/>
  <c r="M24" i="13" s="1"/>
  <c r="G26" i="13"/>
  <c r="M25" i="13"/>
  <c r="M26" i="13" s="1"/>
  <c r="L25" i="13"/>
  <c r="L26" i="13" s="1"/>
  <c r="L17" i="13"/>
  <c r="L18" i="13" s="1"/>
  <c r="G10" i="13"/>
  <c r="G11" i="13"/>
  <c r="G13" i="13"/>
  <c r="H15" i="13"/>
  <c r="H16" i="13" s="1"/>
  <c r="K17" i="13"/>
  <c r="K18" i="13" s="1"/>
  <c r="H19" i="13"/>
  <c r="H20" i="13" s="1"/>
  <c r="K21" i="13"/>
  <c r="K22" i="13" s="1"/>
  <c r="H23" i="13"/>
  <c r="H24" i="13" s="1"/>
  <c r="L9" i="13"/>
  <c r="L10" i="13" s="1"/>
  <c r="L27" i="8" l="1"/>
  <c r="M31" i="8"/>
  <c r="K31" i="8"/>
  <c r="M39" i="8"/>
  <c r="R41" i="8"/>
  <c r="M28" i="8"/>
  <c r="S27" i="8"/>
  <c r="V27" i="8"/>
  <c r="AB27" i="8"/>
  <c r="P27" i="8"/>
  <c r="Y27" i="8"/>
  <c r="Z41" i="8"/>
  <c r="N41" i="8"/>
  <c r="K42" i="8"/>
  <c r="Q41" i="8"/>
  <c r="T41" i="8"/>
  <c r="W41" i="8"/>
  <c r="U31" i="8"/>
  <c r="X31" i="8"/>
  <c r="L32" i="8"/>
  <c r="R31" i="8"/>
  <c r="O31" i="8"/>
  <c r="AA31" i="8"/>
  <c r="M25" i="8"/>
  <c r="K25" i="8"/>
  <c r="L25" i="8"/>
  <c r="L37" i="8"/>
  <c r="K37" i="8"/>
  <c r="M37" i="8"/>
  <c r="T29" i="8"/>
  <c r="W29" i="8"/>
  <c r="K30" i="8"/>
  <c r="Q29" i="8"/>
  <c r="N29" i="8"/>
  <c r="Z29" i="8"/>
  <c r="S23" i="8"/>
  <c r="AB23" i="8"/>
  <c r="P23" i="8"/>
  <c r="V23" i="8"/>
  <c r="Y23" i="8"/>
  <c r="M24" i="8"/>
  <c r="Q40" i="8"/>
  <c r="T40" i="8"/>
  <c r="W40" i="8"/>
  <c r="Z40" i="8"/>
  <c r="N40" i="8"/>
  <c r="AA39" i="8"/>
  <c r="O39" i="8"/>
  <c r="L40" i="8"/>
  <c r="R39" i="8"/>
  <c r="U39" i="8"/>
  <c r="X39" i="8"/>
  <c r="AA27" i="8"/>
  <c r="O27" i="8"/>
  <c r="L28" i="8"/>
  <c r="R27" i="8"/>
  <c r="X27" i="8"/>
  <c r="U27" i="8"/>
  <c r="V41" i="8"/>
  <c r="Y41" i="8"/>
  <c r="AB41" i="8"/>
  <c r="P41" i="8"/>
  <c r="M42" i="8"/>
  <c r="S41" i="8"/>
  <c r="X29" i="8"/>
  <c r="AA29" i="8"/>
  <c r="O29" i="8"/>
  <c r="U29" i="8"/>
  <c r="R29" i="8"/>
  <c r="L30" i="8"/>
  <c r="W36" i="8"/>
  <c r="Z36" i="8"/>
  <c r="N36" i="8"/>
  <c r="T36" i="8"/>
  <c r="Q36" i="8"/>
  <c r="W27" i="8"/>
  <c r="Z27" i="8"/>
  <c r="N27" i="8"/>
  <c r="T27" i="8"/>
  <c r="Q27" i="8"/>
  <c r="K28" i="8"/>
  <c r="U35" i="8"/>
  <c r="X35" i="8"/>
  <c r="L36" i="8"/>
  <c r="R35" i="8"/>
  <c r="AA35" i="8"/>
  <c r="O35" i="8"/>
  <c r="Q24" i="8"/>
  <c r="Z24" i="8"/>
  <c r="N24" i="8"/>
  <c r="T24" i="8"/>
  <c r="W24" i="8"/>
  <c r="M33" i="8"/>
  <c r="K33" i="8"/>
  <c r="L33" i="8"/>
  <c r="Y35" i="8"/>
  <c r="AB35" i="8"/>
  <c r="P35" i="8"/>
  <c r="V35" i="8"/>
  <c r="S35" i="8"/>
  <c r="M36" i="8"/>
  <c r="AB29" i="8"/>
  <c r="P29" i="8"/>
  <c r="M30" i="8"/>
  <c r="S29" i="8"/>
  <c r="Y29" i="8"/>
  <c r="V29" i="8"/>
  <c r="R24" i="8"/>
  <c r="X24" i="8"/>
  <c r="AA24" i="8"/>
  <c r="O24" i="8"/>
  <c r="U24" i="8"/>
  <c r="G14" i="13"/>
  <c r="L13" i="13"/>
  <c r="L14" i="13" s="1"/>
  <c r="M13" i="13"/>
  <c r="M14" i="13" s="1"/>
  <c r="M21" i="13"/>
  <c r="M22" i="13" s="1"/>
  <c r="G12" i="13"/>
  <c r="H11" i="13"/>
  <c r="H12" i="13" s="1"/>
  <c r="M19" i="13"/>
  <c r="M20" i="13" s="1"/>
  <c r="M17" i="13"/>
  <c r="M18" i="13" s="1"/>
  <c r="M15" i="13"/>
  <c r="M16" i="13" s="1"/>
  <c r="S39" i="8" l="1"/>
  <c r="P39" i="8"/>
  <c r="Y39" i="8"/>
  <c r="M40" i="8"/>
  <c r="AB39" i="8"/>
  <c r="V39" i="8"/>
  <c r="W31" i="8"/>
  <c r="T31" i="8"/>
  <c r="Z31" i="8"/>
  <c r="K32" i="8"/>
  <c r="N31" i="8"/>
  <c r="Q31" i="8"/>
  <c r="S31" i="8"/>
  <c r="M32" i="8"/>
  <c r="V31" i="8"/>
  <c r="Y31" i="8"/>
  <c r="AB31" i="8"/>
  <c r="P31" i="8"/>
  <c r="AA41" i="8"/>
  <c r="X41" i="8"/>
  <c r="L42" i="8"/>
  <c r="U42" i="8" s="1"/>
  <c r="U41" i="8"/>
  <c r="O41" i="8"/>
  <c r="V30" i="8"/>
  <c r="Y30" i="8"/>
  <c r="S30" i="8"/>
  <c r="P30" i="8"/>
  <c r="AB30" i="8"/>
  <c r="Q28" i="8"/>
  <c r="T28" i="8"/>
  <c r="Z28" i="8"/>
  <c r="N28" i="8"/>
  <c r="W28" i="8"/>
  <c r="L34" i="8"/>
  <c r="R33" i="8"/>
  <c r="U33" i="8"/>
  <c r="AA33" i="8"/>
  <c r="O33" i="8"/>
  <c r="X33" i="8"/>
  <c r="S36" i="8"/>
  <c r="V36" i="8"/>
  <c r="AB36" i="8"/>
  <c r="P36" i="8"/>
  <c r="Y36" i="8"/>
  <c r="Z33" i="8"/>
  <c r="N33" i="8"/>
  <c r="K34" i="8"/>
  <c r="Q33" i="8"/>
  <c r="W33" i="8"/>
  <c r="T33" i="8"/>
  <c r="R30" i="8"/>
  <c r="U30" i="8"/>
  <c r="AA30" i="8"/>
  <c r="O30" i="8"/>
  <c r="X30" i="8"/>
  <c r="X37" i="8"/>
  <c r="AA37" i="8"/>
  <c r="O37" i="8"/>
  <c r="U37" i="8"/>
  <c r="L38" i="8"/>
  <c r="R37" i="8"/>
  <c r="Z25" i="8"/>
  <c r="N25" i="8"/>
  <c r="K26" i="8"/>
  <c r="Q25" i="8"/>
  <c r="W25" i="8"/>
  <c r="T25" i="8"/>
  <c r="V33" i="8"/>
  <c r="Y33" i="8"/>
  <c r="M34" i="8"/>
  <c r="S33" i="8"/>
  <c r="P33" i="8"/>
  <c r="AB33" i="8"/>
  <c r="U40" i="8"/>
  <c r="X40" i="8"/>
  <c r="AA40" i="8"/>
  <c r="O40" i="8"/>
  <c r="R40" i="8"/>
  <c r="V24" i="8"/>
  <c r="AB24" i="8"/>
  <c r="P24" i="8"/>
  <c r="S24" i="8"/>
  <c r="Y24" i="8"/>
  <c r="V25" i="8"/>
  <c r="Y25" i="8"/>
  <c r="M26" i="8"/>
  <c r="S25" i="8"/>
  <c r="P25" i="8"/>
  <c r="AB25" i="8"/>
  <c r="AA32" i="8"/>
  <c r="O32" i="8"/>
  <c r="R32" i="8"/>
  <c r="X32" i="8"/>
  <c r="U32" i="8"/>
  <c r="AA36" i="8"/>
  <c r="O36" i="8"/>
  <c r="R36" i="8"/>
  <c r="X36" i="8"/>
  <c r="U36" i="8"/>
  <c r="Z30" i="8"/>
  <c r="N30" i="8"/>
  <c r="Q30" i="8"/>
  <c r="W30" i="8"/>
  <c r="T30" i="8"/>
  <c r="AB37" i="8"/>
  <c r="P37" i="8"/>
  <c r="M38" i="8"/>
  <c r="S37" i="8"/>
  <c r="Y37" i="8"/>
  <c r="V37" i="8"/>
  <c r="O42" i="8"/>
  <c r="AB42" i="8"/>
  <c r="P42" i="8"/>
  <c r="S42" i="8"/>
  <c r="V42" i="8"/>
  <c r="Y42" i="8"/>
  <c r="U28" i="8"/>
  <c r="X28" i="8"/>
  <c r="R28" i="8"/>
  <c r="O28" i="8"/>
  <c r="AA28" i="8"/>
  <c r="T37" i="8"/>
  <c r="W37" i="8"/>
  <c r="K38" i="8"/>
  <c r="Q37" i="8"/>
  <c r="N37" i="8"/>
  <c r="Z37" i="8"/>
  <c r="L26" i="8"/>
  <c r="R25" i="8"/>
  <c r="U25" i="8"/>
  <c r="AA25" i="8"/>
  <c r="O25" i="8"/>
  <c r="X25" i="8"/>
  <c r="T42" i="8"/>
  <c r="W42" i="8"/>
  <c r="Z42" i="8"/>
  <c r="N42" i="8"/>
  <c r="Q42" i="8"/>
  <c r="Y28" i="8"/>
  <c r="AB28" i="8"/>
  <c r="P28" i="8"/>
  <c r="V28" i="8"/>
  <c r="S28" i="8"/>
  <c r="M11" i="13"/>
  <c r="M12" i="13" s="1"/>
  <c r="L11" i="13"/>
  <c r="L12" i="13" s="1"/>
  <c r="Y40" i="8" l="1"/>
  <c r="V40" i="8"/>
  <c r="P40" i="8"/>
  <c r="AB40" i="8"/>
  <c r="S40" i="8"/>
  <c r="T32" i="8"/>
  <c r="W32" i="8"/>
  <c r="Q32" i="8"/>
  <c r="Z32" i="8"/>
  <c r="N32" i="8"/>
  <c r="Y32" i="8"/>
  <c r="V32" i="8"/>
  <c r="AB32" i="8"/>
  <c r="P32" i="8"/>
  <c r="S32" i="8"/>
  <c r="AA42" i="8"/>
  <c r="X42" i="8"/>
  <c r="R42" i="8"/>
  <c r="V38" i="8"/>
  <c r="Y38" i="8"/>
  <c r="S38" i="8"/>
  <c r="AB38" i="8"/>
  <c r="P38" i="8"/>
  <c r="T34" i="8"/>
  <c r="W34" i="8"/>
  <c r="Q34" i="8"/>
  <c r="N34" i="8"/>
  <c r="Z34" i="8"/>
  <c r="X34" i="8"/>
  <c r="AA34" i="8"/>
  <c r="O34" i="8"/>
  <c r="U34" i="8"/>
  <c r="R34" i="8"/>
  <c r="AB26" i="8"/>
  <c r="P26" i="8"/>
  <c r="S26" i="8"/>
  <c r="Y26" i="8"/>
  <c r="V26" i="8"/>
  <c r="AB34" i="8"/>
  <c r="P34" i="8"/>
  <c r="S34" i="8"/>
  <c r="Y34" i="8"/>
  <c r="V34" i="8"/>
  <c r="X26" i="8"/>
  <c r="AA26" i="8"/>
  <c r="O26" i="8"/>
  <c r="U26" i="8"/>
  <c r="R26" i="8"/>
  <c r="Z38" i="8"/>
  <c r="N38" i="8"/>
  <c r="Q38" i="8"/>
  <c r="W38" i="8"/>
  <c r="T38" i="8"/>
  <c r="T26" i="8"/>
  <c r="W26" i="8"/>
  <c r="Q26" i="8"/>
  <c r="Z26" i="8"/>
  <c r="N26" i="8"/>
  <c r="R38" i="8"/>
  <c r="U38" i="8"/>
  <c r="AA38" i="8"/>
  <c r="O38" i="8"/>
  <c r="X38" i="8"/>
  <c r="N25" i="4" l="1"/>
  <c r="E42" i="5" l="1"/>
  <c r="I42" i="5" s="1"/>
  <c r="E40" i="5"/>
  <c r="G40" i="5" s="1"/>
  <c r="E38" i="5"/>
  <c r="G38" i="5" s="1"/>
  <c r="E36" i="5"/>
  <c r="F36" i="5" s="1"/>
  <c r="E34" i="5"/>
  <c r="F34" i="5" s="1"/>
  <c r="E32" i="5"/>
  <c r="G32" i="5" s="1"/>
  <c r="E30" i="5"/>
  <c r="H30" i="5" s="1"/>
  <c r="E28" i="5"/>
  <c r="H28" i="5" s="1"/>
  <c r="E26" i="5"/>
  <c r="F26" i="5" s="1"/>
  <c r="E24" i="5"/>
  <c r="F24" i="5" s="1"/>
  <c r="G34" i="5" l="1"/>
  <c r="I34" i="5"/>
  <c r="L34" i="5" s="1"/>
  <c r="M34" i="5"/>
  <c r="V34" i="5" s="1"/>
  <c r="V35" i="5" s="1"/>
  <c r="G30" i="5"/>
  <c r="H24" i="5"/>
  <c r="H26" i="5"/>
  <c r="M26" i="5"/>
  <c r="M24" i="5"/>
  <c r="F32" i="5"/>
  <c r="G24" i="5"/>
  <c r="N24" i="5" s="1"/>
  <c r="G26" i="5"/>
  <c r="N26" i="5" s="1"/>
  <c r="F30" i="5"/>
  <c r="F28" i="5"/>
  <c r="J34" i="5"/>
  <c r="N34" i="5" s="1"/>
  <c r="G28" i="5"/>
  <c r="G36" i="5"/>
  <c r="H38" i="5"/>
  <c r="H40" i="5"/>
  <c r="I36" i="5"/>
  <c r="F38" i="5"/>
  <c r="F40" i="5"/>
  <c r="F42" i="5"/>
  <c r="K34" i="5" l="1"/>
  <c r="O34" i="5" s="1"/>
  <c r="P34" i="5"/>
  <c r="P35" i="5" s="1"/>
  <c r="O24" i="5"/>
  <c r="AB34" i="5"/>
  <c r="AB35" i="5" s="1"/>
  <c r="S34" i="5"/>
  <c r="S35" i="5" s="1"/>
  <c r="Y34" i="5"/>
  <c r="Y35" i="5" s="1"/>
  <c r="M35" i="5"/>
  <c r="Z34" i="5"/>
  <c r="Z35" i="5" s="1"/>
  <c r="AC34" i="5"/>
  <c r="AC35" i="5" s="1"/>
  <c r="Q34" i="5"/>
  <c r="Q35" i="5" s="1"/>
  <c r="N35" i="5"/>
  <c r="T34" i="5"/>
  <c r="T35" i="5" s="1"/>
  <c r="W34" i="5"/>
  <c r="W35" i="5" s="1"/>
  <c r="Z24" i="5"/>
  <c r="Z25" i="5" s="1"/>
  <c r="Q24" i="5"/>
  <c r="Q25" i="5" s="1"/>
  <c r="N25" i="5"/>
  <c r="W24" i="5"/>
  <c r="W25" i="5" s="1"/>
  <c r="AC24" i="5"/>
  <c r="AC25" i="5" s="1"/>
  <c r="T24" i="5"/>
  <c r="T25" i="5" s="1"/>
  <c r="N27" i="5"/>
  <c r="Z26" i="5"/>
  <c r="Z27" i="5" s="1"/>
  <c r="AC26" i="5"/>
  <c r="AC27" i="5" s="1"/>
  <c r="W26" i="5"/>
  <c r="W27" i="5" s="1"/>
  <c r="Q26" i="5"/>
  <c r="Q27" i="5" s="1"/>
  <c r="T26" i="5"/>
  <c r="T27" i="5" s="1"/>
  <c r="O38" i="5"/>
  <c r="N38" i="5"/>
  <c r="M38" i="5"/>
  <c r="AD24" i="5"/>
  <c r="AD25" i="5" s="1"/>
  <c r="O25" i="5"/>
  <c r="U24" i="5"/>
  <c r="U25" i="5" s="1"/>
  <c r="AA24" i="5"/>
  <c r="AA25" i="5" s="1"/>
  <c r="R24" i="5"/>
  <c r="R25" i="5" s="1"/>
  <c r="X24" i="5"/>
  <c r="X25" i="5" s="1"/>
  <c r="O26" i="5"/>
  <c r="K36" i="5"/>
  <c r="J36" i="5"/>
  <c r="L36" i="5"/>
  <c r="V26" i="5"/>
  <c r="V27" i="5" s="1"/>
  <c r="P26" i="5"/>
  <c r="P27" i="5" s="1"/>
  <c r="AB26" i="5"/>
  <c r="AB27" i="5" s="1"/>
  <c r="M27" i="5"/>
  <c r="S26" i="5"/>
  <c r="S27" i="5" s="1"/>
  <c r="Y26" i="5"/>
  <c r="Y27" i="5" s="1"/>
  <c r="O42" i="5"/>
  <c r="N42" i="5"/>
  <c r="M42" i="5"/>
  <c r="N28" i="5"/>
  <c r="M28" i="5"/>
  <c r="O28" i="5"/>
  <c r="M32" i="5"/>
  <c r="N32" i="5"/>
  <c r="O40" i="5"/>
  <c r="N40" i="5"/>
  <c r="M40" i="5"/>
  <c r="M36" i="5"/>
  <c r="N30" i="5"/>
  <c r="O30" i="5"/>
  <c r="M30" i="5"/>
  <c r="V24" i="5"/>
  <c r="V25" i="5" s="1"/>
  <c r="Y24" i="5"/>
  <c r="Y25" i="5" s="1"/>
  <c r="M25" i="5"/>
  <c r="S24" i="5"/>
  <c r="S25" i="5" s="1"/>
  <c r="P24" i="5"/>
  <c r="P25" i="5" s="1"/>
  <c r="AB24" i="5"/>
  <c r="AB25" i="5" s="1"/>
  <c r="U34" i="5" l="1"/>
  <c r="U35" i="5" s="1"/>
  <c r="O35" i="5"/>
  <c r="AA34" i="5"/>
  <c r="AA35" i="5" s="1"/>
  <c r="R34" i="5"/>
  <c r="R35" i="5" s="1"/>
  <c r="X34" i="5"/>
  <c r="X35" i="5" s="1"/>
  <c r="AD34" i="5"/>
  <c r="AD35" i="5" s="1"/>
  <c r="O36" i="5"/>
  <c r="AA36" i="5" s="1"/>
  <c r="AA37" i="5" s="1"/>
  <c r="X30" i="5"/>
  <c r="X31" i="5" s="1"/>
  <c r="AD30" i="5"/>
  <c r="AD31" i="5" s="1"/>
  <c r="R30" i="5"/>
  <c r="R31" i="5" s="1"/>
  <c r="AA30" i="5"/>
  <c r="AA31" i="5" s="1"/>
  <c r="U30" i="5"/>
  <c r="U31" i="5" s="1"/>
  <c r="O31" i="5"/>
  <c r="W40" i="5"/>
  <c r="W41" i="5" s="1"/>
  <c r="Z40" i="5"/>
  <c r="Z41" i="5" s="1"/>
  <c r="AC40" i="5"/>
  <c r="AC41" i="5" s="1"/>
  <c r="Q40" i="5"/>
  <c r="Q41" i="5" s="1"/>
  <c r="N41" i="5"/>
  <c r="T40" i="5"/>
  <c r="T41" i="5" s="1"/>
  <c r="N43" i="5"/>
  <c r="T42" i="5"/>
  <c r="T43" i="5" s="1"/>
  <c r="W42" i="5"/>
  <c r="W43" i="5" s="1"/>
  <c r="Z42" i="5"/>
  <c r="Z43" i="5" s="1"/>
  <c r="AC42" i="5"/>
  <c r="AC43" i="5" s="1"/>
  <c r="Q42" i="5"/>
  <c r="Q43" i="5" s="1"/>
  <c r="M37" i="5"/>
  <c r="S36" i="5"/>
  <c r="S37" i="5" s="1"/>
  <c r="V36" i="5"/>
  <c r="V37" i="5" s="1"/>
  <c r="Y36" i="5"/>
  <c r="Y37" i="5" s="1"/>
  <c r="AB36" i="5"/>
  <c r="AB37" i="5" s="1"/>
  <c r="P36" i="5"/>
  <c r="P37" i="5" s="1"/>
  <c r="AC32" i="5"/>
  <c r="Q32" i="5"/>
  <c r="O32" i="5"/>
  <c r="W32" i="5"/>
  <c r="N33" i="5"/>
  <c r="Z32" i="5"/>
  <c r="T32" i="5"/>
  <c r="T33" i="5" s="1"/>
  <c r="N29" i="5"/>
  <c r="T28" i="5"/>
  <c r="T29" i="5" s="1"/>
  <c r="Q28" i="5"/>
  <c r="Q29" i="5" s="1"/>
  <c r="AC28" i="5"/>
  <c r="AC29" i="5" s="1"/>
  <c r="W28" i="5"/>
  <c r="W29" i="5" s="1"/>
  <c r="Z28" i="5"/>
  <c r="Z29" i="5" s="1"/>
  <c r="N36" i="5"/>
  <c r="AB30" i="5"/>
  <c r="AB31" i="5" s="1"/>
  <c r="P30" i="5"/>
  <c r="P31" i="5" s="1"/>
  <c r="Y30" i="5"/>
  <c r="Y31" i="5" s="1"/>
  <c r="S30" i="5"/>
  <c r="S31" i="5" s="1"/>
  <c r="M31" i="5"/>
  <c r="V30" i="5"/>
  <c r="V31" i="5" s="1"/>
  <c r="M41" i="5"/>
  <c r="S40" i="5"/>
  <c r="S41" i="5" s="1"/>
  <c r="V40" i="5"/>
  <c r="V41" i="5" s="1"/>
  <c r="Y40" i="5"/>
  <c r="Y41" i="5" s="1"/>
  <c r="AB40" i="5"/>
  <c r="AB41" i="5" s="1"/>
  <c r="P40" i="5"/>
  <c r="P41" i="5" s="1"/>
  <c r="Y32" i="5"/>
  <c r="Y33" i="5" s="1"/>
  <c r="V32" i="5"/>
  <c r="V33" i="5" s="1"/>
  <c r="M33" i="5"/>
  <c r="S32" i="5"/>
  <c r="S33" i="5" s="1"/>
  <c r="AB32" i="5"/>
  <c r="AB33" i="5" s="1"/>
  <c r="P32" i="5"/>
  <c r="P33" i="5" s="1"/>
  <c r="AB42" i="5"/>
  <c r="AB43" i="5" s="1"/>
  <c r="P42" i="5"/>
  <c r="P43" i="5" s="1"/>
  <c r="M43" i="5"/>
  <c r="S42" i="5"/>
  <c r="S43" i="5" s="1"/>
  <c r="V42" i="5"/>
  <c r="V43" i="5" s="1"/>
  <c r="Y42" i="5"/>
  <c r="Y43" i="5" s="1"/>
  <c r="AD26" i="5"/>
  <c r="AD27" i="5" s="1"/>
  <c r="R26" i="5"/>
  <c r="R27" i="5" s="1"/>
  <c r="U26" i="5"/>
  <c r="U27" i="5" s="1"/>
  <c r="X26" i="5"/>
  <c r="X27" i="5" s="1"/>
  <c r="AA26" i="5"/>
  <c r="AA27" i="5" s="1"/>
  <c r="O27" i="5"/>
  <c r="M39" i="5"/>
  <c r="S38" i="5"/>
  <c r="S39" i="5" s="1"/>
  <c r="V38" i="5"/>
  <c r="V39" i="5" s="1"/>
  <c r="Y38" i="5"/>
  <c r="Y39" i="5" s="1"/>
  <c r="AB38" i="5"/>
  <c r="AB39" i="5" s="1"/>
  <c r="P38" i="5"/>
  <c r="P39" i="5" s="1"/>
  <c r="X28" i="5"/>
  <c r="X29" i="5" s="1"/>
  <c r="O29" i="5"/>
  <c r="AA28" i="5"/>
  <c r="AA29" i="5" s="1"/>
  <c r="U28" i="5"/>
  <c r="U29" i="5" s="1"/>
  <c r="R28" i="5"/>
  <c r="R29" i="5" s="1"/>
  <c r="AD28" i="5"/>
  <c r="AD29" i="5" s="1"/>
  <c r="W38" i="5"/>
  <c r="W39" i="5" s="1"/>
  <c r="Z38" i="5"/>
  <c r="Z39" i="5" s="1"/>
  <c r="AC38" i="5"/>
  <c r="AC39" i="5" s="1"/>
  <c r="Q38" i="5"/>
  <c r="Q39" i="5" s="1"/>
  <c r="N39" i="5"/>
  <c r="T38" i="5"/>
  <c r="T39" i="5" s="1"/>
  <c r="N31" i="5"/>
  <c r="T30" i="5"/>
  <c r="T31" i="5" s="1"/>
  <c r="AC30" i="5"/>
  <c r="AC31" i="5" s="1"/>
  <c r="Q30" i="5"/>
  <c r="Q31" i="5" s="1"/>
  <c r="Z30" i="5"/>
  <c r="Z31" i="5" s="1"/>
  <c r="W30" i="5"/>
  <c r="W31" i="5" s="1"/>
  <c r="AA40" i="5"/>
  <c r="AA41" i="5" s="1"/>
  <c r="AD40" i="5"/>
  <c r="AD41" i="5" s="1"/>
  <c r="R40" i="5"/>
  <c r="R41" i="5" s="1"/>
  <c r="O41" i="5"/>
  <c r="U40" i="5"/>
  <c r="U41" i="5" s="1"/>
  <c r="X40" i="5"/>
  <c r="X41" i="5" s="1"/>
  <c r="AB28" i="5"/>
  <c r="AB29" i="5" s="1"/>
  <c r="P28" i="5"/>
  <c r="P29" i="5" s="1"/>
  <c r="V28" i="5"/>
  <c r="V29" i="5" s="1"/>
  <c r="M29" i="5"/>
  <c r="Y28" i="5"/>
  <c r="Y29" i="5" s="1"/>
  <c r="S28" i="5"/>
  <c r="S29" i="5" s="1"/>
  <c r="X42" i="5"/>
  <c r="X43" i="5" s="1"/>
  <c r="AA42" i="5"/>
  <c r="AA43" i="5" s="1"/>
  <c r="AD42" i="5"/>
  <c r="AD43" i="5" s="1"/>
  <c r="R42" i="5"/>
  <c r="R43" i="5" s="1"/>
  <c r="O43" i="5"/>
  <c r="U42" i="5"/>
  <c r="U43" i="5" s="1"/>
  <c r="AA38" i="5"/>
  <c r="AA39" i="5" s="1"/>
  <c r="AD38" i="5"/>
  <c r="AD39" i="5" s="1"/>
  <c r="R38" i="5"/>
  <c r="R39" i="5" s="1"/>
  <c r="O39" i="5"/>
  <c r="U38" i="5"/>
  <c r="U39" i="5" s="1"/>
  <c r="X38" i="5"/>
  <c r="X39" i="5" s="1"/>
  <c r="AD36" i="5" l="1"/>
  <c r="AD37" i="5" s="1"/>
  <c r="X36" i="5"/>
  <c r="X37" i="5" s="1"/>
  <c r="O37" i="5"/>
  <c r="R36" i="5"/>
  <c r="R37" i="5" s="1"/>
  <c r="U36" i="5"/>
  <c r="U37" i="5" s="1"/>
  <c r="W36" i="5"/>
  <c r="W37" i="5" s="1"/>
  <c r="Z36" i="5"/>
  <c r="Z37" i="5" s="1"/>
  <c r="AC36" i="5"/>
  <c r="AC37" i="5" s="1"/>
  <c r="Q36" i="5"/>
  <c r="Q37" i="5" s="1"/>
  <c r="N37" i="5"/>
  <c r="T36" i="5"/>
  <c r="T37" i="5" s="1"/>
  <c r="Z33" i="5"/>
  <c r="AA33" i="5" s="1"/>
  <c r="AA32" i="5"/>
  <c r="Q33" i="5"/>
  <c r="R33" i="5" s="1"/>
  <c r="R32" i="5"/>
  <c r="AD32" i="5"/>
  <c r="AC33" i="5"/>
  <c r="AD33" i="5" s="1"/>
  <c r="W33" i="5"/>
  <c r="X33" i="5" s="1"/>
  <c r="X32" i="5"/>
  <c r="O33" i="5"/>
  <c r="U32" i="5"/>
  <c r="U33" i="5" s="1"/>
  <c r="O38" i="14" l="1"/>
  <c r="U44" i="14" l="1"/>
  <c r="T44" i="14"/>
  <c r="S44" i="14"/>
  <c r="S45" i="14" s="1"/>
  <c r="U42" i="14"/>
  <c r="T42" i="14"/>
  <c r="S42" i="14"/>
  <c r="S43" i="14" s="1"/>
  <c r="U40" i="14"/>
  <c r="T40" i="14"/>
  <c r="S40" i="14"/>
  <c r="U38" i="14"/>
  <c r="T38" i="14"/>
  <c r="S38" i="14"/>
  <c r="S39" i="14" s="1"/>
  <c r="U36" i="14"/>
  <c r="T36" i="14"/>
  <c r="S36" i="14"/>
  <c r="S37" i="14" s="1"/>
  <c r="U34" i="14"/>
  <c r="T34" i="14"/>
  <c r="T35" i="14" s="1"/>
  <c r="S34" i="14"/>
  <c r="U32" i="14"/>
  <c r="T32" i="14"/>
  <c r="T33" i="14" s="1"/>
  <c r="S32" i="14"/>
  <c r="U30" i="14"/>
  <c r="T30" i="14"/>
  <c r="S30" i="14"/>
  <c r="S31" i="14" s="1"/>
  <c r="U28" i="14"/>
  <c r="T28" i="14"/>
  <c r="S28" i="14"/>
  <c r="S29" i="14" s="1"/>
  <c r="U26" i="14"/>
  <c r="T26" i="14"/>
  <c r="T27" i="14" s="1"/>
  <c r="S26" i="14"/>
  <c r="S27" i="14" s="1"/>
  <c r="U45" i="14"/>
  <c r="T45" i="14"/>
  <c r="U43" i="14"/>
  <c r="T43" i="14"/>
  <c r="U41" i="14"/>
  <c r="S41" i="14"/>
  <c r="T41" i="14"/>
  <c r="U39" i="14"/>
  <c r="T39" i="14"/>
  <c r="U37" i="14"/>
  <c r="T37" i="14"/>
  <c r="U35" i="14"/>
  <c r="S35" i="14"/>
  <c r="U33" i="14"/>
  <c r="S33" i="14"/>
  <c r="U31" i="14"/>
  <c r="T31" i="14"/>
  <c r="U29" i="14"/>
  <c r="T29" i="14"/>
  <c r="U27" i="14"/>
  <c r="U29" i="4" l="1"/>
  <c r="T29" i="4"/>
  <c r="S29" i="4" l="1"/>
  <c r="U42" i="4"/>
  <c r="T42" i="4"/>
  <c r="S42" i="4"/>
  <c r="U40" i="4"/>
  <c r="U41" i="4" s="1"/>
  <c r="T40" i="4"/>
  <c r="S40" i="4"/>
  <c r="U38" i="4"/>
  <c r="T38" i="4"/>
  <c r="S38" i="4"/>
  <c r="S39" i="4" s="1"/>
  <c r="U36" i="4"/>
  <c r="T36" i="4"/>
  <c r="T37" i="4" s="1"/>
  <c r="S36" i="4"/>
  <c r="U32" i="4"/>
  <c r="T32" i="4"/>
  <c r="T33" i="4" s="1"/>
  <c r="S32" i="4"/>
  <c r="U30" i="4"/>
  <c r="T30" i="4"/>
  <c r="S30" i="4"/>
  <c r="S31" i="4" s="1"/>
  <c r="U28" i="4"/>
  <c r="T28" i="4"/>
  <c r="S28" i="4"/>
  <c r="U26" i="4"/>
  <c r="T26" i="4"/>
  <c r="S26" i="4"/>
  <c r="U24" i="4"/>
  <c r="T24" i="4"/>
  <c r="T25" i="4" s="1"/>
  <c r="S24" i="4"/>
  <c r="U22" i="4"/>
  <c r="T22" i="4"/>
  <c r="S22" i="4"/>
  <c r="T43" i="4"/>
  <c r="U43" i="4"/>
  <c r="S43" i="4"/>
  <c r="T41" i="4"/>
  <c r="S41" i="4"/>
  <c r="T39" i="4"/>
  <c r="U39" i="4"/>
  <c r="U37" i="4"/>
  <c r="S37" i="4"/>
  <c r="U33" i="4"/>
  <c r="S33" i="4"/>
  <c r="T31" i="4"/>
  <c r="U31" i="4"/>
  <c r="T27" i="4"/>
  <c r="U27" i="4"/>
  <c r="S27" i="4"/>
  <c r="U25" i="4"/>
  <c r="S25" i="4"/>
  <c r="T23" i="4"/>
  <c r="U23" i="4"/>
  <c r="S23" i="4"/>
  <c r="U26" i="6"/>
  <c r="U27" i="6" s="1"/>
  <c r="V26" i="6"/>
  <c r="W26" i="6"/>
  <c r="W27" i="6" s="1"/>
  <c r="V27" i="6"/>
  <c r="U28" i="6"/>
  <c r="U29" i="6" s="1"/>
  <c r="V28" i="6"/>
  <c r="W28" i="6"/>
  <c r="W29" i="6" s="1"/>
  <c r="V29" i="6"/>
  <c r="U30" i="6"/>
  <c r="U31" i="6" s="1"/>
  <c r="V30" i="6"/>
  <c r="W30" i="6"/>
  <c r="W31" i="6" s="1"/>
  <c r="V31" i="6"/>
  <c r="U32" i="6"/>
  <c r="U33" i="6" s="1"/>
  <c r="V32" i="6"/>
  <c r="W32" i="6"/>
  <c r="W33" i="6" s="1"/>
  <c r="V33" i="6"/>
  <c r="U34" i="6"/>
  <c r="U35" i="6" s="1"/>
  <c r="V34" i="6"/>
  <c r="W34" i="6"/>
  <c r="W35" i="6" s="1"/>
  <c r="V35" i="6"/>
  <c r="U36" i="6"/>
  <c r="U37" i="6" s="1"/>
  <c r="V36" i="6"/>
  <c r="W36" i="6"/>
  <c r="W37" i="6" s="1"/>
  <c r="V37" i="6"/>
  <c r="U38" i="6"/>
  <c r="U39" i="6" s="1"/>
  <c r="V38" i="6"/>
  <c r="W38" i="6"/>
  <c r="W39" i="6" s="1"/>
  <c r="V39" i="6"/>
  <c r="U40" i="6"/>
  <c r="U41" i="6" s="1"/>
  <c r="V40" i="6"/>
  <c r="W40" i="6"/>
  <c r="W41" i="6" s="1"/>
  <c r="V41" i="6"/>
  <c r="U42" i="6"/>
  <c r="U43" i="6" s="1"/>
  <c r="V42" i="6"/>
  <c r="W42" i="6"/>
  <c r="W43" i="6" s="1"/>
  <c r="V43" i="6"/>
  <c r="V25" i="6"/>
  <c r="W25" i="6"/>
  <c r="U25" i="6"/>
  <c r="W24" i="6"/>
  <c r="V24" i="6"/>
  <c r="U24" i="6"/>
  <c r="G26" i="14" l="1"/>
  <c r="I26" i="14" s="1"/>
  <c r="G28" i="14"/>
  <c r="I28" i="14"/>
  <c r="G30" i="14"/>
  <c r="I30" i="14" s="1"/>
  <c r="G32" i="14"/>
  <c r="I32" i="14" s="1"/>
  <c r="G34" i="14"/>
  <c r="I34" i="14" s="1"/>
  <c r="G36" i="14"/>
  <c r="H36" i="14"/>
  <c r="M36" i="14" s="1"/>
  <c r="I36" i="14"/>
  <c r="J36" i="14"/>
  <c r="G38" i="14"/>
  <c r="H38" i="14" s="1"/>
  <c r="I38" i="14"/>
  <c r="K38" i="14"/>
  <c r="L38" i="14"/>
  <c r="G40" i="14"/>
  <c r="H40" i="14"/>
  <c r="I40" i="14"/>
  <c r="J40" i="14"/>
  <c r="K40" i="14"/>
  <c r="L40" i="14"/>
  <c r="G42" i="14"/>
  <c r="H42" i="14" s="1"/>
  <c r="I42" i="14"/>
  <c r="H44" i="14"/>
  <c r="M44" i="14" s="1"/>
  <c r="P44" i="14" l="1"/>
  <c r="P45" i="14" s="1"/>
  <c r="V44" i="14"/>
  <c r="V45" i="14" s="1"/>
  <c r="AB44" i="14"/>
  <c r="AB45" i="14" s="1"/>
  <c r="M42" i="14"/>
  <c r="N42" i="14"/>
  <c r="M38" i="14"/>
  <c r="N44" i="14"/>
  <c r="O44" i="14"/>
  <c r="J42" i="14"/>
  <c r="J38" i="14"/>
  <c r="N38" i="14" s="1"/>
  <c r="N36" i="14"/>
  <c r="M40" i="14"/>
  <c r="P40" i="14" s="1"/>
  <c r="P41" i="14" s="1"/>
  <c r="N40" i="14"/>
  <c r="P36" i="14"/>
  <c r="P37" i="14" s="1"/>
  <c r="Y36" i="14"/>
  <c r="Y37" i="14" s="1"/>
  <c r="M37" i="14"/>
  <c r="V36" i="14"/>
  <c r="V37" i="14" s="1"/>
  <c r="AB36" i="14"/>
  <c r="AB37" i="14" s="1"/>
  <c r="Y42" i="14"/>
  <c r="Y43" i="14" s="1"/>
  <c r="M43" i="14"/>
  <c r="V42" i="14"/>
  <c r="V43" i="14" s="1"/>
  <c r="AB42" i="14"/>
  <c r="AB43" i="14" s="1"/>
  <c r="P42" i="14"/>
  <c r="P43" i="14" s="1"/>
  <c r="P38" i="14"/>
  <c r="P39" i="14" s="1"/>
  <c r="Y38" i="14"/>
  <c r="Y39" i="14" s="1"/>
  <c r="M39" i="14"/>
  <c r="V38" i="14"/>
  <c r="V39" i="14" s="1"/>
  <c r="AB38" i="14"/>
  <c r="AB39" i="14" s="1"/>
  <c r="Y40" i="14"/>
  <c r="Y41" i="14" s="1"/>
  <c r="V40" i="14"/>
  <c r="V41" i="14" s="1"/>
  <c r="X44" i="14"/>
  <c r="X45" i="14" s="1"/>
  <c r="O45" i="14"/>
  <c r="M45" i="14"/>
  <c r="AA44" i="14"/>
  <c r="AA45" i="14" s="1"/>
  <c r="Y44" i="14"/>
  <c r="Y45" i="14" s="1"/>
  <c r="N43" i="14"/>
  <c r="O42" i="14"/>
  <c r="N41" i="14"/>
  <c r="Z40" i="14"/>
  <c r="Z41" i="14" s="1"/>
  <c r="O40" i="14"/>
  <c r="N37" i="14"/>
  <c r="Z36" i="14"/>
  <c r="Z37" i="14" s="1"/>
  <c r="O36" i="14"/>
  <c r="H32" i="14"/>
  <c r="J32" i="14"/>
  <c r="H28" i="14"/>
  <c r="J28" i="14"/>
  <c r="H34" i="14"/>
  <c r="J34" i="14"/>
  <c r="H30" i="14"/>
  <c r="J30" i="14"/>
  <c r="H26" i="14"/>
  <c r="J26" i="14"/>
  <c r="Q38" i="14" l="1"/>
  <c r="Q39" i="14" s="1"/>
  <c r="AC38" i="14"/>
  <c r="AC39" i="14" s="1"/>
  <c r="W38" i="14"/>
  <c r="W39" i="14" s="1"/>
  <c r="Z38" i="14"/>
  <c r="Z39" i="14" s="1"/>
  <c r="N39" i="14"/>
  <c r="R44" i="14"/>
  <c r="R45" i="14" s="1"/>
  <c r="AD44" i="14"/>
  <c r="AD45" i="14" s="1"/>
  <c r="Q42" i="14"/>
  <c r="Q43" i="14" s="1"/>
  <c r="AC42" i="14"/>
  <c r="AC43" i="14" s="1"/>
  <c r="Z42" i="14"/>
  <c r="Z43" i="14" s="1"/>
  <c r="W42" i="14"/>
  <c r="W43" i="14" s="1"/>
  <c r="AB40" i="14"/>
  <c r="AB41" i="14" s="1"/>
  <c r="M41" i="14"/>
  <c r="W40" i="14"/>
  <c r="W41" i="14" s="1"/>
  <c r="Q40" i="14"/>
  <c r="Q41" i="14" s="1"/>
  <c r="AC40" i="14"/>
  <c r="AC41" i="14" s="1"/>
  <c r="Q36" i="14"/>
  <c r="Q37" i="14" s="1"/>
  <c r="W36" i="14"/>
  <c r="W37" i="14" s="1"/>
  <c r="AC36" i="14"/>
  <c r="AC37" i="14" s="1"/>
  <c r="Q44" i="14"/>
  <c r="Q45" i="14" s="1"/>
  <c r="Z44" i="14"/>
  <c r="Z45" i="14" s="1"/>
  <c r="AC44" i="14"/>
  <c r="AC45" i="14" s="1"/>
  <c r="N45" i="14"/>
  <c r="W44" i="14"/>
  <c r="W45" i="14" s="1"/>
  <c r="N26" i="14"/>
  <c r="M26" i="14"/>
  <c r="O26" i="14"/>
  <c r="N30" i="14"/>
  <c r="M30" i="14"/>
  <c r="O30" i="14"/>
  <c r="N28" i="14"/>
  <c r="O28" i="14"/>
  <c r="M28" i="14"/>
  <c r="N32" i="14"/>
  <c r="O32" i="14"/>
  <c r="M32" i="14"/>
  <c r="R38" i="14"/>
  <c r="R39" i="14" s="1"/>
  <c r="AA38" i="14"/>
  <c r="AA39" i="14" s="1"/>
  <c r="O39" i="14"/>
  <c r="X38" i="14"/>
  <c r="X39" i="14" s="1"/>
  <c r="AD38" i="14"/>
  <c r="AD39" i="14" s="1"/>
  <c r="X42" i="14"/>
  <c r="X43" i="14" s="1"/>
  <c r="AD42" i="14"/>
  <c r="AD43" i="14" s="1"/>
  <c r="R42" i="14"/>
  <c r="R43" i="14" s="1"/>
  <c r="AA42" i="14"/>
  <c r="AA43" i="14" s="1"/>
  <c r="O43" i="14"/>
  <c r="R36" i="14"/>
  <c r="R37" i="14" s="1"/>
  <c r="AA36" i="14"/>
  <c r="AA37" i="14" s="1"/>
  <c r="O37" i="14"/>
  <c r="X36" i="14"/>
  <c r="X37" i="14" s="1"/>
  <c r="AD36" i="14"/>
  <c r="AD37" i="14" s="1"/>
  <c r="R40" i="14"/>
  <c r="R41" i="14" s="1"/>
  <c r="AA40" i="14"/>
  <c r="AA41" i="14" s="1"/>
  <c r="O41" i="14"/>
  <c r="X40" i="14"/>
  <c r="X41" i="14" s="1"/>
  <c r="AD40" i="14"/>
  <c r="AD41" i="14" s="1"/>
  <c r="N34" i="14"/>
  <c r="M34" i="14"/>
  <c r="O34" i="14"/>
  <c r="R34" i="14" l="1"/>
  <c r="R35" i="14" s="1"/>
  <c r="AA34" i="14"/>
  <c r="AA35" i="14" s="1"/>
  <c r="O35" i="14"/>
  <c r="X34" i="14"/>
  <c r="X35" i="14" s="1"/>
  <c r="AD34" i="14"/>
  <c r="AD35" i="14" s="1"/>
  <c r="W34" i="14"/>
  <c r="W35" i="14" s="1"/>
  <c r="AC34" i="14"/>
  <c r="AC35" i="14" s="1"/>
  <c r="Q34" i="14"/>
  <c r="Q35" i="14" s="1"/>
  <c r="N35" i="14"/>
  <c r="Z34" i="14"/>
  <c r="Z35" i="14" s="1"/>
  <c r="R32" i="14"/>
  <c r="R33" i="14" s="1"/>
  <c r="AA32" i="14"/>
  <c r="AA33" i="14" s="1"/>
  <c r="O33" i="14"/>
  <c r="AD32" i="14"/>
  <c r="AD33" i="14" s="1"/>
  <c r="X32" i="14"/>
  <c r="X33" i="14" s="1"/>
  <c r="P28" i="14"/>
  <c r="P29" i="14" s="1"/>
  <c r="Y28" i="14"/>
  <c r="Y29" i="14" s="1"/>
  <c r="M29" i="14"/>
  <c r="V28" i="14"/>
  <c r="V29" i="14" s="1"/>
  <c r="AB28" i="14"/>
  <c r="AB29" i="14" s="1"/>
  <c r="W28" i="14"/>
  <c r="W29" i="14" s="1"/>
  <c r="AC28" i="14"/>
  <c r="AC29" i="14" s="1"/>
  <c r="Z28" i="14"/>
  <c r="Z29" i="14" s="1"/>
  <c r="Q28" i="14"/>
  <c r="Q29" i="14" s="1"/>
  <c r="N29" i="14"/>
  <c r="P30" i="14"/>
  <c r="P31" i="14" s="1"/>
  <c r="Y30" i="14"/>
  <c r="Y31" i="14" s="1"/>
  <c r="M31" i="14"/>
  <c r="AB30" i="14"/>
  <c r="AB31" i="14" s="1"/>
  <c r="V30" i="14"/>
  <c r="V31" i="14" s="1"/>
  <c r="R26" i="14"/>
  <c r="R27" i="14" s="1"/>
  <c r="AA26" i="14"/>
  <c r="AA27" i="14" s="1"/>
  <c r="O27" i="14"/>
  <c r="X26" i="14"/>
  <c r="X27" i="14" s="1"/>
  <c r="AD26" i="14"/>
  <c r="AD27" i="14" s="1"/>
  <c r="W26" i="14"/>
  <c r="W27" i="14" s="1"/>
  <c r="AC26" i="14"/>
  <c r="AC27" i="14" s="1"/>
  <c r="Q26" i="14"/>
  <c r="Q27" i="14" s="1"/>
  <c r="N27" i="14"/>
  <c r="Z26" i="14"/>
  <c r="Z27" i="14" s="1"/>
  <c r="P34" i="14"/>
  <c r="P35" i="14" s="1"/>
  <c r="Y34" i="14"/>
  <c r="Y35" i="14" s="1"/>
  <c r="M35" i="14"/>
  <c r="AB34" i="14"/>
  <c r="AB35" i="14" s="1"/>
  <c r="V34" i="14"/>
  <c r="V35" i="14" s="1"/>
  <c r="P32" i="14"/>
  <c r="P33" i="14" s="1"/>
  <c r="Y32" i="14"/>
  <c r="Y33" i="14" s="1"/>
  <c r="M33" i="14"/>
  <c r="V32" i="14"/>
  <c r="V33" i="14" s="1"/>
  <c r="AB32" i="14"/>
  <c r="AB33" i="14" s="1"/>
  <c r="W32" i="14"/>
  <c r="W33" i="14" s="1"/>
  <c r="AC32" i="14"/>
  <c r="AC33" i="14" s="1"/>
  <c r="Z32" i="14"/>
  <c r="Z33" i="14" s="1"/>
  <c r="Q32" i="14"/>
  <c r="Q33" i="14" s="1"/>
  <c r="N33" i="14"/>
  <c r="R28" i="14"/>
  <c r="R29" i="14" s="1"/>
  <c r="AA28" i="14"/>
  <c r="AA29" i="14" s="1"/>
  <c r="O29" i="14"/>
  <c r="AD28" i="14"/>
  <c r="AD29" i="14" s="1"/>
  <c r="X28" i="14"/>
  <c r="X29" i="14" s="1"/>
  <c r="R30" i="14"/>
  <c r="R31" i="14" s="1"/>
  <c r="AA30" i="14"/>
  <c r="AA31" i="14" s="1"/>
  <c r="O31" i="14"/>
  <c r="X30" i="14"/>
  <c r="X31" i="14" s="1"/>
  <c r="AD30" i="14"/>
  <c r="AD31" i="14" s="1"/>
  <c r="W30" i="14"/>
  <c r="W31" i="14" s="1"/>
  <c r="AC30" i="14"/>
  <c r="AC31" i="14" s="1"/>
  <c r="Q30" i="14"/>
  <c r="Q31" i="14" s="1"/>
  <c r="N31" i="14"/>
  <c r="Z30" i="14"/>
  <c r="Z31" i="14" s="1"/>
  <c r="P26" i="14"/>
  <c r="P27" i="14" s="1"/>
  <c r="Y26" i="14"/>
  <c r="Y27" i="14" s="1"/>
  <c r="M27" i="14"/>
  <c r="AB26" i="14"/>
  <c r="AB27" i="14" s="1"/>
  <c r="V26" i="14"/>
  <c r="V27" i="14" s="1"/>
  <c r="F42" i="4" l="1"/>
  <c r="I42" i="4" s="1"/>
  <c r="H40" i="4"/>
  <c r="N40" i="4" s="1"/>
  <c r="F40" i="4"/>
  <c r="L38" i="4"/>
  <c r="G38" i="4"/>
  <c r="K38" i="4" s="1"/>
  <c r="F38" i="4"/>
  <c r="I38" i="4" s="1"/>
  <c r="G36" i="4"/>
  <c r="F36" i="4"/>
  <c r="J36" i="4" s="1"/>
  <c r="F34" i="4"/>
  <c r="I34" i="4" s="1"/>
  <c r="F32" i="4"/>
  <c r="I30" i="4"/>
  <c r="F30" i="4"/>
  <c r="F28" i="4"/>
  <c r="F26" i="4"/>
  <c r="I26" i="4" s="1"/>
  <c r="F24" i="4"/>
  <c r="I22" i="4"/>
  <c r="F22" i="4"/>
  <c r="J34" i="4" l="1"/>
  <c r="H34" i="4"/>
  <c r="M34" i="4" s="1"/>
  <c r="S34" i="4" s="1"/>
  <c r="S35" i="4" s="1"/>
  <c r="I36" i="4"/>
  <c r="H42" i="4"/>
  <c r="N42" i="4" s="1"/>
  <c r="W42" i="4" s="1"/>
  <c r="W43" i="4" s="1"/>
  <c r="J24" i="4"/>
  <c r="H24" i="4"/>
  <c r="J28" i="4"/>
  <c r="H28" i="4"/>
  <c r="J32" i="4"/>
  <c r="H32" i="4"/>
  <c r="L36" i="4"/>
  <c r="K36" i="4"/>
  <c r="J22" i="4"/>
  <c r="H22" i="4"/>
  <c r="I24" i="4"/>
  <c r="J26" i="4"/>
  <c r="H26" i="4"/>
  <c r="I28" i="4"/>
  <c r="J30" i="4"/>
  <c r="H30" i="4"/>
  <c r="I32" i="4"/>
  <c r="O34" i="4"/>
  <c r="U34" i="4" s="1"/>
  <c r="U35" i="4" s="1"/>
  <c r="N34" i="4"/>
  <c r="T34" i="4" s="1"/>
  <c r="T35" i="4" s="1"/>
  <c r="H38" i="4"/>
  <c r="N41" i="4"/>
  <c r="Z40" i="4"/>
  <c r="Z41" i="4" s="1"/>
  <c r="Q40" i="4"/>
  <c r="Q41" i="4" s="1"/>
  <c r="AC40" i="4"/>
  <c r="AC41" i="4" s="1"/>
  <c r="AC42" i="4"/>
  <c r="AC43" i="4" s="1"/>
  <c r="O42" i="4"/>
  <c r="J38" i="4"/>
  <c r="O40" i="4"/>
  <c r="M40" i="4"/>
  <c r="W40" i="4"/>
  <c r="W41" i="4" s="1"/>
  <c r="M42" i="4"/>
  <c r="N43" i="4"/>
  <c r="H36" i="4"/>
  <c r="Q42" i="4" l="1"/>
  <c r="Q43" i="4" s="1"/>
  <c r="Z42" i="4"/>
  <c r="Z43" i="4" s="1"/>
  <c r="M43" i="4"/>
  <c r="Y42" i="4"/>
  <c r="Y43" i="4" s="1"/>
  <c r="P42" i="4"/>
  <c r="P43" i="4" s="1"/>
  <c r="AB42" i="4"/>
  <c r="AB43" i="4" s="1"/>
  <c r="V42" i="4"/>
  <c r="V43" i="4" s="1"/>
  <c r="AB40" i="4"/>
  <c r="AB41" i="4" s="1"/>
  <c r="V40" i="4"/>
  <c r="V41" i="4" s="1"/>
  <c r="M41" i="4"/>
  <c r="P40" i="4"/>
  <c r="P41" i="4" s="1"/>
  <c r="Y40" i="4"/>
  <c r="Y41" i="4" s="1"/>
  <c r="O43" i="4"/>
  <c r="AA42" i="4"/>
  <c r="AA43" i="4" s="1"/>
  <c r="R42" i="4"/>
  <c r="R43" i="4" s="1"/>
  <c r="X42" i="4"/>
  <c r="X43" i="4" s="1"/>
  <c r="AD42" i="4"/>
  <c r="AD43" i="4" s="1"/>
  <c r="N35" i="4"/>
  <c r="Z34" i="4"/>
  <c r="Z35" i="4" s="1"/>
  <c r="Q34" i="4"/>
  <c r="Q35" i="4" s="1"/>
  <c r="W34" i="4"/>
  <c r="W35" i="4" s="1"/>
  <c r="AC34" i="4"/>
  <c r="AC35" i="4" s="1"/>
  <c r="AD34" i="4"/>
  <c r="AD35" i="4" s="1"/>
  <c r="X34" i="4"/>
  <c r="X35" i="4" s="1"/>
  <c r="AA34" i="4"/>
  <c r="AA35" i="4" s="1"/>
  <c r="O35" i="4"/>
  <c r="R34" i="4"/>
  <c r="R35" i="4" s="1"/>
  <c r="N30" i="4"/>
  <c r="M30" i="4"/>
  <c r="O30" i="4"/>
  <c r="N22" i="4"/>
  <c r="M22" i="4"/>
  <c r="O22" i="4"/>
  <c r="N32" i="4"/>
  <c r="O32" i="4"/>
  <c r="M32" i="4"/>
  <c r="N28" i="4"/>
  <c r="N29" i="4" s="1"/>
  <c r="O28" i="4"/>
  <c r="O29" i="4" s="1"/>
  <c r="M28" i="4"/>
  <c r="M29" i="4" s="1"/>
  <c r="N24" i="4"/>
  <c r="O24" i="4"/>
  <c r="M24" i="4"/>
  <c r="N36" i="4"/>
  <c r="M36" i="4"/>
  <c r="O36" i="4"/>
  <c r="AD40" i="4"/>
  <c r="AD41" i="4" s="1"/>
  <c r="X40" i="4"/>
  <c r="X41" i="4" s="1"/>
  <c r="AA40" i="4"/>
  <c r="AA41" i="4" s="1"/>
  <c r="O41" i="4"/>
  <c r="R40" i="4"/>
  <c r="R41" i="4" s="1"/>
  <c r="O38" i="4"/>
  <c r="M38" i="4"/>
  <c r="N38" i="4"/>
  <c r="AB34" i="4"/>
  <c r="AB35" i="4" s="1"/>
  <c r="V34" i="4"/>
  <c r="V35" i="4" s="1"/>
  <c r="M35" i="4"/>
  <c r="P34" i="4"/>
  <c r="P35" i="4" s="1"/>
  <c r="Y34" i="4"/>
  <c r="Y35" i="4" s="1"/>
  <c r="N26" i="4"/>
  <c r="M26" i="4"/>
  <c r="O26" i="4"/>
  <c r="M27" i="4" l="1"/>
  <c r="Y26" i="4"/>
  <c r="Y27" i="4" s="1"/>
  <c r="P26" i="4"/>
  <c r="P27" i="4" s="1"/>
  <c r="AB26" i="4"/>
  <c r="AB27" i="4" s="1"/>
  <c r="V26" i="4"/>
  <c r="V27" i="4" s="1"/>
  <c r="AB38" i="4"/>
  <c r="AB39" i="4" s="1"/>
  <c r="V38" i="4"/>
  <c r="V39" i="4" s="1"/>
  <c r="Y38" i="4"/>
  <c r="Y39" i="4" s="1"/>
  <c r="M39" i="4"/>
  <c r="P38" i="4"/>
  <c r="P39" i="4" s="1"/>
  <c r="M37" i="4"/>
  <c r="Y36" i="4"/>
  <c r="Y37" i="4" s="1"/>
  <c r="P36" i="4"/>
  <c r="P37" i="4" s="1"/>
  <c r="AB36" i="4"/>
  <c r="AB37" i="4" s="1"/>
  <c r="V36" i="4"/>
  <c r="V37" i="4" s="1"/>
  <c r="M25" i="4"/>
  <c r="Y24" i="4"/>
  <c r="Y25" i="4" s="1"/>
  <c r="P24" i="4"/>
  <c r="P25" i="4" s="1"/>
  <c r="V24" i="4"/>
  <c r="V25" i="4" s="1"/>
  <c r="AB24" i="4"/>
  <c r="AB25" i="4" s="1"/>
  <c r="AC24" i="4"/>
  <c r="AC25" i="4" s="1"/>
  <c r="W24" i="4"/>
  <c r="W25" i="4" s="1"/>
  <c r="Z24" i="4"/>
  <c r="Z25" i="4" s="1"/>
  <c r="Q24" i="4"/>
  <c r="Q25" i="4" s="1"/>
  <c r="AA28" i="4"/>
  <c r="AA29" i="4" s="1"/>
  <c r="R28" i="4"/>
  <c r="R29" i="4" s="1"/>
  <c r="AD28" i="4"/>
  <c r="AD29" i="4" s="1"/>
  <c r="X28" i="4"/>
  <c r="X29" i="4" s="1"/>
  <c r="M33" i="4"/>
  <c r="Y32" i="4"/>
  <c r="Y33" i="4" s="1"/>
  <c r="P32" i="4"/>
  <c r="P33" i="4" s="1"/>
  <c r="V32" i="4"/>
  <c r="V33" i="4" s="1"/>
  <c r="AB32" i="4"/>
  <c r="AB33" i="4" s="1"/>
  <c r="AC32" i="4"/>
  <c r="AC33" i="4" s="1"/>
  <c r="W32" i="4"/>
  <c r="W33" i="4" s="1"/>
  <c r="Z32" i="4"/>
  <c r="Z33" i="4" s="1"/>
  <c r="N33" i="4"/>
  <c r="Q32" i="4"/>
  <c r="Q33" i="4" s="1"/>
  <c r="M23" i="4"/>
  <c r="Y22" i="4"/>
  <c r="Y23" i="4" s="1"/>
  <c r="P22" i="4"/>
  <c r="P23" i="4" s="1"/>
  <c r="AB22" i="4"/>
  <c r="AB23" i="4" s="1"/>
  <c r="V22" i="4"/>
  <c r="V23" i="4" s="1"/>
  <c r="O31" i="4"/>
  <c r="AA30" i="4"/>
  <c r="AA31" i="4" s="1"/>
  <c r="R30" i="4"/>
  <c r="R31" i="4" s="1"/>
  <c r="X30" i="4"/>
  <c r="X31" i="4" s="1"/>
  <c r="AD30" i="4"/>
  <c r="AD31" i="4" s="1"/>
  <c r="AC30" i="4"/>
  <c r="AC31" i="4" s="1"/>
  <c r="W30" i="4"/>
  <c r="W31" i="4" s="1"/>
  <c r="N31" i="4"/>
  <c r="Q30" i="4"/>
  <c r="Q31" i="4" s="1"/>
  <c r="Z30" i="4"/>
  <c r="Z31" i="4" s="1"/>
  <c r="O27" i="4"/>
  <c r="AA26" i="4"/>
  <c r="AA27" i="4" s="1"/>
  <c r="R26" i="4"/>
  <c r="R27" i="4" s="1"/>
  <c r="X26" i="4"/>
  <c r="X27" i="4" s="1"/>
  <c r="AD26" i="4"/>
  <c r="AD27" i="4" s="1"/>
  <c r="AC26" i="4"/>
  <c r="AC27" i="4" s="1"/>
  <c r="W26" i="4"/>
  <c r="W27" i="4" s="1"/>
  <c r="N27" i="4"/>
  <c r="Q26" i="4"/>
  <c r="Q27" i="4" s="1"/>
  <c r="Z26" i="4"/>
  <c r="Z27" i="4" s="1"/>
  <c r="N39" i="4"/>
  <c r="Z38" i="4"/>
  <c r="Z39" i="4" s="1"/>
  <c r="Q38" i="4"/>
  <c r="Q39" i="4" s="1"/>
  <c r="AC38" i="4"/>
  <c r="AC39" i="4" s="1"/>
  <c r="W38" i="4"/>
  <c r="W39" i="4" s="1"/>
  <c r="AD38" i="4"/>
  <c r="AD39" i="4" s="1"/>
  <c r="X38" i="4"/>
  <c r="X39" i="4" s="1"/>
  <c r="O39" i="4"/>
  <c r="R38" i="4"/>
  <c r="R39" i="4" s="1"/>
  <c r="AA38" i="4"/>
  <c r="AA39" i="4" s="1"/>
  <c r="O37" i="4"/>
  <c r="AA36" i="4"/>
  <c r="AA37" i="4" s="1"/>
  <c r="R36" i="4"/>
  <c r="R37" i="4" s="1"/>
  <c r="X36" i="4"/>
  <c r="X37" i="4" s="1"/>
  <c r="AD36" i="4"/>
  <c r="AD37" i="4" s="1"/>
  <c r="AC36" i="4"/>
  <c r="AC37" i="4" s="1"/>
  <c r="W36" i="4"/>
  <c r="W37" i="4" s="1"/>
  <c r="N37" i="4"/>
  <c r="Q36" i="4"/>
  <c r="Q37" i="4" s="1"/>
  <c r="Z36" i="4"/>
  <c r="Z37" i="4" s="1"/>
  <c r="O25" i="4"/>
  <c r="AA24" i="4"/>
  <c r="AA25" i="4" s="1"/>
  <c r="R24" i="4"/>
  <c r="R25" i="4" s="1"/>
  <c r="AD24" i="4"/>
  <c r="AD25" i="4" s="1"/>
  <c r="X24" i="4"/>
  <c r="X25" i="4" s="1"/>
  <c r="Y28" i="4"/>
  <c r="Y29" i="4" s="1"/>
  <c r="P28" i="4"/>
  <c r="P29" i="4" s="1"/>
  <c r="V28" i="4"/>
  <c r="V29" i="4" s="1"/>
  <c r="AB28" i="4"/>
  <c r="AB29" i="4" s="1"/>
  <c r="AC28" i="4"/>
  <c r="AC29" i="4" s="1"/>
  <c r="W28" i="4"/>
  <c r="W29" i="4" s="1"/>
  <c r="Z28" i="4"/>
  <c r="Z29" i="4" s="1"/>
  <c r="Q28" i="4"/>
  <c r="Q29" i="4" s="1"/>
  <c r="O33" i="4"/>
  <c r="AA32" i="4"/>
  <c r="AA33" i="4" s="1"/>
  <c r="R32" i="4"/>
  <c r="R33" i="4" s="1"/>
  <c r="AD32" i="4"/>
  <c r="AD33" i="4" s="1"/>
  <c r="X32" i="4"/>
  <c r="X33" i="4" s="1"/>
  <c r="O23" i="4"/>
  <c r="AA22" i="4"/>
  <c r="AA23" i="4" s="1"/>
  <c r="R22" i="4"/>
  <c r="R23" i="4" s="1"/>
  <c r="X22" i="4"/>
  <c r="X23" i="4" s="1"/>
  <c r="AD22" i="4"/>
  <c r="AD23" i="4" s="1"/>
  <c r="AC22" i="4"/>
  <c r="AC23" i="4" s="1"/>
  <c r="W22" i="4"/>
  <c r="W23" i="4" s="1"/>
  <c r="N23" i="4"/>
  <c r="Q22" i="4"/>
  <c r="Q23" i="4" s="1"/>
  <c r="Z22" i="4"/>
  <c r="Z23" i="4" s="1"/>
  <c r="M31" i="4"/>
  <c r="Y30" i="4"/>
  <c r="Y31" i="4" s="1"/>
  <c r="P30" i="4"/>
  <c r="P31" i="4" s="1"/>
  <c r="AB30" i="4"/>
  <c r="AB31" i="4" s="1"/>
  <c r="V30" i="4"/>
  <c r="V31" i="4" s="1"/>
  <c r="Q42" i="6" l="1"/>
  <c r="Q43" i="6" s="1"/>
  <c r="P42" i="6"/>
  <c r="AE42" i="6" s="1"/>
  <c r="AE43" i="6" s="1"/>
  <c r="O42" i="6"/>
  <c r="O43" i="6" s="1"/>
  <c r="H40" i="6"/>
  <c r="M40" i="6" s="1"/>
  <c r="G40" i="6"/>
  <c r="J40" i="6" s="1"/>
  <c r="H38" i="6"/>
  <c r="M38" i="6" s="1"/>
  <c r="G38" i="6"/>
  <c r="L38" i="6" s="1"/>
  <c r="H36" i="6"/>
  <c r="M36" i="6" s="1"/>
  <c r="G36" i="6"/>
  <c r="L36" i="6" s="1"/>
  <c r="H34" i="6"/>
  <c r="M34" i="6" s="1"/>
  <c r="G34" i="6"/>
  <c r="L34" i="6" s="1"/>
  <c r="I32" i="6"/>
  <c r="N32" i="6" s="1"/>
  <c r="H32" i="6"/>
  <c r="M32" i="6" s="1"/>
  <c r="G32" i="6"/>
  <c r="K32" i="6" s="1"/>
  <c r="I30" i="6"/>
  <c r="N30" i="6" s="1"/>
  <c r="H30" i="6"/>
  <c r="M30" i="6" s="1"/>
  <c r="G30" i="6"/>
  <c r="K30" i="6" s="1"/>
  <c r="H28" i="6"/>
  <c r="M28" i="6" s="1"/>
  <c r="G28" i="6"/>
  <c r="L28" i="6" s="1"/>
  <c r="H26" i="6"/>
  <c r="M26" i="6" s="1"/>
  <c r="G26" i="6"/>
  <c r="L26" i="6" s="1"/>
  <c r="H24" i="6"/>
  <c r="M24" i="6" s="1"/>
  <c r="G24" i="6"/>
  <c r="L24" i="6" s="1"/>
  <c r="K24" i="6" l="1"/>
  <c r="K26" i="6"/>
  <c r="K28" i="6"/>
  <c r="J30" i="6"/>
  <c r="L30" i="6"/>
  <c r="J32" i="6"/>
  <c r="L32" i="6"/>
  <c r="J24" i="6"/>
  <c r="J26" i="6"/>
  <c r="J28" i="6"/>
  <c r="O40" i="6"/>
  <c r="K34" i="6"/>
  <c r="K36" i="6"/>
  <c r="K38" i="6"/>
  <c r="L40" i="6"/>
  <c r="Q40" i="6" s="1"/>
  <c r="S42" i="6"/>
  <c r="S43" i="6" s="1"/>
  <c r="X42" i="6"/>
  <c r="X43" i="6" s="1"/>
  <c r="Z42" i="6"/>
  <c r="Z43" i="6" s="1"/>
  <c r="AB42" i="6"/>
  <c r="AB43" i="6" s="1"/>
  <c r="AD42" i="6"/>
  <c r="AD43" i="6" s="1"/>
  <c r="AF42" i="6"/>
  <c r="AF43" i="6" s="1"/>
  <c r="P43" i="6"/>
  <c r="J34" i="6"/>
  <c r="J36" i="6"/>
  <c r="J38" i="6"/>
  <c r="R42" i="6"/>
  <c r="R43" i="6" s="1"/>
  <c r="T42" i="6"/>
  <c r="T43" i="6" s="1"/>
  <c r="Y42" i="6"/>
  <c r="Y43" i="6" s="1"/>
  <c r="AA42" i="6"/>
  <c r="AA43" i="6" s="1"/>
  <c r="AC42" i="6"/>
  <c r="AC43" i="6" s="1"/>
  <c r="Q41" i="6" l="1"/>
  <c r="AC40" i="6"/>
  <c r="AC41" i="6" s="1"/>
  <c r="T40" i="6"/>
  <c r="T41" i="6" s="1"/>
  <c r="AF40" i="6"/>
  <c r="AF41" i="6" s="1"/>
  <c r="Z40" i="6"/>
  <c r="Z41" i="6" s="1"/>
  <c r="Q38" i="6"/>
  <c r="O38" i="6"/>
  <c r="P38" i="6"/>
  <c r="Q34" i="6"/>
  <c r="O34" i="6"/>
  <c r="P34" i="6"/>
  <c r="O41" i="6"/>
  <c r="AA40" i="6"/>
  <c r="AA41" i="6" s="1"/>
  <c r="R40" i="6"/>
  <c r="R41" i="6" s="1"/>
  <c r="AD40" i="6"/>
  <c r="AD41" i="6" s="1"/>
  <c r="X40" i="6"/>
  <c r="X41" i="6" s="1"/>
  <c r="P40" i="6"/>
  <c r="Q26" i="6"/>
  <c r="O26" i="6"/>
  <c r="P26" i="6"/>
  <c r="Q36" i="6"/>
  <c r="O36" i="6"/>
  <c r="P36" i="6"/>
  <c r="Q28" i="6"/>
  <c r="O28" i="6"/>
  <c r="P28" i="6"/>
  <c r="Q24" i="6"/>
  <c r="O24" i="6"/>
  <c r="P24" i="6"/>
  <c r="Q32" i="6"/>
  <c r="O32" i="6"/>
  <c r="P32" i="6"/>
  <c r="Q30" i="6"/>
  <c r="O30" i="6"/>
  <c r="P30" i="6"/>
  <c r="P31" i="6" l="1"/>
  <c r="AB30" i="6"/>
  <c r="AB31" i="6" s="1"/>
  <c r="S30" i="6"/>
  <c r="S31" i="6" s="1"/>
  <c r="AE30" i="6"/>
  <c r="AE31" i="6" s="1"/>
  <c r="Y30" i="6"/>
  <c r="Y31" i="6" s="1"/>
  <c r="AD32" i="6"/>
  <c r="AD33" i="6" s="1"/>
  <c r="X32" i="6"/>
  <c r="X33" i="6" s="1"/>
  <c r="O33" i="6"/>
  <c r="AA32" i="6"/>
  <c r="AA33" i="6" s="1"/>
  <c r="R32" i="6"/>
  <c r="R33" i="6" s="1"/>
  <c r="AF24" i="6"/>
  <c r="AF25" i="6" s="1"/>
  <c r="Z24" i="6"/>
  <c r="Z25" i="6" s="1"/>
  <c r="Q25" i="6"/>
  <c r="AC24" i="6"/>
  <c r="AC25" i="6" s="1"/>
  <c r="T24" i="6"/>
  <c r="T25" i="6" s="1"/>
  <c r="P37" i="6"/>
  <c r="AB36" i="6"/>
  <c r="AB37" i="6" s="1"/>
  <c r="S36" i="6"/>
  <c r="S37" i="6" s="1"/>
  <c r="AE36" i="6"/>
  <c r="AE37" i="6" s="1"/>
  <c r="Y36" i="6"/>
  <c r="Y37" i="6" s="1"/>
  <c r="AD26" i="6"/>
  <c r="AD27" i="6" s="1"/>
  <c r="X26" i="6"/>
  <c r="X27" i="6" s="1"/>
  <c r="O27" i="6"/>
  <c r="AA26" i="6"/>
  <c r="AA27" i="6" s="1"/>
  <c r="R26" i="6"/>
  <c r="R27" i="6" s="1"/>
  <c r="AD30" i="6"/>
  <c r="AD31" i="6" s="1"/>
  <c r="X30" i="6"/>
  <c r="X31" i="6" s="1"/>
  <c r="O31" i="6"/>
  <c r="AA30" i="6"/>
  <c r="AA31" i="6" s="1"/>
  <c r="R30" i="6"/>
  <c r="R31" i="6" s="1"/>
  <c r="P33" i="6"/>
  <c r="AB32" i="6"/>
  <c r="AB33" i="6" s="1"/>
  <c r="S32" i="6"/>
  <c r="S33" i="6" s="1"/>
  <c r="AE32" i="6"/>
  <c r="AE33" i="6" s="1"/>
  <c r="Y32" i="6"/>
  <c r="Y33" i="6" s="1"/>
  <c r="AF32" i="6"/>
  <c r="AF33" i="6" s="1"/>
  <c r="Z32" i="6"/>
  <c r="Z33" i="6" s="1"/>
  <c r="Q33" i="6"/>
  <c r="AC32" i="6"/>
  <c r="AC33" i="6" s="1"/>
  <c r="T32" i="6"/>
  <c r="T33" i="6" s="1"/>
  <c r="AD24" i="6"/>
  <c r="AD25" i="6" s="1"/>
  <c r="X24" i="6"/>
  <c r="X25" i="6" s="1"/>
  <c r="O25" i="6"/>
  <c r="AA24" i="6"/>
  <c r="AA25" i="6" s="1"/>
  <c r="R24" i="6"/>
  <c r="R25" i="6" s="1"/>
  <c r="P29" i="6"/>
  <c r="AB28" i="6"/>
  <c r="AB29" i="6" s="1"/>
  <c r="S28" i="6"/>
  <c r="S29" i="6" s="1"/>
  <c r="AE28" i="6"/>
  <c r="AE29" i="6" s="1"/>
  <c r="Y28" i="6"/>
  <c r="Y29" i="6" s="1"/>
  <c r="AF28" i="6"/>
  <c r="AF29" i="6" s="1"/>
  <c r="Z28" i="6"/>
  <c r="Z29" i="6" s="1"/>
  <c r="Q29" i="6"/>
  <c r="AC28" i="6"/>
  <c r="AC29" i="6" s="1"/>
  <c r="T28" i="6"/>
  <c r="T29" i="6" s="1"/>
  <c r="AD36" i="6"/>
  <c r="AD37" i="6" s="1"/>
  <c r="X36" i="6"/>
  <c r="X37" i="6" s="1"/>
  <c r="O37" i="6"/>
  <c r="AA36" i="6"/>
  <c r="AA37" i="6" s="1"/>
  <c r="R36" i="6"/>
  <c r="R37" i="6" s="1"/>
  <c r="P27" i="6"/>
  <c r="AB26" i="6"/>
  <c r="AB27" i="6" s="1"/>
  <c r="S26" i="6"/>
  <c r="S27" i="6" s="1"/>
  <c r="AE26" i="6"/>
  <c r="AE27" i="6" s="1"/>
  <c r="Y26" i="6"/>
  <c r="Y27" i="6" s="1"/>
  <c r="AF26" i="6"/>
  <c r="AF27" i="6" s="1"/>
  <c r="Z26" i="6"/>
  <c r="Z27" i="6" s="1"/>
  <c r="Q27" i="6"/>
  <c r="AC26" i="6"/>
  <c r="AC27" i="6" s="1"/>
  <c r="T26" i="6"/>
  <c r="T27" i="6" s="1"/>
  <c r="AD34" i="6"/>
  <c r="AD35" i="6" s="1"/>
  <c r="X34" i="6"/>
  <c r="X35" i="6" s="1"/>
  <c r="O35" i="6"/>
  <c r="AA34" i="6"/>
  <c r="AA35" i="6" s="1"/>
  <c r="R34" i="6"/>
  <c r="R35" i="6" s="1"/>
  <c r="P39" i="6"/>
  <c r="AB38" i="6"/>
  <c r="AB39" i="6" s="1"/>
  <c r="S38" i="6"/>
  <c r="S39" i="6" s="1"/>
  <c r="AE38" i="6"/>
  <c r="AE39" i="6" s="1"/>
  <c r="Y38" i="6"/>
  <c r="Y39" i="6" s="1"/>
  <c r="AF38" i="6"/>
  <c r="AF39" i="6" s="1"/>
  <c r="Z38" i="6"/>
  <c r="Z39" i="6" s="1"/>
  <c r="Q39" i="6"/>
  <c r="AC38" i="6"/>
  <c r="AC39" i="6" s="1"/>
  <c r="T38" i="6"/>
  <c r="T39" i="6" s="1"/>
  <c r="AF30" i="6"/>
  <c r="AF31" i="6" s="1"/>
  <c r="Z30" i="6"/>
  <c r="Z31" i="6" s="1"/>
  <c r="Q31" i="6"/>
  <c r="AC30" i="6"/>
  <c r="AC31" i="6" s="1"/>
  <c r="T30" i="6"/>
  <c r="T31" i="6" s="1"/>
  <c r="P25" i="6"/>
  <c r="AB24" i="6"/>
  <c r="AB25" i="6" s="1"/>
  <c r="S24" i="6"/>
  <c r="S25" i="6" s="1"/>
  <c r="AE24" i="6"/>
  <c r="AE25" i="6" s="1"/>
  <c r="Y24" i="6"/>
  <c r="Y25" i="6" s="1"/>
  <c r="AD28" i="6"/>
  <c r="AD29" i="6" s="1"/>
  <c r="X28" i="6"/>
  <c r="X29" i="6" s="1"/>
  <c r="O29" i="6"/>
  <c r="AA28" i="6"/>
  <c r="AA29" i="6" s="1"/>
  <c r="R28" i="6"/>
  <c r="R29" i="6" s="1"/>
  <c r="AF36" i="6"/>
  <c r="AF37" i="6" s="1"/>
  <c r="Z36" i="6"/>
  <c r="Z37" i="6" s="1"/>
  <c r="Q37" i="6"/>
  <c r="AC36" i="6"/>
  <c r="AC37" i="6" s="1"/>
  <c r="T36" i="6"/>
  <c r="T37" i="6" s="1"/>
  <c r="AE40" i="6"/>
  <c r="AE41" i="6" s="1"/>
  <c r="Y40" i="6"/>
  <c r="Y41" i="6" s="1"/>
  <c r="P41" i="6"/>
  <c r="AB40" i="6"/>
  <c r="AB41" i="6" s="1"/>
  <c r="S40" i="6"/>
  <c r="S41" i="6" s="1"/>
  <c r="P35" i="6"/>
  <c r="AB34" i="6"/>
  <c r="AB35" i="6" s="1"/>
  <c r="S34" i="6"/>
  <c r="S35" i="6" s="1"/>
  <c r="AE34" i="6"/>
  <c r="AE35" i="6" s="1"/>
  <c r="Y34" i="6"/>
  <c r="Y35" i="6" s="1"/>
  <c r="AF34" i="6"/>
  <c r="AF35" i="6" s="1"/>
  <c r="Z34" i="6"/>
  <c r="Z35" i="6" s="1"/>
  <c r="Q35" i="6"/>
  <c r="AC34" i="6"/>
  <c r="AC35" i="6" s="1"/>
  <c r="T34" i="6"/>
  <c r="T35" i="6" s="1"/>
  <c r="AD38" i="6"/>
  <c r="AD39" i="6" s="1"/>
  <c r="X38" i="6"/>
  <c r="X39" i="6" s="1"/>
  <c r="O39" i="6"/>
  <c r="AA38" i="6"/>
  <c r="AA39" i="6" s="1"/>
  <c r="R38" i="6"/>
  <c r="R39" i="6" s="1"/>
</calcChain>
</file>

<file path=xl/comments1.xml><?xml version="1.0" encoding="utf-8"?>
<comments xmlns="http://schemas.openxmlformats.org/spreadsheetml/2006/main">
  <authors>
    <author>신영</author>
  </authors>
  <commentList>
    <comment ref="C29" authorId="0">
      <text>
        <r>
          <rPr>
            <b/>
            <sz val="9"/>
            <color indexed="81"/>
            <rFont val="돋움"/>
            <family val="3"/>
            <charset val="129"/>
          </rPr>
          <t>실손의료비담보</t>
        </r>
        <r>
          <rPr>
            <b/>
            <sz val="9"/>
            <color indexed="81"/>
            <rFont val="Tahoma"/>
            <family val="2"/>
          </rPr>
          <t xml:space="preserve"> /
 </t>
        </r>
        <r>
          <rPr>
            <b/>
            <sz val="9"/>
            <color indexed="81"/>
            <rFont val="돋움"/>
            <family val="3"/>
            <charset val="129"/>
          </rPr>
          <t>갱신담보</t>
        </r>
        <r>
          <rPr>
            <b/>
            <sz val="9"/>
            <color indexed="81"/>
            <rFont val="Tahoma"/>
            <family val="2"/>
          </rPr>
          <t xml:space="preserve"> </t>
        </r>
        <r>
          <rPr>
            <b/>
            <sz val="9"/>
            <color indexed="81"/>
            <rFont val="돋움"/>
            <family val="3"/>
            <charset val="129"/>
          </rPr>
          <t>제외</t>
        </r>
      </text>
    </comment>
    <comment ref="C35" authorId="0">
      <text>
        <r>
          <rPr>
            <b/>
            <sz val="9"/>
            <color indexed="81"/>
            <rFont val="돋움"/>
            <family val="3"/>
            <charset val="129"/>
          </rPr>
          <t>평균수정율</t>
        </r>
      </text>
    </comment>
  </commentList>
</comments>
</file>

<file path=xl/comments2.xml><?xml version="1.0" encoding="utf-8"?>
<comments xmlns="http://schemas.openxmlformats.org/spreadsheetml/2006/main">
  <authors>
    <author>무녕</author>
    <author>정식</author>
  </authors>
  <commentList>
    <comment ref="C29" authorId="0">
      <text>
        <r>
          <rPr>
            <sz val="9"/>
            <color indexed="81"/>
            <rFont val="Tahoma"/>
            <family val="2"/>
          </rPr>
          <t xml:space="preserve">145% : </t>
        </r>
        <r>
          <rPr>
            <sz val="9"/>
            <color indexed="81"/>
            <rFont val="돋움"/>
            <family val="3"/>
            <charset val="129"/>
          </rPr>
          <t>상해및비용담보</t>
        </r>
        <r>
          <rPr>
            <sz val="9"/>
            <color indexed="81"/>
            <rFont val="Tahoma"/>
            <family val="2"/>
          </rPr>
          <t xml:space="preserve"> </t>
        </r>
        <r>
          <rPr>
            <sz val="9"/>
            <color indexed="81"/>
            <rFont val="돋움"/>
            <family val="3"/>
            <charset val="129"/>
          </rPr>
          <t>수정율
적립및의료비담보</t>
        </r>
        <r>
          <rPr>
            <sz val="9"/>
            <color indexed="81"/>
            <rFont val="Tahoma"/>
            <family val="2"/>
          </rPr>
          <t xml:space="preserve"> </t>
        </r>
        <r>
          <rPr>
            <sz val="9"/>
            <color indexed="81"/>
            <rFont val="돋움"/>
            <family val="3"/>
            <charset val="129"/>
          </rPr>
          <t>수정율</t>
        </r>
        <r>
          <rPr>
            <sz val="9"/>
            <color indexed="81"/>
            <rFont val="Tahoma"/>
            <family val="2"/>
          </rPr>
          <t xml:space="preserve"> </t>
        </r>
        <r>
          <rPr>
            <sz val="9"/>
            <color indexed="81"/>
            <rFont val="돋움"/>
            <family val="3"/>
            <charset val="129"/>
          </rPr>
          <t>상이함
수정율표</t>
        </r>
        <r>
          <rPr>
            <sz val="9"/>
            <color indexed="81"/>
            <rFont val="Tahoma"/>
            <family val="2"/>
          </rPr>
          <t xml:space="preserve"> </t>
        </r>
        <r>
          <rPr>
            <sz val="9"/>
            <color indexed="81"/>
            <rFont val="돋움"/>
            <family val="3"/>
            <charset val="129"/>
          </rPr>
          <t>참조</t>
        </r>
        <r>
          <rPr>
            <sz val="9"/>
            <color indexed="81"/>
            <rFont val="Tahoma"/>
            <family val="2"/>
          </rPr>
          <t xml:space="preserve">
</t>
        </r>
      </text>
    </comment>
    <comment ref="D29" authorId="0">
      <text>
        <r>
          <rPr>
            <sz val="9"/>
            <color indexed="81"/>
            <rFont val="Tahoma"/>
            <family val="2"/>
          </rPr>
          <t xml:space="preserve">35% : </t>
        </r>
        <r>
          <rPr>
            <sz val="9"/>
            <color indexed="81"/>
            <rFont val="돋움"/>
            <family val="3"/>
            <charset val="129"/>
          </rPr>
          <t>상해및비용담보</t>
        </r>
        <r>
          <rPr>
            <sz val="9"/>
            <color indexed="81"/>
            <rFont val="Tahoma"/>
            <family val="2"/>
          </rPr>
          <t xml:space="preserve"> </t>
        </r>
        <r>
          <rPr>
            <sz val="9"/>
            <color indexed="81"/>
            <rFont val="돋움"/>
            <family val="3"/>
            <charset val="129"/>
          </rPr>
          <t>수정율
적립및의료비담보</t>
        </r>
        <r>
          <rPr>
            <sz val="9"/>
            <color indexed="81"/>
            <rFont val="Tahoma"/>
            <family val="2"/>
          </rPr>
          <t xml:space="preserve"> </t>
        </r>
        <r>
          <rPr>
            <sz val="9"/>
            <color indexed="81"/>
            <rFont val="돋움"/>
            <family val="3"/>
            <charset val="129"/>
          </rPr>
          <t>수정율</t>
        </r>
        <r>
          <rPr>
            <sz val="9"/>
            <color indexed="81"/>
            <rFont val="Tahoma"/>
            <family val="2"/>
          </rPr>
          <t xml:space="preserve"> </t>
        </r>
        <r>
          <rPr>
            <sz val="9"/>
            <color indexed="81"/>
            <rFont val="돋움"/>
            <family val="3"/>
            <charset val="129"/>
          </rPr>
          <t>상이함
수정율표</t>
        </r>
        <r>
          <rPr>
            <sz val="9"/>
            <color indexed="81"/>
            <rFont val="Tahoma"/>
            <family val="2"/>
          </rPr>
          <t xml:space="preserve"> </t>
        </r>
        <r>
          <rPr>
            <sz val="9"/>
            <color indexed="81"/>
            <rFont val="돋움"/>
            <family val="3"/>
            <charset val="129"/>
          </rPr>
          <t>참조</t>
        </r>
        <r>
          <rPr>
            <sz val="9"/>
            <color indexed="81"/>
            <rFont val="Tahoma"/>
            <family val="2"/>
          </rPr>
          <t xml:space="preserve">
</t>
        </r>
      </text>
    </comment>
    <comment ref="C39" authorId="1">
      <text>
        <r>
          <rPr>
            <b/>
            <sz val="9"/>
            <color indexed="81"/>
            <rFont val="돋움"/>
            <family val="3"/>
            <charset val="129"/>
          </rPr>
          <t>보장</t>
        </r>
        <r>
          <rPr>
            <b/>
            <sz val="9"/>
            <color indexed="81"/>
            <rFont val="Tahoma"/>
            <family val="2"/>
          </rPr>
          <t xml:space="preserve"> : 172%
</t>
        </r>
        <r>
          <rPr>
            <b/>
            <sz val="9"/>
            <color indexed="81"/>
            <rFont val="돋움"/>
            <family val="3"/>
            <charset val="129"/>
          </rPr>
          <t>갱신</t>
        </r>
        <r>
          <rPr>
            <b/>
            <sz val="9"/>
            <color indexed="81"/>
            <rFont val="Tahoma"/>
            <family val="2"/>
          </rPr>
          <t xml:space="preserve"> : 172%
</t>
        </r>
        <r>
          <rPr>
            <b/>
            <sz val="9"/>
            <color indexed="81"/>
            <rFont val="돋움"/>
            <family val="3"/>
            <charset val="129"/>
          </rPr>
          <t>적립</t>
        </r>
        <r>
          <rPr>
            <b/>
            <sz val="9"/>
            <color indexed="81"/>
            <rFont val="Tahoma"/>
            <family val="2"/>
          </rPr>
          <t xml:space="preserve"> : 206%
</t>
        </r>
        <r>
          <rPr>
            <b/>
            <sz val="9"/>
            <color indexed="81"/>
            <rFont val="돋움"/>
            <family val="3"/>
            <charset val="129"/>
          </rPr>
          <t>평균</t>
        </r>
        <r>
          <rPr>
            <b/>
            <sz val="9"/>
            <color indexed="81"/>
            <rFont val="Tahoma"/>
            <family val="2"/>
          </rPr>
          <t xml:space="preserve"> : 183%</t>
        </r>
        <r>
          <rPr>
            <sz val="9"/>
            <color indexed="81"/>
            <rFont val="Tahoma"/>
            <family val="2"/>
          </rPr>
          <t xml:space="preserve">
</t>
        </r>
      </text>
    </comment>
  </commentList>
</comments>
</file>

<file path=xl/comments3.xml><?xml version="1.0" encoding="utf-8"?>
<comments xmlns="http://schemas.openxmlformats.org/spreadsheetml/2006/main">
  <authors>
    <author>프라임</author>
  </authors>
  <commentList>
    <comment ref="C22" authorId="0">
      <text>
        <r>
          <rPr>
            <b/>
            <sz val="9"/>
            <color indexed="81"/>
            <rFont val="돋움"/>
            <family val="3"/>
            <charset val="129"/>
          </rPr>
          <t>3종(적립대체)
 보장, 적립, 선택담보
 (중증치매진단비, 충수질환수술비,식중독입원비, 인공관절수술비 제외)</t>
        </r>
      </text>
    </comment>
  </commentList>
</comments>
</file>

<file path=xl/comments4.xml><?xml version="1.0" encoding="utf-8"?>
<comments xmlns="http://schemas.openxmlformats.org/spreadsheetml/2006/main">
  <authors>
    <author>주연</author>
  </authors>
  <commentList>
    <comment ref="C24" authorId="0">
      <text>
        <r>
          <rPr>
            <sz val="10"/>
            <color indexed="81"/>
            <rFont val="돋움"/>
            <family val="3"/>
            <charset val="129"/>
          </rPr>
          <t>평균수정율</t>
        </r>
      </text>
    </comment>
  </commentList>
</comments>
</file>

<file path=xl/comments5.xml><?xml version="1.0" encoding="utf-8"?>
<comments xmlns="http://schemas.openxmlformats.org/spreadsheetml/2006/main">
  <authors>
    <author>이문영</author>
    <author>정식</author>
  </authors>
  <commentList>
    <comment ref="C24" authorId="0">
      <text>
        <r>
          <rPr>
            <b/>
            <sz val="9"/>
            <color indexed="81"/>
            <rFont val="돋움"/>
            <family val="3"/>
            <charset val="129"/>
          </rPr>
          <t>평균수정률</t>
        </r>
      </text>
    </comment>
    <comment ref="C45" authorId="1">
      <text>
        <r>
          <rPr>
            <b/>
            <sz val="9"/>
            <color indexed="81"/>
            <rFont val="돋움"/>
            <family val="3"/>
            <charset val="129"/>
          </rPr>
          <t>보장</t>
        </r>
        <r>
          <rPr>
            <b/>
            <sz val="9"/>
            <color indexed="81"/>
            <rFont val="Tahoma"/>
            <family val="2"/>
          </rPr>
          <t xml:space="preserve"> </t>
        </r>
        <r>
          <rPr>
            <b/>
            <sz val="9"/>
            <color indexed="81"/>
            <rFont val="돋움"/>
            <family val="3"/>
            <charset val="129"/>
          </rPr>
          <t>수정보험료</t>
        </r>
        <r>
          <rPr>
            <b/>
            <sz val="9"/>
            <color indexed="81"/>
            <rFont val="Tahoma"/>
            <family val="2"/>
          </rPr>
          <t xml:space="preserve"> </t>
        </r>
        <r>
          <rPr>
            <b/>
            <sz val="9"/>
            <color indexed="81"/>
            <rFont val="돋움"/>
            <family val="3"/>
            <charset val="129"/>
          </rPr>
          <t>기준
개인</t>
        </r>
      </text>
    </comment>
  </commentList>
</comments>
</file>

<file path=xl/comments6.xml><?xml version="1.0" encoding="utf-8"?>
<comments xmlns="http://schemas.openxmlformats.org/spreadsheetml/2006/main">
  <authors>
    <author>경영관리팀</author>
  </authors>
  <commentList>
    <comment ref="D40" authorId="0">
      <text>
        <r>
          <rPr>
            <sz val="9"/>
            <color indexed="81"/>
            <rFont val="Tahoma"/>
            <family val="2"/>
          </rPr>
          <t>4</t>
        </r>
        <r>
          <rPr>
            <sz val="9"/>
            <color indexed="81"/>
            <rFont val="돋움"/>
            <family val="3"/>
            <charset val="129"/>
          </rPr>
          <t>년납이상</t>
        </r>
      </text>
    </comment>
  </commentList>
</comments>
</file>

<file path=xl/comments7.xml><?xml version="1.0" encoding="utf-8"?>
<comments xmlns="http://schemas.openxmlformats.org/spreadsheetml/2006/main">
  <authors>
    <author>주연</author>
  </authors>
  <commentList>
    <comment ref="D35" authorId="0">
      <text>
        <r>
          <rPr>
            <b/>
            <sz val="9"/>
            <color indexed="81"/>
            <rFont val="돋움"/>
            <family val="3"/>
            <charset val="129"/>
          </rPr>
          <t>보장</t>
        </r>
        <r>
          <rPr>
            <b/>
            <sz val="9"/>
            <color indexed="81"/>
            <rFont val="Tahoma"/>
            <family val="2"/>
          </rPr>
          <t xml:space="preserve"> : 50%
</t>
        </r>
        <r>
          <rPr>
            <b/>
            <sz val="9"/>
            <color indexed="81"/>
            <rFont val="돋움"/>
            <family val="3"/>
            <charset val="129"/>
          </rPr>
          <t>적립</t>
        </r>
        <r>
          <rPr>
            <b/>
            <sz val="9"/>
            <color indexed="81"/>
            <rFont val="Tahoma"/>
            <family val="2"/>
          </rPr>
          <t xml:space="preserve"> : 75%</t>
        </r>
      </text>
    </comment>
  </commentList>
</comments>
</file>

<file path=xl/sharedStrings.xml><?xml version="1.0" encoding="utf-8"?>
<sst xmlns="http://schemas.openxmlformats.org/spreadsheetml/2006/main" count="1255" uniqueCount="820">
  <si>
    <t>손해 보험 수수료 지급 기준</t>
    <phoneticPr fontId="7" type="noConversion"/>
  </si>
  <si>
    <t>프라임에셋 ㈜</t>
    <phoneticPr fontId="13" type="noConversion"/>
  </si>
  <si>
    <t>4회차</t>
  </si>
  <si>
    <t>5회차</t>
  </si>
  <si>
    <t>6회차</t>
  </si>
  <si>
    <t>7회차</t>
  </si>
  <si>
    <t>8회차</t>
  </si>
  <si>
    <t>9회차</t>
  </si>
  <si>
    <t>10회차</t>
  </si>
  <si>
    <t>11회차</t>
  </si>
  <si>
    <t>12회차</t>
  </si>
  <si>
    <t>13회차</t>
  </si>
  <si>
    <t>16회차</t>
  </si>
  <si>
    <t>17회차</t>
  </si>
  <si>
    <t>18회차</t>
  </si>
  <si>
    <t>1. 보험회사 연동방식</t>
    <phoneticPr fontId="13" type="noConversion"/>
  </si>
  <si>
    <r>
      <t xml:space="preserve">보험사 연동정산 방식이란 </t>
    </r>
    <r>
      <rPr>
        <b/>
        <sz val="11"/>
        <color indexed="60"/>
        <rFont val="맑은 고딕"/>
        <family val="3"/>
        <charset val="129"/>
      </rPr>
      <t>회사가 영업조직에게 지급하는 수수료를 보험회사와 연동하여 정산</t>
    </r>
    <r>
      <rPr>
        <b/>
        <sz val="11"/>
        <color indexed="8"/>
        <rFont val="맑은 고딕"/>
        <family val="3"/>
        <charset val="129"/>
      </rPr>
      <t>하는 것을 의미함. 즉, 회사가 보험회사로부터 받는 수수료를 기초로 각 직급별 지급율을 곱하여 계산한 금액을 지급하는 방식임. 이때, 보험회사와 연동되는 항목은 업적구간별</t>
    </r>
    <r>
      <rPr>
        <b/>
        <sz val="11"/>
        <color indexed="8"/>
        <rFont val="맑은 고딕"/>
        <family val="3"/>
        <charset val="129"/>
      </rPr>
      <t>·</t>
    </r>
    <r>
      <rPr>
        <b/>
        <sz val="11"/>
        <color indexed="8"/>
        <rFont val="맑은 고딕"/>
        <family val="3"/>
        <charset val="129"/>
      </rPr>
      <t>유지율구간별 지급율, 개별 계약의 수정P, 회차별 지급방식 등 보험회사와 연동하지 않는 것으로 별도 정한 사항을 제외한 모든 항목이 해당됨.</t>
    </r>
    <phoneticPr fontId="13" type="noConversion"/>
  </si>
  <si>
    <t>2. 보험회사 비연동방식</t>
    <phoneticPr fontId="13" type="noConversion"/>
  </si>
  <si>
    <t>아래의 각 항목에 대해서는 상기의 보험회사 연동방식을 적용하지 않고, 당사가 별도로 정한 방법에 따른다.</t>
    <phoneticPr fontId="13" type="noConversion"/>
  </si>
  <si>
    <t>⑴ 프라임 선지급형</t>
    <phoneticPr fontId="13" type="noConversion"/>
  </si>
  <si>
    <t>프라임 선지급형이란 수수료 경쟁력 확보를 위해 수수료 정산을 보험사와 연동하지 않고 당사에서 확보한 재원으로 우선 선지급하되, 2013년 4월 손해보험 제도 변경 전 수수료테이블에 준하는 수수료테이블을 목표로 함. 프라임 선지급제도는 많은 재원을 필요로 하는 데다 수수료 수령 및 지급의 시차가 존재하므로 보험사 연동정산 방식을 적용하지 않으며, 별도의 환수제도(아래의 환수제도에서 Group A)가 적용됨.</t>
    <phoneticPr fontId="13" type="noConversion"/>
  </si>
  <si>
    <t>⑵ 최저보장제도</t>
    <phoneticPr fontId="13" type="noConversion"/>
  </si>
  <si>
    <t>최저보장제도란 수수료 제도의 안정성 확보를 위해 최저보장되는 항목(업적구간, 유지율 또는 개별 수수료항목)에 대해서는 최저보장 아래의 구간에 해당되더라도 최저보장 수준의 수수료를 지급하는 제도를 의미함. 이때, 보험회사가 최저보장하는 경우와 당사가 자체적으로 최저보장하는 경우 모두 동일하게 적용됨.</t>
    <phoneticPr fontId="13" type="noConversion"/>
  </si>
  <si>
    <t>⑶ 환수제도</t>
    <phoneticPr fontId="13" type="noConversion"/>
  </si>
  <si>
    <t>수수료 환수는 당사가 별도로 정한 아래의 미유지 회차별 환수기준에 따름. 이때 미유지 회차별 환수는 총지급수수료에 대해 적용하고 별도로 정하지 않는 한 기존계약에 대해서도 일괄 반영하고 환수시점의 지급율에 따라 환수함.</t>
    <phoneticPr fontId="13" type="noConversion"/>
  </si>
  <si>
    <t>구분</t>
    <phoneticPr fontId="13" type="noConversion"/>
  </si>
  <si>
    <t>2회차</t>
    <phoneticPr fontId="13" type="noConversion"/>
  </si>
  <si>
    <t>3회차</t>
    <phoneticPr fontId="13" type="noConversion"/>
  </si>
  <si>
    <t>Group A/B</t>
    <phoneticPr fontId="13" type="noConversion"/>
  </si>
  <si>
    <t>14회차</t>
    <phoneticPr fontId="13" type="noConversion"/>
  </si>
  <si>
    <t>15회차</t>
    <phoneticPr fontId="13" type="noConversion"/>
  </si>
  <si>
    <t>Group A</t>
    <phoneticPr fontId="13" type="noConversion"/>
  </si>
  <si>
    <t>Group B</t>
    <phoneticPr fontId="13" type="noConversion"/>
  </si>
  <si>
    <t xml:space="preserve">   상기 미유지 회차별 환수율은 손해보험에 한하며, 생명보험은 생보수수료 테이블 안내자료 참고</t>
    <phoneticPr fontId="13" type="noConversion"/>
  </si>
  <si>
    <t>3. 수수료 예측</t>
    <phoneticPr fontId="13" type="noConversion"/>
  </si>
  <si>
    <t>본 안내자료는 각사별 대표 상품별 표준 수정율에 따라 예시 형태로 작성되었으며, 구체적인 설계 내용에 따라 실제 지급액과는 차이가 발생할 수 있습니다. 예시한 상품 또는 예시되지 않은 상품의 가입설계 후 실제 수정P를 본 자료에 기입하여 계약별 수수료를 확인하시기 바라며 수수료 테이블 관련 문의는 경영관리팀의 각사별 담당자에게 문의하시기 바랍니다.</t>
    <phoneticPr fontId="13" type="noConversion"/>
  </si>
  <si>
    <t>보험사</t>
    <phoneticPr fontId="13" type="noConversion"/>
  </si>
  <si>
    <t>변동 항목</t>
    <phoneticPr fontId="13" type="noConversion"/>
  </si>
  <si>
    <t>변동 전</t>
    <phoneticPr fontId="13" type="noConversion"/>
  </si>
  <si>
    <t>변동 후</t>
    <phoneticPr fontId="13" type="noConversion"/>
  </si>
  <si>
    <t>※ 각 회사별 테이블 지급예시는 주계약기준으로 작성된 것 입니다.</t>
    <phoneticPr fontId="13" type="noConversion"/>
  </si>
  <si>
    <t>수정률은 담보별, 납기별로 상이하기 때문에 다른 특약담보를 넣으시는 경우나, 다른 납기를 선택하시는 경우  예시된 기준으로 지급되지 않습니다.</t>
    <phoneticPr fontId="13" type="noConversion"/>
  </si>
  <si>
    <t>계산식 : 당월 장기 유지관리 수정P * 지급률</t>
  </si>
  <si>
    <t>수정률</t>
  </si>
  <si>
    <t>홈앤비즈케어종합</t>
  </si>
  <si>
    <t>신가족안심상조보험</t>
  </si>
  <si>
    <t>10년납이상</t>
  </si>
  <si>
    <t xml:space="preserve"> ② 수정률 기준 : 납기에 따른 주계약의 월납영수보험료를 기준으로 예시하였으며, 실제 설계시 보험료 및 특약별로 적용되는 수정률이 다를 수 있으므로, </t>
  </si>
  <si>
    <t>-</t>
  </si>
  <si>
    <t xml:space="preserve">4.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</si>
  <si>
    <t>지급률</t>
  </si>
  <si>
    <t>2. 수정P 기준 : 납기에 따른 보장 및 적립 담보 별 월납영수보험료를 기준으로 예시하였으며, 실제 설계시 보험료 및 특약별로 적용되는 수정률이 다를 수 있으므로, 정확한 수정P는 팜스에 공지되어 있는 상품별 수정률 자료 참조 요망</t>
  </si>
  <si>
    <t>총계</t>
  </si>
  <si>
    <t>20~24년납</t>
  </si>
  <si>
    <t>명품연금보험</t>
  </si>
  <si>
    <t>12년납</t>
  </si>
  <si>
    <t>▶ 유지보수수수료 = 영수P * 13~24회차, 13~36회차 해당 납기별 지급률</t>
  </si>
  <si>
    <t>연금/저축/상조보험중 2차년도이후 유지보수수수료 지급률이 
있는 상품만 해당</t>
  </si>
  <si>
    <t xml:space="preserve">2. 수정률 기준 : 납기에 따른 기본보장계약/적립 OR 선택계약의 월납영수보험료를 기준으로 예시하였으며, 실제 설계시 보험료 및 특약별로 적용되는 수정률이 다를 수 있으므로, 정확한 수정률은 팜스에 공지되어 있는 장기보험 수정률표 자료 참조 요망 </t>
  </si>
  <si>
    <t>3. 전 상품 일시납 담보의 경우 수정률 미적용(알파Plus 보장보험 담보 중 1~9년납도 수정률 미적용) 단, 상품에 따라 수정P 대비 0.4%~4% 모집수당으로 합산해서 지급</t>
  </si>
  <si>
    <t>4. 추가납입보험료에 대해선 수정률 또는 일시납 지급률 없음</t>
  </si>
  <si>
    <t>92%↑</t>
  </si>
  <si>
    <t>88%↑</t>
  </si>
  <si>
    <t>84%↑</t>
  </si>
  <si>
    <t>80%↑</t>
  </si>
  <si>
    <t>90%↑</t>
  </si>
  <si>
    <t>87%↑</t>
  </si>
  <si>
    <t>83%↑</t>
  </si>
  <si>
    <t>79%↑</t>
  </si>
  <si>
    <t>75%↑</t>
  </si>
  <si>
    <t>85%↑</t>
  </si>
  <si>
    <t>82%↑</t>
  </si>
  <si>
    <t>78%↑</t>
  </si>
  <si>
    <t>74%↑</t>
  </si>
  <si>
    <t>70%↑</t>
  </si>
  <si>
    <t>85%↓</t>
  </si>
  <si>
    <t>82%↓</t>
  </si>
  <si>
    <t>78%↓</t>
  </si>
  <si>
    <t>74%↓</t>
  </si>
  <si>
    <t>70%↓</t>
  </si>
  <si>
    <t>유지보수 수수료(영수P*지급률)</t>
  </si>
  <si>
    <t>지급 방식 : 저축상품에 한하여 수납 실적월 기준으로 지급
 지급액 : 수정P * 납기구간별지급률 * 최대47회(2~최대48회차)</t>
  </si>
  <si>
    <t>승환 계약</t>
  </si>
  <si>
    <t>수정P</t>
  </si>
  <si>
    <t>1~12회</t>
  </si>
  <si>
    <t>20년납↑</t>
  </si>
  <si>
    <t>손보사별 _ 실손단독상품 _ 수수료규정</t>
    <phoneticPr fontId="13" type="noConversion"/>
  </si>
  <si>
    <t xml:space="preserve">※ 실손단독상품 및 실손특약의 경우 全손보사  보험사 연동으로 지급합니다. </t>
    <phoneticPr fontId="13" type="noConversion"/>
  </si>
  <si>
    <t>▶ 실손의료비보험 : [2~12회차]  수정P * 34%</t>
    <phoneticPr fontId="13" type="noConversion"/>
  </si>
  <si>
    <t>지급기간</t>
    <phoneticPr fontId="33" type="noConversion"/>
  </si>
  <si>
    <t>13~24회차 지급</t>
    <phoneticPr fontId="33" type="noConversion"/>
  </si>
  <si>
    <t>FC</t>
    <phoneticPr fontId="7" type="noConversion"/>
  </si>
  <si>
    <t>유지보수</t>
    <phoneticPr fontId="33" type="noConversion"/>
  </si>
  <si>
    <t>13회~24회</t>
    <phoneticPr fontId="33" type="noConversion"/>
  </si>
  <si>
    <t>익월</t>
    <phoneticPr fontId="7" type="noConversion"/>
  </si>
  <si>
    <t>총계</t>
    <phoneticPr fontId="7" type="noConversion"/>
  </si>
  <si>
    <t>1차년
(익월포함)</t>
    <phoneticPr fontId="13" type="noConversion"/>
  </si>
  <si>
    <t>-</t>
    <phoneticPr fontId="33" type="noConversion"/>
  </si>
  <si>
    <t>모아Rich보험</t>
    <phoneticPr fontId="7" type="noConversion"/>
  </si>
  <si>
    <t>2차년이후</t>
  </si>
  <si>
    <t>본부장</t>
    <phoneticPr fontId="7" type="noConversion"/>
  </si>
  <si>
    <t>상품명</t>
    <phoneticPr fontId="7" type="noConversion"/>
  </si>
  <si>
    <t>2. 수수료 지급 예시</t>
    <phoneticPr fontId="7" type="noConversion"/>
  </si>
  <si>
    <t>본사수수료</t>
    <phoneticPr fontId="7"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</si>
  <si>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</si>
  <si>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</si>
  <si>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</si>
  <si>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</si>
  <si>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모집수수료</t>
    <phoneticPr fontId="7" type="noConversion"/>
  </si>
  <si>
    <t>비례수수료</t>
    <phoneticPr fontId="7"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</si>
  <si>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</si>
  <si>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</si>
  <si>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t>기준</t>
    <phoneticPr fontId="7" type="noConversion"/>
  </si>
  <si>
    <t>계약관리수수료</t>
    <phoneticPr fontId="7" type="noConversion"/>
  </si>
  <si>
    <t>본사수수료</t>
    <phoneticPr fontId="7" type="noConversion"/>
  </si>
  <si>
    <t>본부장</t>
    <phoneticPr fontId="7" type="noConversion"/>
  </si>
  <si>
    <t>팀장</t>
    <phoneticPr fontId="7" type="noConversion"/>
  </si>
  <si>
    <t>위촉FC</t>
    <phoneticPr fontId="7" type="noConversion"/>
  </si>
  <si>
    <t>기준</t>
    <phoneticPr fontId="13" type="noConversion"/>
  </si>
  <si>
    <r>
      <rPr>
        <sz val="9"/>
        <color indexed="10"/>
        <rFont val="맑은 고딕"/>
        <family val="3"/>
        <charset val="129"/>
      </rPr>
      <t xml:space="preserve">주계약
</t>
    </r>
    <r>
      <rPr>
        <sz val="9"/>
        <rFont val="맑은 고딕"/>
        <family val="3"/>
        <charset val="129"/>
      </rPr>
      <t>월납P</t>
    </r>
    <phoneticPr fontId="13" type="noConversion"/>
  </si>
  <si>
    <t>수정P</t>
    <phoneticPr fontId="7" type="noConversion"/>
  </si>
  <si>
    <t>익월</t>
    <phoneticPr fontId="7" type="noConversion"/>
  </si>
  <si>
    <t>-</t>
    <phoneticPr fontId="13" type="noConversion"/>
  </si>
  <si>
    <t xml:space="preserve"> &lt; 세부 사항 안내 &gt;</t>
    <phoneticPr fontId="7" type="noConversion"/>
  </si>
  <si>
    <t xml:space="preserve">※ 실손단독상품 및 실손특약의 경우 全손보사  보험사 연동으로 지급합니다. </t>
    <phoneticPr fontId="13" type="noConversion"/>
  </si>
  <si>
    <t>모집수수료 : 수정P * 120%
유지수수료 : 수정P * 15% * 10 (2~11회차),
    수정P * 10% (12회차)</t>
    <phoneticPr fontId="13" type="noConversion"/>
  </si>
  <si>
    <r>
      <t xml:space="preserve">1차년 규정 </t>
    </r>
    <r>
      <rPr>
        <b/>
        <sz val="9"/>
        <color theme="1"/>
        <rFont val="맑은 고딕"/>
        <family val="3"/>
        <charset val="129"/>
        <scheme val="minor"/>
      </rPr>
      <t>* 80%</t>
    </r>
    <phoneticPr fontId="4" type="noConversion"/>
  </si>
  <si>
    <r>
      <t xml:space="preserve">[갱신수정P * 25%(타대리점10%) * 12(갱신1회~12회)] </t>
    </r>
    <r>
      <rPr>
        <b/>
        <sz val="9"/>
        <color theme="1"/>
        <rFont val="맑은 고딕"/>
        <family val="3"/>
        <charset val="129"/>
        <scheme val="minor"/>
      </rPr>
      <t>* 80%</t>
    </r>
    <phoneticPr fontId="4" type="noConversion"/>
  </si>
  <si>
    <t>롯데손해</t>
    <phoneticPr fontId="13" type="noConversion"/>
  </si>
  <si>
    <t>-</t>
    <phoneticPr fontId="4" type="noConversion"/>
  </si>
  <si>
    <t>2차년도 이후 수수료는 "본사기준 수수료의 80%" 를 각 직급별 지급률로 지급함</t>
  </si>
  <si>
    <r>
      <rPr>
        <sz val="9"/>
        <color indexed="10"/>
        <rFont val="맑은 고딕"/>
        <family val="3"/>
        <charset val="129"/>
      </rPr>
      <t>주계약</t>
    </r>
    <r>
      <rPr>
        <sz val="9"/>
        <rFont val="맑은 고딕"/>
        <family val="3"/>
        <charset val="129"/>
      </rPr>
      <t xml:space="preserve">
월납P</t>
    </r>
    <phoneticPr fontId="7" type="noConversion"/>
  </si>
  <si>
    <t>팀장</t>
    <phoneticPr fontId="7" type="noConversion"/>
  </si>
  <si>
    <t>위촉FC</t>
    <phoneticPr fontId="7" type="noConversion"/>
  </si>
  <si>
    <t>5년납</t>
    <phoneticPr fontId="13" type="noConversion"/>
  </si>
  <si>
    <t>&lt; 세부 사항 안내 &gt;</t>
    <phoneticPr fontId="7" type="noConversion"/>
  </si>
  <si>
    <t xml:space="preserve">3. 비고 : 상기 자료는 예시이므로 매월 마감 업적, 유지율 및 개별 상품 설계시의 실제 수정P등에 따라 추가 또는 감소되어 지급됨 </t>
    <phoneticPr fontId="13" type="noConversion"/>
  </si>
  <si>
    <t>2차년도 이후 수수료는 "본사기준 수수료의 80%" 를 각 직급별 지급률로 지급함</t>
    <phoneticPr fontId="13" type="noConversion"/>
  </si>
  <si>
    <t>성과수수료</t>
    <phoneticPr fontId="7" type="noConversion"/>
  </si>
  <si>
    <t>1차년
(익월포함)</t>
    <phoneticPr fontId="13" type="noConversion"/>
  </si>
  <si>
    <t>총계</t>
    <phoneticPr fontId="7" type="noConversion"/>
  </si>
  <si>
    <t>실손의료비보험 (1차년도 지급예시)</t>
    <phoneticPr fontId="4" type="noConversion"/>
  </si>
  <si>
    <t>비  고</t>
    <phoneticPr fontId="7" type="noConversion"/>
  </si>
  <si>
    <t>관리수수료</t>
    <phoneticPr fontId="7" type="noConversion"/>
  </si>
  <si>
    <t>3년납</t>
    <phoneticPr fontId="13" type="noConversion"/>
  </si>
  <si>
    <t>20년납</t>
    <phoneticPr fontId="13" type="noConversion"/>
  </si>
  <si>
    <t xml:space="preserve">4. 비고 : 상기 자료는 예시이므로 매월 마감 업적, 유지율 및 개별 상품 설계시의 실제 수정P에 따라 추가 또는 감소되어 지급됨 </t>
    <phoneticPr fontId="7" type="noConversion"/>
  </si>
  <si>
    <t>세 부  사 항</t>
    <phoneticPr fontId="7" type="noConversion"/>
  </si>
  <si>
    <t xml:space="preserve">▶ 지급 방식 : 실손 외 : 익월 先지급 (1회 지급) / 지급액 : 초회수정P * 240% </t>
    <phoneticPr fontId="13" type="noConversion"/>
  </si>
  <si>
    <t>실손의료비보험 : 수정P * 54%</t>
    <phoneticPr fontId="4" type="noConversion"/>
  </si>
  <si>
    <t>성과수수료</t>
    <phoneticPr fontId="13" type="noConversion"/>
  </si>
  <si>
    <r>
      <t>▶ 지급 방식 : 익월 先지급 (1회 지급) / 지급액 : 초회 수정P * 구간별 지급률 /</t>
    </r>
    <r>
      <rPr>
        <sz val="9"/>
        <color rgb="FFFF0000"/>
        <rFont val="맑은 고딕"/>
        <family val="3"/>
        <charset val="129"/>
      </rPr>
      <t xml:space="preserve"> 예외상품 : 실손의료비보험 - 부지급</t>
    </r>
    <phoneticPr fontId="13" type="noConversion"/>
  </si>
  <si>
    <t>1억이상</t>
    <phoneticPr fontId="7" type="noConversion"/>
  </si>
  <si>
    <t>8천만이상</t>
    <phoneticPr fontId="7" type="noConversion"/>
  </si>
  <si>
    <t>6천만이상</t>
    <phoneticPr fontId="7" type="noConversion"/>
  </si>
  <si>
    <t>4천만이상</t>
    <phoneticPr fontId="7" type="noConversion"/>
  </si>
  <si>
    <t>2천만이상</t>
    <phoneticPr fontId="7" type="noConversion"/>
  </si>
  <si>
    <t>1차년도</t>
    <phoneticPr fontId="13" type="noConversion"/>
  </si>
  <si>
    <r>
      <t xml:space="preserve">▶ 지급방식 및 지급액 : </t>
    </r>
    <r>
      <rPr>
        <b/>
        <sz val="9"/>
        <rFont val="맑은 고딕"/>
        <family val="3"/>
        <charset val="129"/>
      </rPr>
      <t xml:space="preserve">  실손 외 : [1~6회</t>
    </r>
    <r>
      <rPr>
        <sz val="9"/>
        <rFont val="맑은 고딕"/>
        <family val="3"/>
        <charset val="129"/>
      </rPr>
      <t>] 초년도수정P * 10% * 6회 /</t>
    </r>
    <r>
      <rPr>
        <b/>
        <sz val="9"/>
        <rFont val="맑은 고딕"/>
        <family val="3"/>
        <charset val="129"/>
      </rPr>
      <t xml:space="preserve"> [7~12회]</t>
    </r>
    <r>
      <rPr>
        <sz val="9"/>
        <rFont val="맑은 고딕"/>
        <family val="3"/>
        <charset val="129"/>
      </rPr>
      <t xml:space="preserve"> 초년도수정P * 9% * 6회</t>
    </r>
    <phoneticPr fontId="13" type="noConversion"/>
  </si>
  <si>
    <t>수납 실적월 기준으로 지급되며, 비월납,선납의 경우에도 응당회차 도래시 지급됨</t>
    <phoneticPr fontId="13" type="noConversion"/>
  </si>
  <si>
    <r>
      <t xml:space="preserve">                 </t>
    </r>
    <r>
      <rPr>
        <b/>
        <sz val="9"/>
        <rFont val="맑은 고딕"/>
        <family val="3"/>
        <charset val="129"/>
      </rPr>
      <t>실손의료비보험</t>
    </r>
    <r>
      <rPr>
        <sz val="9"/>
        <rFont val="맑은 고딕"/>
        <family val="3"/>
        <charset val="129"/>
      </rPr>
      <t xml:space="preserve"> :</t>
    </r>
    <r>
      <rPr>
        <b/>
        <sz val="9"/>
        <rFont val="맑은 고딕"/>
        <family val="3"/>
        <charset val="129"/>
      </rPr>
      <t xml:space="preserve"> [2~11회]</t>
    </r>
    <r>
      <rPr>
        <sz val="9"/>
        <rFont val="맑은 고딕"/>
        <family val="3"/>
        <charset val="129"/>
      </rPr>
      <t xml:space="preserve"> 수정P * 29% * 11회  /</t>
    </r>
    <r>
      <rPr>
        <b/>
        <sz val="9"/>
        <rFont val="맑은 고딕"/>
        <family val="3"/>
        <charset val="129"/>
      </rPr>
      <t xml:space="preserve">  [12회] </t>
    </r>
    <r>
      <rPr>
        <sz val="9"/>
        <rFont val="맑은 고딕"/>
        <family val="3"/>
        <charset val="129"/>
      </rPr>
      <t>수정P * 34%</t>
    </r>
    <phoneticPr fontId="4" type="noConversion"/>
  </si>
  <si>
    <t>2차년도</t>
    <phoneticPr fontId="13" type="noConversion"/>
  </si>
  <si>
    <t>▶ 지급방식 : 2차년도 수정률이 있는 상품에 한하여 13회~24회까지 균등지급 / 지급액 : 2차년도수정P * 20%</t>
    <phoneticPr fontId="4" type="noConversion"/>
  </si>
  <si>
    <r>
      <t>저축성유지수수료</t>
    </r>
    <r>
      <rPr>
        <sz val="9"/>
        <rFont val="맑은 고딕"/>
        <family val="3"/>
        <charset val="129"/>
      </rPr>
      <t xml:space="preserve"> / 저축,연금군</t>
    </r>
    <phoneticPr fontId="7" type="noConversion"/>
  </si>
  <si>
    <r>
      <t>▶ 지급 방식 : 수납 실적월 기준으로 응당월에 지급 (</t>
    </r>
    <r>
      <rPr>
        <b/>
        <sz val="9"/>
        <rFont val="맑은 고딕"/>
        <family val="3"/>
        <charset val="129"/>
      </rPr>
      <t>1회~최대36회</t>
    </r>
    <r>
      <rPr>
        <sz val="9"/>
        <rFont val="맑은 고딕"/>
        <family val="3"/>
        <charset val="129"/>
      </rPr>
      <t>) / 지급액 : 유지수정P * 20% * 최대36회</t>
    </r>
    <phoneticPr fontId="13" type="noConversion"/>
  </si>
  <si>
    <t>수납 실적월 기준으로 지급되며, 비월납,선납의 경우에도 응당회차 도래시 지급됨</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</si>
  <si>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</si>
  <si>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수정P</t>
    <phoneticPr fontId="13" type="noConversion"/>
  </si>
  <si>
    <t>모집수수료</t>
    <phoneticPr fontId="7" type="noConversion"/>
  </si>
  <si>
    <t>성과수수료</t>
    <phoneticPr fontId="7" type="noConversion"/>
  </si>
  <si>
    <t>저축성유지</t>
    <phoneticPr fontId="7" type="noConversion"/>
  </si>
  <si>
    <t>기준</t>
    <phoneticPr fontId="13" type="noConversion"/>
  </si>
  <si>
    <t>1차년도</t>
    <phoneticPr fontId="13" type="noConversion"/>
  </si>
  <si>
    <t>2차년도</t>
    <phoneticPr fontId="13" type="noConversion"/>
  </si>
  <si>
    <t>유지(저축)</t>
    <phoneticPr fontId="13" type="noConversion"/>
  </si>
  <si>
    <t>1차년도</t>
    <phoneticPr fontId="7" type="noConversion"/>
  </si>
  <si>
    <t>2차년도</t>
    <phoneticPr fontId="13" type="noConversion"/>
  </si>
  <si>
    <t>유지(저축)</t>
    <phoneticPr fontId="7" type="noConversion"/>
  </si>
  <si>
    <t>2차년도</t>
    <phoneticPr fontId="4" type="noConversion"/>
  </si>
  <si>
    <t>뉴훼밀리라이프</t>
    <phoneticPr fontId="13" type="noConversion"/>
  </si>
  <si>
    <t>스마트아이사랑</t>
    <phoneticPr fontId="13" type="noConversion"/>
  </si>
  <si>
    <t>20년납100세만기</t>
    <phoneticPr fontId="13" type="noConversion"/>
  </si>
  <si>
    <t>스마트운전자보험</t>
    <phoneticPr fontId="4" type="noConversion"/>
  </si>
  <si>
    <t>웰스플러스</t>
    <phoneticPr fontId="13" type="noConversion"/>
  </si>
  <si>
    <t>3년납5년만기</t>
    <phoneticPr fontId="13" type="noConversion"/>
  </si>
  <si>
    <t>스마트연금</t>
    <phoneticPr fontId="13" type="noConversion"/>
  </si>
  <si>
    <t>화재플러스보장</t>
    <phoneticPr fontId="13" type="noConversion"/>
  </si>
  <si>
    <t>5년납5년만기</t>
    <phoneticPr fontId="13" type="noConversion"/>
  </si>
  <si>
    <t>가족사랑 간병보험</t>
    <phoneticPr fontId="13" type="noConversion"/>
  </si>
  <si>
    <t>단계별로 더받는 암보험</t>
    <phoneticPr fontId="13" type="noConversion"/>
  </si>
  <si>
    <t>1년만기</t>
    <phoneticPr fontId="13" type="noConversion"/>
  </si>
  <si>
    <t>3~10년만기</t>
    <phoneticPr fontId="13" type="noConversion"/>
  </si>
  <si>
    <t>1. 최저 보장제 적용 : 최고 구간인 수정P 1억원 이상의 지급률인 270%(모집+성과+관리수수료)를 적용하여 예시함</t>
    <phoneticPr fontId="13" type="noConversion"/>
  </si>
  <si>
    <t>3. 유지수수료는 수정P 대비 1~6회 각 10%, 7~12회 각 9%씩  총 114% 이며, 2차년도 수정P가 있는 경우 2차년도 수정P 대비 20%씩 13~24회 추가 균등지급됨</t>
    <phoneticPr fontId="7" type="noConversion"/>
  </si>
  <si>
    <t>1. 수수료 항목 및 지급기준</t>
    <phoneticPr fontId="7" type="noConversion"/>
  </si>
  <si>
    <t>세부 사항</t>
    <phoneticPr fontId="7" type="noConversion"/>
  </si>
  <si>
    <t>비 고</t>
    <phoneticPr fontId="33" type="noConversion"/>
  </si>
  <si>
    <t>▶ 지급 방식 : 실손 외 : 익월 先지급 (1회 지급) : 신규수정P * 296%</t>
    <phoneticPr fontId="13" type="noConversion"/>
  </si>
  <si>
    <t>▶ 실손단독상품 : 수정P * 34%</t>
    <phoneticPr fontId="13" type="noConversion"/>
  </si>
  <si>
    <t>▶ 2~12회차 : 수정P* 9.2% * 11회 / 13~14회차 : 수정P* 5.5% * 2회  (총 112.2%지급)</t>
    <phoneticPr fontId="7" type="noConversion"/>
  </si>
  <si>
    <t>▶ 실손단독상품 : 2~12회 : 수정P * 34% *11회 (총 374%지급)</t>
    <phoneticPr fontId="7" type="noConversion"/>
  </si>
  <si>
    <t>유지관리수수료</t>
    <phoneticPr fontId="13" type="noConversion"/>
  </si>
  <si>
    <t>저축 및 연금 상품에만 지급됨. 1회부터 36회까지 지급</t>
    <phoneticPr fontId="13" type="noConversion"/>
  </si>
  <si>
    <t>유지관리 수정률을 토대로 산출되며, 37.9%를 3년동안 매달 지급.</t>
    <phoneticPr fontId="13" type="noConversion"/>
  </si>
  <si>
    <t>2. 수수료 지급예시</t>
    <phoneticPr fontId="7" type="noConversion"/>
  </si>
  <si>
    <t>성과수수료</t>
    <phoneticPr fontId="33" type="noConversion"/>
  </si>
  <si>
    <t>비례수수료</t>
    <phoneticPr fontId="4" type="noConversion"/>
  </si>
  <si>
    <t>유지관리수수료</t>
    <phoneticPr fontId="33" type="noConversion"/>
  </si>
  <si>
    <t>유지관리
수정률</t>
    <phoneticPr fontId="13" type="noConversion"/>
  </si>
  <si>
    <t>유지수정P</t>
    <phoneticPr fontId="7" type="noConversion"/>
  </si>
  <si>
    <t>2~12회차</t>
    <phoneticPr fontId="13" type="noConversion"/>
  </si>
  <si>
    <t>13/14회</t>
    <phoneticPr fontId="13" type="noConversion"/>
  </si>
  <si>
    <t>1차월</t>
    <phoneticPr fontId="13" type="noConversion"/>
  </si>
  <si>
    <t>총(36차월)</t>
    <phoneticPr fontId="13" type="noConversion"/>
  </si>
  <si>
    <t>1차년
(익월포함)</t>
    <phoneticPr fontId="13" type="noConversion"/>
  </si>
  <si>
    <t>닥터플러스건강보험(L14.01)</t>
    <phoneticPr fontId="4" type="noConversion"/>
  </si>
  <si>
    <t>20년납</t>
    <phoneticPr fontId="13" type="noConversion"/>
  </si>
  <si>
    <t>-</t>
    <phoneticPr fontId="13" type="noConversion"/>
  </si>
  <si>
    <t>매직카 운전자보험 (보장)</t>
    <phoneticPr fontId="7" type="noConversion"/>
  </si>
  <si>
    <t>110 LTC 간병보험 (보장)</t>
    <phoneticPr fontId="7" type="noConversion"/>
  </si>
  <si>
    <t>LIG암을이겨낸당신을위한암보험</t>
    <phoneticPr fontId="4" type="noConversion"/>
  </si>
  <si>
    <t>10년납</t>
    <phoneticPr fontId="13" type="noConversion"/>
  </si>
  <si>
    <t>멀티플러스 연금보험(연금)</t>
    <phoneticPr fontId="7" type="noConversion"/>
  </si>
  <si>
    <t>빅플러스 저축보험(저축)</t>
    <phoneticPr fontId="7" type="noConversion"/>
  </si>
  <si>
    <r>
      <rPr>
        <b/>
        <sz val="9"/>
        <color indexed="12"/>
        <rFont val="맑은 고딕"/>
        <family val="3"/>
        <charset val="129"/>
      </rPr>
      <t xml:space="preserve">일시납 </t>
    </r>
    <r>
      <rPr>
        <b/>
        <sz val="9"/>
        <rFont val="맑은 고딕"/>
        <family val="3"/>
        <charset val="129"/>
      </rPr>
      <t xml:space="preserve">/ 빅플러스 저축보험 </t>
    </r>
    <phoneticPr fontId="7" type="noConversion"/>
  </si>
  <si>
    <t>일시납</t>
    <phoneticPr fontId="13" type="noConversion"/>
  </si>
  <si>
    <t>실손의료비보장보험(1차년도 지급예시)</t>
    <phoneticPr fontId="7" type="noConversion"/>
  </si>
  <si>
    <t xml:space="preserve">1. 작성 기준 </t>
    <phoneticPr fontId="7" type="noConversion"/>
  </si>
  <si>
    <t xml:space="preserve"> ① 최저보장제 적용 :  최고 구간인 수정P 8천만원의 지급률인 성과수수료 296% 를 보장 지급함</t>
    <phoneticPr fontId="13" type="noConversion"/>
  </si>
  <si>
    <t>2. 수수료 항목별 익월 지급 기준 : 성과수수료,유지관리수수료(저축 및 연금군만 해당)  ▶ 총 2개 항목</t>
    <phoneticPr fontId="7" type="noConversion"/>
  </si>
  <si>
    <t xml:space="preserve">※ 실손단독상품의 경우 全손보사  보험사 연동으로 지급합니다. </t>
    <phoneticPr fontId="13" type="noConversion"/>
  </si>
  <si>
    <t>프라임 선지급형 적용대상 보험회사: 동부화재, 한화손보, 롯데손보, MG손해, 메리츠, LIG, 현대해상, 흥국화재</t>
    <phoneticPr fontId="13" type="noConversion"/>
  </si>
  <si>
    <t xml:space="preserve">   Group A: 프라임 선지급형(동부, 한화, 롯데, MG, 메리츠, LIG, 현대, 흥국) /  Group B: 기타 연동형(삼성)</t>
    <phoneticPr fontId="13" type="noConversion"/>
  </si>
  <si>
    <r>
      <t>전 손보사 최저보장제도 적용</t>
    </r>
    <r>
      <rPr>
        <b/>
        <sz val="11"/>
        <color indexed="18"/>
        <rFont val="맑은 고딕"/>
        <family val="3"/>
        <charset val="129"/>
      </rPr>
      <t xml:space="preserve"> </t>
    </r>
    <r>
      <rPr>
        <sz val="11"/>
        <rFont val="맑은 고딕"/>
        <family val="3"/>
        <charset val="129"/>
      </rPr>
      <t>(각사별 최저보장되는 구체적인 항목은 해당 회사의 수수료 안내자료 참고)</t>
    </r>
    <phoneticPr fontId="13" type="noConversion"/>
  </si>
  <si>
    <t>관리수수료</t>
    <phoneticPr fontId="7" type="noConversion"/>
  </si>
  <si>
    <t>익월</t>
    <phoneticPr fontId="7" type="noConversion"/>
  </si>
  <si>
    <t>1차년
(익월포함)</t>
    <phoneticPr fontId="13" type="noConversion"/>
  </si>
  <si>
    <t>NEW희망플러스 자녀보험 (보장)</t>
    <phoneticPr fontId="7" type="noConversion"/>
  </si>
  <si>
    <t>일반지점장</t>
  </si>
  <si>
    <t>일반지점장</t>
    <phoneticPr fontId="7" type="noConversion"/>
  </si>
  <si>
    <t xml:space="preserve">※ 실손단독상품 및 실손특약의 경우 全손보사  보험사 연동으로 지급합니다. </t>
    <phoneticPr fontId="13" type="noConversion"/>
  </si>
  <si>
    <t xml:space="preserve">2. 비고 : 상기 자료는 예시이므로 매월 마감 업적, 유지율 및 개별 상품 설계시의 실제 수정P등에 따라 추가 또는 감소되어 지급됨 </t>
    <phoneticPr fontId="7" type="noConversion"/>
  </si>
  <si>
    <t xml:space="preserve">1. 수정률 기준 : 납기에 따른 주계약의 월납영수보험료를 기준으로 예시하였으며, 실제 설계시 보험료 및 특약별로 적용되는 수정률이 다를 수 있으므로, </t>
    <phoneticPr fontId="13" type="noConversion"/>
  </si>
  <si>
    <t xml:space="preserve"> &lt; 세부 사항 안내 &gt;</t>
    <phoneticPr fontId="7" type="noConversion"/>
  </si>
  <si>
    <t>3년만기</t>
    <phoneticPr fontId="7" type="noConversion"/>
  </si>
  <si>
    <t>행복자산만들기보험</t>
    <phoneticPr fontId="33" type="noConversion"/>
  </si>
  <si>
    <t>일시납</t>
    <phoneticPr fontId="13" type="noConversion"/>
  </si>
  <si>
    <t>1년납/1년만기</t>
    <phoneticPr fontId="4" type="noConversion"/>
  </si>
  <si>
    <t>실손의료보험 (1차년도 지급예시)</t>
    <phoneticPr fontId="4" type="noConversion"/>
  </si>
  <si>
    <t>실손
단독</t>
    <phoneticPr fontId="4" type="noConversion"/>
  </si>
  <si>
    <t>3년납/적립</t>
    <phoneticPr fontId="7" type="noConversion"/>
  </si>
  <si>
    <t>행복자산만들기저축보험</t>
    <phoneticPr fontId="4" type="noConversion"/>
  </si>
  <si>
    <t>10년납이상</t>
    <phoneticPr fontId="13" type="noConversion"/>
  </si>
  <si>
    <t>연금저축행복디딤돌보험</t>
    <phoneticPr fontId="33" type="noConversion"/>
  </si>
  <si>
    <t>연금
저축</t>
    <phoneticPr fontId="13" type="noConversion"/>
  </si>
  <si>
    <t>5년만기</t>
    <phoneticPr fontId="33" type="noConversion"/>
  </si>
  <si>
    <t>행복든든종합보험</t>
    <phoneticPr fontId="33" type="noConversion"/>
  </si>
  <si>
    <t>5년만기/적립</t>
    <phoneticPr fontId="33" type="noConversion"/>
  </si>
  <si>
    <t>행복재산종합보험</t>
    <phoneticPr fontId="4" type="noConversion"/>
  </si>
  <si>
    <t>재물</t>
    <phoneticPr fontId="13" type="noConversion"/>
  </si>
  <si>
    <t>20년납/80세만기</t>
    <phoneticPr fontId="4" type="noConversion"/>
  </si>
  <si>
    <t>행복운전자보험</t>
    <phoneticPr fontId="4" type="noConversion"/>
  </si>
  <si>
    <t>20년납↑</t>
    <phoneticPr fontId="33" type="noConversion"/>
  </si>
  <si>
    <t>행복한 인생 간병보험</t>
    <phoneticPr fontId="4" type="noConversion"/>
  </si>
  <si>
    <t>20년납</t>
    <phoneticPr fontId="33" type="noConversion"/>
  </si>
  <si>
    <t>파워키즈보험1종</t>
    <phoneticPr fontId="4" type="noConversion"/>
  </si>
  <si>
    <t>행복을다주는가족사랑통합 Ⅰ</t>
    <phoneticPr fontId="4" type="noConversion"/>
  </si>
  <si>
    <t>보장</t>
    <phoneticPr fontId="13" type="noConversion"/>
  </si>
  <si>
    <t>총계</t>
    <phoneticPr fontId="7" type="noConversion"/>
  </si>
  <si>
    <t>1차년
(익월포함)</t>
    <phoneticPr fontId="13" type="noConversion"/>
  </si>
  <si>
    <t>익월</t>
    <phoneticPr fontId="7" type="noConversion"/>
  </si>
  <si>
    <t>13~36회</t>
  </si>
  <si>
    <t>11~12회</t>
    <phoneticPr fontId="4" type="noConversion"/>
  </si>
  <si>
    <t>2회~10회</t>
    <phoneticPr fontId="4" type="noConversion"/>
  </si>
  <si>
    <t>유지보수</t>
    <phoneticPr fontId="33" type="noConversion"/>
  </si>
  <si>
    <t>기준</t>
    <phoneticPr fontId="33" type="noConversion"/>
  </si>
  <si>
    <t>상품군</t>
    <phoneticPr fontId="13" type="noConversion"/>
  </si>
  <si>
    <t>팀장</t>
    <phoneticPr fontId="7" type="noConversion"/>
  </si>
  <si>
    <t>본부장</t>
    <phoneticPr fontId="7" type="noConversion"/>
  </si>
  <si>
    <t>본사수수료</t>
    <phoneticPr fontId="7" type="noConversion"/>
  </si>
  <si>
    <t>유지보수수수료</t>
    <phoneticPr fontId="33" type="noConversion"/>
  </si>
  <si>
    <t>계약관리수수료</t>
    <phoneticPr fontId="33" type="noConversion"/>
  </si>
  <si>
    <t>성과수수료</t>
    <phoneticPr fontId="7" type="noConversion"/>
  </si>
  <si>
    <t>수정P</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</si>
  <si>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</si>
  <si>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상품명</t>
    <phoneticPr fontId="7"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</si>
  <si>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</si>
  <si>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2. 수수료 지급 예시</t>
    <phoneticPr fontId="7" type="noConversion"/>
  </si>
  <si>
    <t>-</t>
    <phoneticPr fontId="33" type="noConversion"/>
  </si>
  <si>
    <t>연금</t>
    <phoneticPr fontId="33" type="noConversion"/>
  </si>
  <si>
    <t>저축</t>
    <phoneticPr fontId="13" type="noConversion"/>
  </si>
  <si>
    <t>15/20년납</t>
    <phoneticPr fontId="33" type="noConversion"/>
  </si>
  <si>
    <t>10년납</t>
    <phoneticPr fontId="33" type="noConversion"/>
  </si>
  <si>
    <t>7년납</t>
    <phoneticPr fontId="33" type="noConversion"/>
  </si>
  <si>
    <t>5년납</t>
    <phoneticPr fontId="33" type="noConversion"/>
  </si>
  <si>
    <t>4년납</t>
    <phoneticPr fontId="33" type="noConversion"/>
  </si>
  <si>
    <t>3년납</t>
    <phoneticPr fontId="33" type="noConversion"/>
  </si>
  <si>
    <t>2년납</t>
    <phoneticPr fontId="33" type="noConversion"/>
  </si>
  <si>
    <t>공통</t>
    <phoneticPr fontId="33" type="noConversion"/>
  </si>
  <si>
    <t>납기</t>
    <phoneticPr fontId="7" type="noConversion"/>
  </si>
  <si>
    <t>13~36회 (2년납은 13~24회)</t>
    <phoneticPr fontId="33" type="noConversion"/>
  </si>
  <si>
    <r>
      <t>1</t>
    </r>
    <r>
      <rPr>
        <sz val="9"/>
        <rFont val="맑은 고딕"/>
        <family val="3"/>
        <charset val="129"/>
      </rPr>
      <t>~12회</t>
    </r>
    <phoneticPr fontId="33" type="noConversion"/>
  </si>
  <si>
    <t>지급회차</t>
    <phoneticPr fontId="7" type="noConversion"/>
  </si>
  <si>
    <t>24회/36회</t>
    <phoneticPr fontId="7" type="noConversion"/>
  </si>
  <si>
    <t>유지보수수수료 산정시 추가적립보험료는 제외</t>
    <phoneticPr fontId="33" type="noConversion"/>
  </si>
  <si>
    <t>▶ 유지보수수수료 = 영수P * 해당납기별 지급률</t>
    <phoneticPr fontId="33" type="noConversion"/>
  </si>
  <si>
    <t>유지보수수수료</t>
    <phoneticPr fontId="7" type="noConversion"/>
  </si>
  <si>
    <t>▶ 실손단독상품 : 2~12회 : 수정P * 33.5% *11회 (총 368.5%)</t>
    <phoneticPr fontId="7" type="noConversion"/>
  </si>
  <si>
    <t>▶ 연금∙저축성 - 2~12회 수정P * 10%   (총 110%)</t>
    <phoneticPr fontId="4" type="noConversion"/>
  </si>
  <si>
    <t>보장 11회
저축 11회</t>
    <phoneticPr fontId="7" type="noConversion"/>
  </si>
  <si>
    <t>▶ 기준 : 보장성 - 2회~10회 수정P * 10%  /  11~12회  수정P * 9%   (총 108%)</t>
    <phoneticPr fontId="4" type="noConversion"/>
  </si>
  <si>
    <t>▶ 실손단독상품 : 수정P * 33.5%</t>
    <phoneticPr fontId="13" type="noConversion"/>
  </si>
  <si>
    <t>▶ 연금∙저축성 : 신규수정P * 150%</t>
    <phoneticPr fontId="4" type="noConversion"/>
  </si>
  <si>
    <t>1회</t>
    <phoneticPr fontId="7" type="noConversion"/>
  </si>
  <si>
    <t>▶ 일반 보장성 : 익월 先지급 (1회 지급) : 신규수정P * 300%</t>
    <phoneticPr fontId="4" type="noConversion"/>
  </si>
  <si>
    <t>비  고</t>
    <phoneticPr fontId="7" type="noConversion"/>
  </si>
  <si>
    <t>세 부  사 항</t>
    <phoneticPr fontId="7" type="noConversion"/>
  </si>
  <si>
    <t>항  목</t>
    <phoneticPr fontId="7" type="noConversion"/>
  </si>
  <si>
    <t>1. 수수료 항목 및 지급 기준</t>
    <phoneticPr fontId="7"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</si>
  <si>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</si>
  <si>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인증지점장</t>
    <phoneticPr fontId="7" type="noConversion"/>
  </si>
  <si>
    <t>인증지점장</t>
    <phoneticPr fontId="7" type="noConversion"/>
  </si>
  <si>
    <t>인증지점장</t>
    <phoneticPr fontId="7" type="noConversion"/>
  </si>
  <si>
    <t>일반지점장</t>
    <phoneticPr fontId="7"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</si>
  <si>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</si>
  <si>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</si>
  <si>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항  목</t>
    <phoneticPr fontId="7" type="noConversion"/>
  </si>
  <si>
    <t>세 부 사 항</t>
    <phoneticPr fontId="7" type="noConversion"/>
  </si>
  <si>
    <t>비고</t>
    <phoneticPr fontId="7" type="noConversion"/>
  </si>
  <si>
    <t>모집수수료</t>
    <phoneticPr fontId="7" type="noConversion"/>
  </si>
  <si>
    <t>※ 비월납/선납의 경우 응당차월에 지급
※ 카드수납시 수납보험료의 2%를 수수료에서 차감하여 지급</t>
    <phoneticPr fontId="7" type="noConversion"/>
  </si>
  <si>
    <t>비례수수료</t>
    <phoneticPr fontId="7" type="noConversion"/>
  </si>
  <si>
    <t>계약관리수수료</t>
    <phoneticPr fontId="13" type="noConversion"/>
  </si>
  <si>
    <t>2. 수수료 지급 예시</t>
    <phoneticPr fontId="7"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</si>
  <si>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</si>
  <si>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</si>
  <si>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t>기준</t>
    <phoneticPr fontId="7" type="noConversion"/>
  </si>
  <si>
    <t>비례수수료</t>
    <phoneticPr fontId="33" type="noConversion"/>
  </si>
  <si>
    <t>계약관리수수료</t>
    <phoneticPr fontId="7" type="noConversion"/>
  </si>
  <si>
    <t>본사수수료</t>
    <phoneticPr fontId="7" type="noConversion"/>
  </si>
  <si>
    <t>본부장</t>
    <phoneticPr fontId="7" type="noConversion"/>
  </si>
  <si>
    <t>인증지점장</t>
    <phoneticPr fontId="7" type="noConversion"/>
  </si>
  <si>
    <t>팀장</t>
    <phoneticPr fontId="7" type="noConversion"/>
  </si>
  <si>
    <t>위촉FC</t>
    <phoneticPr fontId="7" type="noConversion"/>
  </si>
  <si>
    <t>기준</t>
    <phoneticPr fontId="13" type="noConversion"/>
  </si>
  <si>
    <r>
      <rPr>
        <sz val="9"/>
        <color indexed="10"/>
        <rFont val="맑은 고딕"/>
        <family val="3"/>
        <charset val="129"/>
      </rPr>
      <t xml:space="preserve">주계약
</t>
    </r>
    <r>
      <rPr>
        <sz val="9"/>
        <rFont val="맑은 고딕"/>
        <family val="3"/>
        <charset val="129"/>
      </rPr>
      <t>월납P</t>
    </r>
    <phoneticPr fontId="13" type="noConversion"/>
  </si>
  <si>
    <t>수정P</t>
    <phoneticPr fontId="7" type="noConversion"/>
  </si>
  <si>
    <t>1회</t>
    <phoneticPr fontId="7" type="noConversion"/>
  </si>
  <si>
    <t>2~12회</t>
    <phoneticPr fontId="7" type="noConversion"/>
  </si>
  <si>
    <t>13회이후</t>
    <phoneticPr fontId="33" type="noConversion"/>
  </si>
  <si>
    <t>익월</t>
    <phoneticPr fontId="7" type="noConversion"/>
  </si>
  <si>
    <t>1차년
(익월포함)</t>
    <phoneticPr fontId="13" type="noConversion"/>
  </si>
  <si>
    <t>2차년</t>
    <phoneticPr fontId="7" type="noConversion"/>
  </si>
  <si>
    <t>3차년</t>
    <phoneticPr fontId="7" type="noConversion"/>
  </si>
  <si>
    <t>총계</t>
    <phoneticPr fontId="7" type="noConversion"/>
  </si>
  <si>
    <t>1차년
(익월포함)</t>
    <phoneticPr fontId="13" type="noConversion"/>
  </si>
  <si>
    <r>
      <t xml:space="preserve">보장 / </t>
    </r>
    <r>
      <rPr>
        <sz val="9"/>
        <rFont val="맑은 고딕"/>
        <family val="3"/>
        <charset val="129"/>
      </rPr>
      <t>원더풀S</t>
    </r>
    <phoneticPr fontId="7" type="noConversion"/>
  </si>
  <si>
    <t>20년납</t>
    <phoneticPr fontId="7" type="noConversion"/>
  </si>
  <si>
    <r>
      <t xml:space="preserve">보장 / </t>
    </r>
    <r>
      <rPr>
        <sz val="9"/>
        <rFont val="맑은 고딕"/>
        <family val="3"/>
        <charset val="129"/>
      </rPr>
      <t>닥터M간병</t>
    </r>
    <phoneticPr fontId="7" type="noConversion"/>
  </si>
  <si>
    <r>
      <t xml:space="preserve">보장 / </t>
    </r>
    <r>
      <rPr>
        <sz val="9"/>
        <rFont val="맑은 고딕"/>
        <family val="3"/>
        <charset val="129"/>
      </rPr>
      <t>마이웨이운전자</t>
    </r>
    <phoneticPr fontId="7" type="noConversion"/>
  </si>
  <si>
    <t>착한실손의료비 (1차년 예시)</t>
    <phoneticPr fontId="7" type="noConversion"/>
  </si>
  <si>
    <t>1년납</t>
    <phoneticPr fontId="7" type="noConversion"/>
  </si>
  <si>
    <r>
      <t xml:space="preserve">저축 / </t>
    </r>
    <r>
      <rPr>
        <sz val="9"/>
        <rFont val="맑은 고딕"/>
        <family val="3"/>
        <charset val="129"/>
      </rPr>
      <t>상상플러스</t>
    </r>
    <phoneticPr fontId="7" type="noConversion"/>
  </si>
  <si>
    <t>3년납</t>
    <phoneticPr fontId="7" type="noConversion"/>
  </si>
  <si>
    <r>
      <t xml:space="preserve">연금 / </t>
    </r>
    <r>
      <rPr>
        <sz val="9"/>
        <rFont val="맑은 고딕"/>
        <family val="3"/>
        <charset val="129"/>
      </rPr>
      <t>실버연금</t>
    </r>
    <phoneticPr fontId="7" type="noConversion"/>
  </si>
  <si>
    <t>15년납</t>
    <phoneticPr fontId="7" type="noConversion"/>
  </si>
  <si>
    <r>
      <t xml:space="preserve">재물 / </t>
    </r>
    <r>
      <rPr>
        <sz val="9"/>
        <rFont val="맑은 고딕"/>
        <family val="3"/>
        <charset val="129"/>
      </rPr>
      <t>성공드림</t>
    </r>
    <phoneticPr fontId="4" type="noConversion"/>
  </si>
  <si>
    <t>-</t>
    <phoneticPr fontId="13" type="noConversion"/>
  </si>
  <si>
    <t>5년납</t>
    <phoneticPr fontId="7" type="noConversion"/>
  </si>
  <si>
    <r>
      <t xml:space="preserve">상조 / </t>
    </r>
    <r>
      <rPr>
        <sz val="9"/>
        <rFont val="맑은 고딕"/>
        <family val="3"/>
        <charset val="129"/>
      </rPr>
      <t>천개의바람 2형</t>
    </r>
    <phoneticPr fontId="7" type="noConversion"/>
  </si>
  <si>
    <t>10년납</t>
    <phoneticPr fontId="7" type="noConversion"/>
  </si>
  <si>
    <t>상상플러스</t>
    <phoneticPr fontId="7" type="noConversion"/>
  </si>
  <si>
    <t>-</t>
    <phoneticPr fontId="4" type="noConversion"/>
  </si>
  <si>
    <t>일시납</t>
    <phoneticPr fontId="7" type="noConversion"/>
  </si>
  <si>
    <t xml:space="preserve"> &lt; 세부 사항 안내 &gt;</t>
    <phoneticPr fontId="7" type="noConversion"/>
  </si>
  <si>
    <t xml:space="preserve">1. 프라임선지급의 경우 보장성상품에 한함(실손제외) </t>
    <phoneticPr fontId="7" type="noConversion"/>
  </si>
  <si>
    <t>2. 공통사항 : 카드 수납 계약은 영수보험료에 2%를 차감한 수수료를 지급함</t>
    <phoneticPr fontId="33" type="noConversion"/>
  </si>
  <si>
    <t xml:space="preserve">3.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phoneticPr fontId="4" type="noConversion"/>
  </si>
  <si>
    <t xml:space="preserve">4. 비고 : 상기 자료는 예시이므로 매월 마감 업적, 유지율 및 개별 상품 설계시의 실제 환산P등에 따라 추가 또는 감소되어 지급됨 </t>
    <phoneticPr fontId="7" type="noConversion"/>
  </si>
  <si>
    <t>※ 실손단독상품 및 실손특약의 경우 全손보사  보험사 연동으로 지급합니다. 단, 2차년도 이후 수수료는 "본사기준 수수료의 80%" 를 각 직급별 지급률로 지급</t>
    <phoneticPr fontId="13" type="noConversion"/>
  </si>
  <si>
    <r>
      <t xml:space="preserve">     </t>
    </r>
    <r>
      <rPr>
        <b/>
        <sz val="9"/>
        <color rgb="FF0000FF"/>
        <rFont val="맑은 고딕"/>
        <family val="3"/>
        <charset val="129"/>
      </rPr>
      <t xml:space="preserve">프라임선지급 : </t>
    </r>
    <r>
      <rPr>
        <b/>
        <sz val="9"/>
        <rFont val="맑은 고딕"/>
        <family val="3"/>
        <charset val="129"/>
      </rPr>
      <t>&lt;일반 보장성</t>
    </r>
    <r>
      <rPr>
        <sz val="9"/>
        <rFont val="맑은 고딕"/>
        <family val="3"/>
        <charset val="129"/>
      </rPr>
      <t xml:space="preserve">(실손제외)&gt; </t>
    </r>
    <r>
      <rPr>
        <u/>
        <sz val="9"/>
        <rFont val="맑은 고딕"/>
        <family val="3"/>
        <charset val="129"/>
      </rPr>
      <t>[2회~12회]</t>
    </r>
    <r>
      <rPr>
        <sz val="9"/>
        <rFont val="맑은 고딕"/>
        <family val="3"/>
        <charset val="129"/>
      </rPr>
      <t xml:space="preserve"> 수정P * 6% * 11회, </t>
    </r>
    <r>
      <rPr>
        <u/>
        <sz val="9"/>
        <rFont val="맑은 고딕"/>
        <family val="3"/>
        <charset val="129"/>
      </rPr>
      <t>[13회~16회]</t>
    </r>
    <r>
      <rPr>
        <sz val="9"/>
        <rFont val="맑은 고딕"/>
        <family val="3"/>
        <charset val="129"/>
      </rPr>
      <t xml:space="preserve"> 수정P * 12% * 4회 </t>
    </r>
    <r>
      <rPr>
        <sz val="9"/>
        <rFont val="맑은 고딕"/>
        <family val="3"/>
        <charset val="129"/>
      </rPr>
      <t xml:space="preserve"> </t>
    </r>
    <phoneticPr fontId="4" type="noConversion"/>
  </si>
  <si>
    <r>
      <t xml:space="preserve">     </t>
    </r>
    <r>
      <rPr>
        <b/>
        <sz val="9"/>
        <color rgb="FF0000FF"/>
        <rFont val="맑은 고딕"/>
        <family val="3"/>
        <charset val="129"/>
      </rPr>
      <t xml:space="preserve">프라임선지급 : </t>
    </r>
    <r>
      <rPr>
        <b/>
        <sz val="9"/>
        <rFont val="맑은 고딕"/>
        <family val="3"/>
        <charset val="129"/>
      </rPr>
      <t>&lt;일반 보장성</t>
    </r>
    <r>
      <rPr>
        <sz val="9"/>
        <rFont val="맑은 고딕"/>
        <family val="3"/>
        <charset val="129"/>
      </rPr>
      <t>(실손제외)&gt; 수정P * 260%</t>
    </r>
    <phoneticPr fontId="4" type="noConversion"/>
  </si>
  <si>
    <t xml:space="preserve">            &lt;연금/저축&gt; [2~6회] 수정P * 28% * 5회, [7~10회] 수정P * 18% * 4회, [11~12회] 수정P * 14% * 2회 </t>
    <phoneticPr fontId="4" type="noConversion"/>
  </si>
  <si>
    <t xml:space="preserve">            &lt;재물&gt; [2~15회] 수정P * 20% * 14회</t>
    <phoneticPr fontId="4" type="noConversion"/>
  </si>
  <si>
    <t xml:space="preserve">            &lt;상조(천개의바람2형)&gt; [2회~15회] 수정P * 25% * 14회</t>
    <phoneticPr fontId="4" type="noConversion"/>
  </si>
  <si>
    <r>
      <t xml:space="preserve">    </t>
    </r>
    <r>
      <rPr>
        <b/>
        <sz val="9"/>
        <color rgb="FF0000FF"/>
        <rFont val="맑은 고딕"/>
        <family val="3"/>
        <charset val="129"/>
      </rPr>
      <t xml:space="preserve"> 보험사연동 :</t>
    </r>
    <r>
      <rPr>
        <sz val="9"/>
        <rFont val="맑은 고딕"/>
        <family val="3"/>
        <charset val="129"/>
      </rPr>
      <t xml:space="preserve">   &lt;실손&gt; 수정P * 120%   /   &lt;연금/저축&gt; 수정P * 28%</t>
    </r>
    <phoneticPr fontId="4" type="noConversion"/>
  </si>
  <si>
    <t xml:space="preserve">                         &lt;재물&gt; 수정P * 85%   /    &lt;상조(천개의바람2형)&gt; 수정P * 25%</t>
    <phoneticPr fontId="4" type="noConversion"/>
  </si>
  <si>
    <r>
      <rPr>
        <b/>
        <sz val="9"/>
        <color rgb="FF0000FF"/>
        <rFont val="맑은 고딕"/>
        <family val="3"/>
        <charset val="129"/>
      </rPr>
      <t xml:space="preserve">     보험사연동 </t>
    </r>
    <r>
      <rPr>
        <sz val="9"/>
        <rFont val="맑은 고딕"/>
        <family val="3"/>
        <charset val="129"/>
      </rPr>
      <t>:  &lt;실손&gt; [2회~11회] 수정P * 15% * 10회, [12회] 수정P * 10%</t>
    </r>
    <phoneticPr fontId="4" type="noConversion"/>
  </si>
  <si>
    <r>
      <t xml:space="preserve">        </t>
    </r>
    <r>
      <rPr>
        <b/>
        <sz val="9"/>
        <color rgb="FF0000FF"/>
        <rFont val="맑은 고딕"/>
        <family val="3"/>
        <charset val="129"/>
      </rPr>
      <t>보험사연동 :</t>
    </r>
    <r>
      <rPr>
        <sz val="9"/>
        <rFont val="맑은 고딕"/>
        <family val="3"/>
        <charset val="129"/>
      </rPr>
      <t xml:space="preserve"> </t>
    </r>
    <r>
      <rPr>
        <b/>
        <sz val="9"/>
        <rFont val="맑은 고딕"/>
        <family val="3"/>
        <charset val="129"/>
      </rPr>
      <t>&lt;연금/저축&gt;</t>
    </r>
    <r>
      <rPr>
        <sz val="9"/>
        <rFont val="맑은 고딕"/>
        <family val="3"/>
        <charset val="129"/>
      </rPr>
      <t xml:space="preserve"> </t>
    </r>
    <r>
      <rPr>
        <u/>
        <sz val="9"/>
        <rFont val="맑은 고딕"/>
        <family val="3"/>
        <charset val="129"/>
      </rPr>
      <t>[1회~최대36회]</t>
    </r>
    <r>
      <rPr>
        <sz val="9"/>
        <rFont val="맑은 고딕"/>
        <family val="3"/>
        <charset val="129"/>
      </rPr>
      <t xml:space="preserve"> 수정P * 2% * 최대36회, (납입기간이 3년 미만인 경우 납입회차까지 지급)</t>
    </r>
    <phoneticPr fontId="4" type="noConversion"/>
  </si>
  <si>
    <r>
      <t xml:space="preserve">보장 / </t>
    </r>
    <r>
      <rPr>
        <sz val="9"/>
        <rFont val="맑은 고딕"/>
        <family val="3"/>
        <charset val="129"/>
      </rPr>
      <t>애지중지</t>
    </r>
    <phoneticPr fontId="7" type="noConversion"/>
  </si>
  <si>
    <t>※ 아래 예시 외 상품(또는 납기 등 다른 기준)은 공지사항 - 업무공지에  공지된 수정률자료를 참조하여 확인바랍니다.</t>
    <phoneticPr fontId="13" type="noConversion"/>
  </si>
  <si>
    <t xml:space="preserve">* 지급기준 : 실손단독상품 기준 </t>
    <phoneticPr fontId="13" type="noConversion"/>
  </si>
  <si>
    <t xml:space="preserve">※ 실손단독상품 및 실손특약의 경우 全손보사  보험사 연동으로 지급합니다. </t>
    <phoneticPr fontId="13" type="noConversion"/>
  </si>
  <si>
    <t>2차년도 이후 수수료는 "본사기준 수수료의 80%" 를 각 직급별 지급률로 지급함</t>
    <phoneticPr fontId="13" type="noConversion"/>
  </si>
  <si>
    <t>회사</t>
    <phoneticPr fontId="13" type="noConversion"/>
  </si>
  <si>
    <t>영수P</t>
    <phoneticPr fontId="13" type="noConversion"/>
  </si>
  <si>
    <t>수정률</t>
    <phoneticPr fontId="4" type="noConversion"/>
  </si>
  <si>
    <t>수정P</t>
    <phoneticPr fontId="4" type="noConversion"/>
  </si>
  <si>
    <t>1차년도</t>
    <phoneticPr fontId="13" type="noConversion"/>
  </si>
  <si>
    <t>2차년도</t>
    <phoneticPr fontId="4" type="noConversion"/>
  </si>
  <si>
    <t>1차년
(익월포함)</t>
    <phoneticPr fontId="4" type="noConversion"/>
  </si>
  <si>
    <t>총계
(1차년+2차년)</t>
    <phoneticPr fontId="4" type="noConversion"/>
  </si>
  <si>
    <t>1차년도 규정</t>
    <phoneticPr fontId="13" type="noConversion"/>
  </si>
  <si>
    <t>2차년도 이후 규정</t>
    <phoneticPr fontId="4" type="noConversion"/>
  </si>
  <si>
    <t>신규</t>
    <phoneticPr fontId="4" type="noConversion"/>
  </si>
  <si>
    <t>갱신</t>
    <phoneticPr fontId="4" type="noConversion"/>
  </si>
  <si>
    <t>익월</t>
    <phoneticPr fontId="13" type="noConversion"/>
  </si>
  <si>
    <t>2~12회</t>
    <phoneticPr fontId="13" type="noConversion"/>
  </si>
  <si>
    <t>13~18회</t>
    <phoneticPr fontId="4" type="noConversion"/>
  </si>
  <si>
    <t>13회차</t>
    <phoneticPr fontId="4" type="noConversion"/>
  </si>
  <si>
    <t>14~24회</t>
    <phoneticPr fontId="4" type="noConversion"/>
  </si>
  <si>
    <t>동부화재</t>
    <phoneticPr fontId="13" type="noConversion"/>
  </si>
  <si>
    <t>성과수수료 : 수정P * 54% (1회)
관리수수료 : 수정P * 29% (2~11회)
             수정P * 34%(12회)</t>
    <phoneticPr fontId="13" type="noConversion"/>
  </si>
  <si>
    <r>
      <t xml:space="preserve">1차년 규정 </t>
    </r>
    <r>
      <rPr>
        <b/>
        <sz val="9"/>
        <color theme="1"/>
        <rFont val="맑은 고딕"/>
        <family val="3"/>
        <charset val="129"/>
        <scheme val="minor"/>
      </rPr>
      <t>* 80%</t>
    </r>
    <phoneticPr fontId="4" type="noConversion"/>
  </si>
  <si>
    <t>메리츠화재</t>
    <phoneticPr fontId="13" type="noConversion"/>
  </si>
  <si>
    <t>성과수수료 : 수정P * 34%(1회)
관리수수료 : 수정P * 34% (2~12회)
                     + 수정P * 10% (13~15회)
                   + 수정P * 5% (16~18회)</t>
    <phoneticPr fontId="13" type="noConversion"/>
  </si>
  <si>
    <r>
      <t xml:space="preserve">영수P * 6% </t>
    </r>
    <r>
      <rPr>
        <b/>
        <sz val="9"/>
        <color theme="1"/>
        <rFont val="맑은 고딕"/>
        <family val="3"/>
        <charset val="129"/>
        <scheme val="minor"/>
      </rPr>
      <t>* 80%</t>
    </r>
    <phoneticPr fontId="4" type="noConversion"/>
  </si>
  <si>
    <t>한화손해</t>
    <phoneticPr fontId="13" type="noConversion"/>
  </si>
  <si>
    <t>모집수수료 : 수정P * 36%
계약관리수수료 : 수정P * 32% * 11(2~12회)
                        + 수정P * 7%*5 (13~17회)
                 + 수정P * 12% (18회)</t>
    <phoneticPr fontId="13" type="noConversion"/>
  </si>
  <si>
    <t>모집수수료 : 수정P * 35%
유지수수료 : 수정P * 30% * 11 (2~12회차)</t>
    <phoneticPr fontId="13" type="noConversion"/>
  </si>
  <si>
    <t>MG손해</t>
    <phoneticPr fontId="13" type="noConversion"/>
  </si>
  <si>
    <t>삼성화재</t>
    <phoneticPr fontId="13" type="noConversion"/>
  </si>
  <si>
    <t>성과수수료 : 수정P * 55%
모집수수료 : 수정P * 220%
유지수수료 : 수정P * 9% * 11 (2~12회차)</t>
    <phoneticPr fontId="13" type="noConversion"/>
  </si>
  <si>
    <r>
      <t xml:space="preserve">수정P * 18% </t>
    </r>
    <r>
      <rPr>
        <b/>
        <sz val="9"/>
        <color theme="1"/>
        <rFont val="맑은 고딕"/>
        <family val="3"/>
        <charset val="129"/>
        <scheme val="minor"/>
      </rPr>
      <t>* 80%</t>
    </r>
    <phoneticPr fontId="4" type="noConversion"/>
  </si>
  <si>
    <t>LIG손해</t>
    <phoneticPr fontId="13" type="noConversion"/>
  </si>
  <si>
    <t>모집수수료 : 수정P * 34%
유지수수료 : 수정P * 34% *11 (2 ~ 12회차)</t>
    <phoneticPr fontId="13" type="noConversion"/>
  </si>
  <si>
    <t>현대해상</t>
    <phoneticPr fontId="13" type="noConversion"/>
  </si>
  <si>
    <t xml:space="preserve">성과수수료:수정P*215%
7~12회 유지수수료:수정P*31.2%*6 </t>
    <phoneticPr fontId="13" type="noConversion"/>
  </si>
  <si>
    <r>
      <t xml:space="preserve">1차년 규정 </t>
    </r>
    <r>
      <rPr>
        <b/>
        <sz val="9"/>
        <color theme="1"/>
        <rFont val="맑은 고딕"/>
        <family val="3"/>
        <charset val="129"/>
        <scheme val="minor"/>
      </rPr>
      <t xml:space="preserve">* 80%
</t>
    </r>
    <r>
      <rPr>
        <sz val="9"/>
        <color theme="1"/>
        <rFont val="맑은 고딕"/>
        <family val="3"/>
        <charset val="129"/>
        <scheme val="minor"/>
      </rPr>
      <t>(2차년까지만 수수료지급)</t>
    </r>
    <phoneticPr fontId="4" type="noConversion"/>
  </si>
  <si>
    <t>흥국화재</t>
    <phoneticPr fontId="13" type="noConversion"/>
  </si>
  <si>
    <t>-</t>
    <phoneticPr fontId="4" type="noConversion"/>
  </si>
  <si>
    <t>성과수수료 : 수정P * 33.5%(1회)
계약관리수수료 : 수정P * 33.5% (2~12회)</t>
    <phoneticPr fontId="13" type="noConversion"/>
  </si>
  <si>
    <r>
      <t xml:space="preserve">영수P * 6% </t>
    </r>
    <r>
      <rPr>
        <b/>
        <sz val="9"/>
        <color theme="1"/>
        <rFont val="맑은 고딕"/>
        <family val="3"/>
        <charset val="129"/>
        <scheme val="major"/>
      </rPr>
      <t>* 80%</t>
    </r>
    <phoneticPr fontId="66"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</si>
  <si>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</si>
  <si>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</si>
  <si>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</si>
  <si>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</si>
  <si>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비  고</t>
    <phoneticPr fontId="7" type="noConversion"/>
  </si>
  <si>
    <t>성과수수료</t>
    <phoneticPr fontId="7" type="noConversion"/>
  </si>
  <si>
    <t>▶ 지급 방식 : 실손 외 : 익월 先지급 (1회 지급) : 신규수정P * 295%</t>
    <phoneticPr fontId="13" type="noConversion"/>
  </si>
  <si>
    <t>▶ 실손의료비보험 : 수정P * 34%</t>
    <phoneticPr fontId="13" type="noConversion"/>
  </si>
  <si>
    <t>계약관리수수료</t>
    <phoneticPr fontId="7" type="noConversion"/>
  </si>
  <si>
    <t>▶ 실손 외 : [2~12회차]  수정P *  10%</t>
    <phoneticPr fontId="13" type="noConversion"/>
  </si>
  <si>
    <t>유지보수수수료</t>
    <phoneticPr fontId="7" type="noConversion"/>
  </si>
  <si>
    <t>구분</t>
    <phoneticPr fontId="7" type="noConversion"/>
  </si>
  <si>
    <t>3년납이상</t>
    <phoneticPr fontId="33" type="noConversion"/>
  </si>
  <si>
    <t>1.1%~4.9%</t>
    <phoneticPr fontId="33" type="noConversion"/>
  </si>
  <si>
    <t>13~36회차 지급</t>
    <phoneticPr fontId="33" type="noConversion"/>
  </si>
  <si>
    <t>2. 수수료 지급 예시</t>
    <phoneticPr fontId="7"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</si>
  <si>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</si>
  <si>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</si>
  <si>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유지보수 수수료</t>
    <phoneticPr fontId="33" type="noConversion"/>
  </si>
  <si>
    <t>본부장</t>
    <phoneticPr fontId="7" type="noConversion"/>
  </si>
  <si>
    <t>인증지점장</t>
    <phoneticPr fontId="7" type="noConversion"/>
  </si>
  <si>
    <t>기준</t>
    <phoneticPr fontId="33" type="noConversion"/>
  </si>
  <si>
    <t>25회~36회</t>
    <phoneticPr fontId="33" type="noConversion"/>
  </si>
  <si>
    <t>알파Plus보장보험</t>
    <phoneticPr fontId="7" type="noConversion"/>
  </si>
  <si>
    <t>내Mom 같은 어린이보험</t>
    <phoneticPr fontId="7" type="noConversion"/>
  </si>
  <si>
    <t>걱정없는 암보험 2종</t>
    <phoneticPr fontId="4" type="noConversion"/>
  </si>
  <si>
    <t>운전자보험 M-Drive</t>
    <phoneticPr fontId="4" type="noConversion"/>
  </si>
  <si>
    <t>THE즐거운 시니어보장보험(간병보험)</t>
    <phoneticPr fontId="4" type="noConversion"/>
  </si>
  <si>
    <t>20년납</t>
    <phoneticPr fontId="7" type="noConversion"/>
  </si>
  <si>
    <t>-</t>
    <phoneticPr fontId="33" type="noConversion"/>
  </si>
  <si>
    <t>우리집보험M-House</t>
    <phoneticPr fontId="7" type="noConversion"/>
  </si>
  <si>
    <t>5년납</t>
    <phoneticPr fontId="7" type="noConversion"/>
  </si>
  <si>
    <t>연금저축 노후생활지킴이보험</t>
    <phoneticPr fontId="7" type="noConversion"/>
  </si>
  <si>
    <t>3년납 10년만기</t>
    <phoneticPr fontId="7" type="noConversion"/>
  </si>
  <si>
    <t>실손의료비보험 (1차년도 지급예시)</t>
    <phoneticPr fontId="4" type="noConversion"/>
  </si>
  <si>
    <t>1년만기</t>
    <phoneticPr fontId="7" type="noConversion"/>
  </si>
  <si>
    <t>일시납수수료율</t>
    <phoneticPr fontId="7" type="noConversion"/>
  </si>
  <si>
    <t xml:space="preserve"> &lt; 세부 사항 안내 &gt;</t>
    <phoneticPr fontId="7" type="noConversion"/>
  </si>
  <si>
    <t xml:space="preserve">1. 지급구간 :  최고구간 지급률인 295%(성과수수료)로 지급예시함 </t>
    <phoneticPr fontId="13" type="noConversion"/>
  </si>
  <si>
    <t xml:space="preserve">5. 비고 : 상기 자료는 예시이므로 매월 마감 업적, 유지율 및 개별 상품 설계시의 실제 수정P등에 따라 추가 또는 감소되어 지급됨 </t>
    <phoneticPr fontId="7" type="noConversion"/>
  </si>
  <si>
    <t xml:space="preserve">※ 실손단독상품 및 실손특약의 경우 全손보사  보험사 연동으로 지급합니다. </t>
    <phoneticPr fontId="13"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</si>
  <si>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</si>
  <si>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</si>
  <si>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</si>
  <si>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</si>
  <si>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세 부 사 항</t>
    <phoneticPr fontId="7" type="noConversion"/>
  </si>
  <si>
    <t>비고</t>
    <phoneticPr fontId="7" type="noConversion"/>
  </si>
  <si>
    <t>모집수수료</t>
    <phoneticPr fontId="7" type="noConversion"/>
  </si>
  <si>
    <t>▶ 실손 외 : 수정P * 245%</t>
    <phoneticPr fontId="7" type="noConversion"/>
  </si>
  <si>
    <t>▶ 실손의료보험: 수정P * 35%</t>
    <phoneticPr fontId="13" type="noConversion"/>
  </si>
  <si>
    <t>유지수수료</t>
    <phoneticPr fontId="7" type="noConversion"/>
  </si>
  <si>
    <t>▶ 실손 외 : 수정P * 5% * 11회(2회~12회), 수정P * 20% * 3회(13회~15회)</t>
    <phoneticPr fontId="7" type="noConversion"/>
  </si>
  <si>
    <r>
      <rPr>
        <b/>
        <sz val="9"/>
        <color indexed="10"/>
        <rFont val="맑은 고딕"/>
        <family val="3"/>
        <charset val="129"/>
      </rPr>
      <t>2~6회 유지수수료 익월 선지급</t>
    </r>
    <r>
      <rPr>
        <sz val="9"/>
        <color indexed="10"/>
        <rFont val="맑은 고딕"/>
        <family val="3"/>
        <charset val="129"/>
      </rPr>
      <t xml:space="preserve"> </t>
    </r>
    <r>
      <rPr>
        <sz val="9"/>
        <rFont val="맑은 고딕"/>
        <family val="3"/>
        <charset val="129"/>
      </rPr>
      <t xml:space="preserve">/ 자동이체 및 응당월입금 기준 /
</t>
    </r>
    <r>
      <rPr>
        <b/>
        <sz val="9"/>
        <color rgb="FFFF0000"/>
        <rFont val="맑은 고딕"/>
        <family val="3"/>
        <charset val="129"/>
      </rPr>
      <t>카드수납시 수납보험료의 2%를 차감하여 지급</t>
    </r>
    <phoneticPr fontId="13" type="noConversion"/>
  </si>
  <si>
    <t>▶ 실손의료보험: 수정P * 30% * 11(2회~12회)</t>
    <phoneticPr fontId="13" type="noConversion"/>
  </si>
  <si>
    <t>계약관리수수료</t>
    <phoneticPr fontId="13" type="noConversion"/>
  </si>
  <si>
    <t>▶  저축 및 연금 : 영수보험료 *지급률 * 최대84회</t>
    <phoneticPr fontId="13" type="noConversion"/>
  </si>
  <si>
    <t>※ 납기별, 상품별 지급률은 수정율표 참조</t>
    <phoneticPr fontId="13" type="noConversion"/>
  </si>
  <si>
    <t>(단, 납입기간7년 미만은 납입기간 종료시까지 지급)</t>
    <phoneticPr fontId="13" type="noConversion"/>
  </si>
  <si>
    <t>2. 수수료 지급 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</si>
  <si>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</si>
  <si>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</si>
  <si>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</si>
  <si>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</si>
  <si>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신계약
수정P</t>
    <phoneticPr fontId="7" type="noConversion"/>
  </si>
  <si>
    <t>계약관리수수료</t>
    <phoneticPr fontId="7" type="noConversion"/>
  </si>
  <si>
    <t>본사수수료</t>
    <phoneticPr fontId="7" type="noConversion"/>
  </si>
  <si>
    <t>본부장</t>
    <phoneticPr fontId="7" type="noConversion"/>
  </si>
  <si>
    <t>인증지점장</t>
    <phoneticPr fontId="7" type="noConversion"/>
  </si>
  <si>
    <t>팀장</t>
    <phoneticPr fontId="7" type="noConversion"/>
  </si>
  <si>
    <t>위촉FC</t>
    <phoneticPr fontId="7" type="noConversion"/>
  </si>
  <si>
    <t>상품군</t>
    <phoneticPr fontId="13" type="noConversion"/>
  </si>
  <si>
    <t>기준</t>
    <phoneticPr fontId="33" type="noConversion"/>
  </si>
  <si>
    <t>수정률</t>
    <phoneticPr fontId="4" type="noConversion"/>
  </si>
  <si>
    <t>계약관리</t>
    <phoneticPr fontId="4" type="noConversion"/>
  </si>
  <si>
    <t>2~6회</t>
    <phoneticPr fontId="13" type="noConversion"/>
  </si>
  <si>
    <t>7~12회</t>
    <phoneticPr fontId="33" type="noConversion"/>
  </si>
  <si>
    <t>13~15회</t>
    <phoneticPr fontId="13" type="noConversion"/>
  </si>
  <si>
    <t>익월</t>
    <phoneticPr fontId="13" type="noConversion"/>
  </si>
  <si>
    <t>1차년
(익월포함)</t>
    <phoneticPr fontId="13" type="noConversion"/>
  </si>
  <si>
    <t>익월</t>
    <phoneticPr fontId="7" type="noConversion"/>
  </si>
  <si>
    <t>총계</t>
    <phoneticPr fontId="7" type="noConversion"/>
  </si>
  <si>
    <t>보장</t>
    <phoneticPr fontId="13" type="noConversion"/>
  </si>
  <si>
    <t>힐링케어 건강보험(2종_적립대체)</t>
    <phoneticPr fontId="13" type="noConversion"/>
  </si>
  <si>
    <t>-</t>
    <phoneticPr fontId="4" type="noConversion"/>
  </si>
  <si>
    <t>-</t>
    <phoneticPr fontId="13" type="noConversion"/>
  </si>
  <si>
    <t>(무)롯데 두드림 자녀보험</t>
    <phoneticPr fontId="4" type="noConversion"/>
  </si>
  <si>
    <t>20년납</t>
    <phoneticPr fontId="7" type="noConversion"/>
  </si>
  <si>
    <t>암에강한 상해보험</t>
    <phoneticPr fontId="4" type="noConversion"/>
  </si>
  <si>
    <t>골드플랜 간병보험</t>
    <phoneticPr fontId="4" type="noConversion"/>
  </si>
  <si>
    <t>20년납</t>
    <phoneticPr fontId="4" type="noConversion"/>
  </si>
  <si>
    <t>재물</t>
    <phoneticPr fontId="13" type="noConversion"/>
  </si>
  <si>
    <t>5년납</t>
    <phoneticPr fontId="7" type="noConversion"/>
  </si>
  <si>
    <t>연금
저축</t>
    <phoneticPr fontId="13" type="noConversion"/>
  </si>
  <si>
    <t>행복더하기저축</t>
    <phoneticPr fontId="7" type="noConversion"/>
  </si>
  <si>
    <r>
      <rPr>
        <b/>
        <sz val="9"/>
        <color rgb="FF0000FF"/>
        <rFont val="맑은 고딕"/>
        <family val="3"/>
        <charset val="129"/>
      </rPr>
      <t xml:space="preserve"> </t>
    </r>
    <r>
      <rPr>
        <b/>
        <sz val="9"/>
        <rFont val="맑은 고딕"/>
        <family val="3"/>
        <charset val="129"/>
      </rPr>
      <t>행복더하기저축 (3년납 3년만기 제외)</t>
    </r>
    <phoneticPr fontId="7" type="noConversion"/>
  </si>
  <si>
    <t xml:space="preserve">일시납 </t>
    <phoneticPr fontId="7" type="noConversion"/>
  </si>
  <si>
    <t>실손
단독</t>
    <phoneticPr fontId="13" type="noConversion"/>
  </si>
  <si>
    <t>실손의료보험 (1차년도 지급예시)</t>
    <phoneticPr fontId="13" type="noConversion"/>
  </si>
  <si>
    <t>1년납</t>
    <phoneticPr fontId="7" type="noConversion"/>
  </si>
  <si>
    <t xml:space="preserve"> &lt; 세부 사항 안내 &gt;</t>
    <phoneticPr fontId="7" type="noConversion"/>
  </si>
  <si>
    <t>1. 최저보장적용 : 모집수수료 수정P 대비 245% 보장지급 적용하여 예시함</t>
    <phoneticPr fontId="7" type="noConversion"/>
  </si>
  <si>
    <t>▶ 비월납의 경우 월납수정P기준으로 적용</t>
    <phoneticPr fontId="13" type="noConversion"/>
  </si>
  <si>
    <t>2. 저축성 상품의 계약관리수수료는 납입기간이 7년 미만의 경우 납입기간 종료시까지 지급</t>
    <phoneticPr fontId="33" type="noConversion"/>
  </si>
  <si>
    <t xml:space="preserve">3. 수정률 기준 : 납기에 따른 기본보장계약의 월납영수보험료를 기준으로 예시하였으며, 실제 설계시 보험료 및 특약별로 적용되는 수정률이 다를 수 있으므로, 정확한 수정률은 팜스에 공지되어 있는 장기보험 수정률표 자료 참조 요망 </t>
    <phoneticPr fontId="13" type="noConversion"/>
  </si>
  <si>
    <t xml:space="preserve">4. 비고 : 상기 자료는 예시이므로 매월 마감 업적, 유지율 및 개별 상품 설계시의 실제 환산P등에 따라 추가 또는 감소되어 지급됨 </t>
    <phoneticPr fontId="7" type="noConversion"/>
  </si>
  <si>
    <t xml:space="preserve">※ 실손단독상품 및 실손특약의 경우 全손보사  보험사 연동으로 지급합니다. </t>
    <phoneticPr fontId="13" type="noConversion"/>
  </si>
  <si>
    <t>안전동행 운전자보험</t>
    <phoneticPr fontId="13"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</si>
  <si>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</si>
  <si>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항  목</t>
    <phoneticPr fontId="7" type="noConversion"/>
  </si>
  <si>
    <t>세  부  사  항</t>
    <phoneticPr fontId="7" type="noConversion"/>
  </si>
  <si>
    <t>비  고</t>
    <phoneticPr fontId="7" type="noConversion"/>
  </si>
  <si>
    <t>모집수수료</t>
    <phoneticPr fontId="7" type="noConversion"/>
  </si>
  <si>
    <r>
      <t xml:space="preserve">지급 방식 : 익월 先지급 (1회 지급) / 지급액 : </t>
    </r>
    <r>
      <rPr>
        <b/>
        <u/>
        <sz val="9"/>
        <rFont val="맑은 고딕"/>
        <family val="3"/>
        <charset val="129"/>
      </rPr>
      <t>수정P * 272.5%</t>
    </r>
    <phoneticPr fontId="13" type="noConversion"/>
  </si>
  <si>
    <r>
      <t>(실손의료보험 :</t>
    </r>
    <r>
      <rPr>
        <b/>
        <sz val="9"/>
        <rFont val="맑은 고딕"/>
        <family val="3"/>
        <charset val="129"/>
      </rPr>
      <t xml:space="preserve"> </t>
    </r>
    <r>
      <rPr>
        <b/>
        <u/>
        <sz val="9"/>
        <rFont val="맑은 고딕"/>
        <family val="3"/>
        <charset val="129"/>
      </rPr>
      <t>수정P * 36%</t>
    </r>
    <r>
      <rPr>
        <sz val="9"/>
        <rFont val="맑은 고딕"/>
        <family val="3"/>
        <charset val="129"/>
      </rPr>
      <t>)</t>
    </r>
    <phoneticPr fontId="4" type="noConversion"/>
  </si>
  <si>
    <t>성과수수료</t>
    <phoneticPr fontId="7" type="noConversion"/>
  </si>
  <si>
    <r>
      <t xml:space="preserve">지급 방식 : 익월 先지급 (1회 지급) / 지급액 : </t>
    </r>
    <r>
      <rPr>
        <b/>
        <u/>
        <sz val="9"/>
        <rFont val="맑은 고딕"/>
        <family val="3"/>
        <charset val="129"/>
      </rPr>
      <t>수정P * 20%</t>
    </r>
    <phoneticPr fontId="13" type="noConversion"/>
  </si>
  <si>
    <t>보장성 상품(실손 제외)에 한하여 지급 (연금 및 저축 제외) / 정산환산성적 3백만원 미만시 부지급</t>
    <phoneticPr fontId="13" type="noConversion"/>
  </si>
  <si>
    <t>관리수수료</t>
    <phoneticPr fontId="7" type="noConversion"/>
  </si>
  <si>
    <r>
      <t xml:space="preserve">지급 방식 : 수납 실적월 기준으로 지급 / 지급액 : </t>
    </r>
    <r>
      <rPr>
        <b/>
        <u/>
        <sz val="9"/>
        <rFont val="맑은 고딕"/>
        <family val="3"/>
        <charset val="129"/>
      </rPr>
      <t>수정P * 8.5% * 11회(2~12회)</t>
    </r>
    <phoneticPr fontId="13" type="noConversion"/>
  </si>
  <si>
    <t>비월납,선납의 경우에도 응당회차 도래시 지급</t>
    <phoneticPr fontId="13" type="noConversion"/>
  </si>
  <si>
    <r>
      <t xml:space="preserve">(실손의료보험 : </t>
    </r>
    <r>
      <rPr>
        <b/>
        <u/>
        <sz val="9"/>
        <rFont val="맑은 고딕"/>
        <family val="3"/>
        <charset val="129"/>
      </rPr>
      <t>수정P * 32% * 11회(2~12회)</t>
    </r>
    <r>
      <rPr>
        <sz val="9"/>
        <rFont val="맑은 고딕"/>
        <family val="3"/>
        <charset val="129"/>
      </rPr>
      <t xml:space="preserve">, </t>
    </r>
    <r>
      <rPr>
        <b/>
        <u/>
        <sz val="9"/>
        <rFont val="맑은 고딕"/>
        <family val="3"/>
        <charset val="129"/>
      </rPr>
      <t>수정P * 7% * 5회(13~17회)</t>
    </r>
    <r>
      <rPr>
        <sz val="9"/>
        <rFont val="맑은 고딕"/>
        <family val="3"/>
        <charset val="129"/>
      </rPr>
      <t xml:space="preserve">, </t>
    </r>
    <r>
      <rPr>
        <b/>
        <u/>
        <sz val="9"/>
        <rFont val="맑은 고딕"/>
        <family val="3"/>
        <charset val="129"/>
      </rPr>
      <t>수정P * 12% * 1회(18회)</t>
    </r>
    <r>
      <rPr>
        <sz val="9"/>
        <rFont val="맑은 고딕"/>
        <family val="3"/>
        <charset val="129"/>
      </rPr>
      <t>)</t>
    </r>
    <phoneticPr fontId="4" type="noConversion"/>
  </si>
  <si>
    <t>저축계약관리수수료</t>
    <phoneticPr fontId="13" type="noConversion"/>
  </si>
  <si>
    <t>납기</t>
    <phoneticPr fontId="13" type="noConversion"/>
  </si>
  <si>
    <t>2년납</t>
    <phoneticPr fontId="13" type="noConversion"/>
  </si>
  <si>
    <t>3년납</t>
    <phoneticPr fontId="13" type="noConversion"/>
  </si>
  <si>
    <t>4년납이상</t>
    <phoneticPr fontId="13" type="noConversion"/>
  </si>
  <si>
    <t>지급회차</t>
    <phoneticPr fontId="13" type="noConversion"/>
  </si>
  <si>
    <t>2~24회차</t>
    <phoneticPr fontId="13" type="noConversion"/>
  </si>
  <si>
    <t>2~36회차</t>
    <phoneticPr fontId="13" type="noConversion"/>
  </si>
  <si>
    <t>2~48회차</t>
    <phoneticPr fontId="13" type="noConversion"/>
  </si>
  <si>
    <t>2. 수수료 지급 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</si>
  <si>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</si>
  <si>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</si>
  <si>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</si>
  <si>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</si>
  <si>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수정P</t>
    <phoneticPr fontId="7" type="noConversion"/>
  </si>
  <si>
    <t>1차년관리</t>
    <phoneticPr fontId="4" type="noConversion"/>
  </si>
  <si>
    <t>저축계약관리</t>
    <phoneticPr fontId="13" type="noConversion"/>
  </si>
  <si>
    <t>본사수수료</t>
    <phoneticPr fontId="7" type="noConversion"/>
  </si>
  <si>
    <t>본부장</t>
    <phoneticPr fontId="7" type="noConversion"/>
  </si>
  <si>
    <t>인증지점장</t>
    <phoneticPr fontId="4" type="noConversion"/>
  </si>
  <si>
    <t>팀장</t>
    <phoneticPr fontId="7" type="noConversion"/>
  </si>
  <si>
    <t>위촉FC</t>
    <phoneticPr fontId="7" type="noConversion"/>
  </si>
  <si>
    <t>기준</t>
    <phoneticPr fontId="13" type="noConversion"/>
  </si>
  <si>
    <t>저축관리
지급율</t>
    <phoneticPr fontId="13" type="noConversion"/>
  </si>
  <si>
    <t>1차년</t>
    <phoneticPr fontId="13" type="noConversion"/>
  </si>
  <si>
    <t>총</t>
    <phoneticPr fontId="13" type="noConversion"/>
  </si>
  <si>
    <t>1차년
(익월포함)</t>
    <phoneticPr fontId="13" type="noConversion"/>
  </si>
  <si>
    <t>총계</t>
    <phoneticPr fontId="7" type="noConversion"/>
  </si>
  <si>
    <t>한아름슈퍼플러스</t>
    <phoneticPr fontId="4" type="noConversion"/>
  </si>
  <si>
    <t>20년납이상</t>
    <phoneticPr fontId="13" type="noConversion"/>
  </si>
  <si>
    <t>1등엄마의똑똑한자녀보험</t>
    <phoneticPr fontId="7" type="noConversion"/>
  </si>
  <si>
    <t>20년납</t>
    <phoneticPr fontId="13" type="noConversion"/>
  </si>
  <si>
    <t>스마트플러스운전자보험</t>
    <phoneticPr fontId="7" type="noConversion"/>
  </si>
  <si>
    <t>나만의맞춤암보험(2종)</t>
    <phoneticPr fontId="7" type="noConversion"/>
  </si>
  <si>
    <t>마이라이프실버암보험</t>
    <phoneticPr fontId="7" type="noConversion"/>
  </si>
  <si>
    <t>10년납</t>
    <phoneticPr fontId="13" type="noConversion"/>
  </si>
  <si>
    <t>한화한아름간병보험</t>
    <phoneticPr fontId="7" type="noConversion"/>
  </si>
  <si>
    <t>한화실손의료보험</t>
    <phoneticPr fontId="7" type="noConversion"/>
  </si>
  <si>
    <t>1년납</t>
    <phoneticPr fontId="13" type="noConversion"/>
  </si>
  <si>
    <t>드림모아저축보험</t>
    <phoneticPr fontId="7" type="noConversion"/>
  </si>
  <si>
    <t>골드연금보험</t>
    <phoneticPr fontId="7" type="noConversion"/>
  </si>
  <si>
    <t>10년납이상</t>
    <phoneticPr fontId="13" type="noConversion"/>
  </si>
  <si>
    <t>카네이션B＆B상조보험</t>
    <phoneticPr fontId="7" type="noConversion"/>
  </si>
  <si>
    <t>20년납/60세이상</t>
    <phoneticPr fontId="4" type="noConversion"/>
  </si>
  <si>
    <t>하나로재산종합보험</t>
    <phoneticPr fontId="7" type="noConversion"/>
  </si>
  <si>
    <r>
      <rPr>
        <b/>
        <sz val="9"/>
        <color indexed="12"/>
        <rFont val="맑은 고딕"/>
        <family val="3"/>
        <charset val="129"/>
      </rPr>
      <t xml:space="preserve">일시납 / </t>
    </r>
    <r>
      <rPr>
        <b/>
        <sz val="9"/>
        <rFont val="맑은 고딕"/>
        <family val="3"/>
        <charset val="129"/>
      </rPr>
      <t>드림모아저축</t>
    </r>
    <phoneticPr fontId="7" type="noConversion"/>
  </si>
  <si>
    <t>일시납수수료율</t>
    <phoneticPr fontId="13" type="noConversion"/>
  </si>
  <si>
    <t xml:space="preserve"> &lt; 세부 사항 안내 &gt;</t>
    <phoneticPr fontId="7" type="noConversion"/>
  </si>
  <si>
    <t>1. 최저보장제 적용 : 최고 구간 지급률인 292.5%(모집272.5%+성과20%)를 보장 지급 / 단, 비보장성 상품(연금 및 저축)은 익월 총 272.5%(모집272.5%) 지급</t>
    <phoneticPr fontId="13" type="noConversion"/>
  </si>
  <si>
    <t xml:space="preserve">2. 수정P 기준 : 납기에 따른 월납영수보험료를 기준으로 예시하였으며, 실제 설계시 보험료 및 담보별로 적용되는 수정률이 다를 수 있으므로, </t>
    <phoneticPr fontId="4" type="noConversion"/>
  </si>
  <si>
    <t xml:space="preserve">3. 비고 : 상기 자료는 예시이므로 매월 마감 업적, 유지율 및 개별 상품 설계시의 실제 수정P에 따라 추가 또는 감소되어 지급됨 </t>
    <phoneticPr fontId="7" type="noConversion"/>
  </si>
  <si>
    <t xml:space="preserve">※ 실손단독상품 및 실손특약의 경우 全손보사  보험사 연동으로 지급합니다. </t>
    <phoneticPr fontId="13" type="noConversion"/>
  </si>
  <si>
    <t>갱신 이후 수수료는 "본사기준 수수료의 80%" 를 각 직급별 지급률로 지급함</t>
    <phoneticPr fontId="4" type="noConversion"/>
  </si>
  <si>
    <t>-</t>
    <phoneticPr fontId="4" type="noConversion"/>
  </si>
  <si>
    <t>-</t>
    <phoneticPr fontId="4" type="noConversion"/>
  </si>
  <si>
    <t>-</t>
    <phoneticPr fontId="4" type="noConversion"/>
  </si>
  <si>
    <r>
      <t>무배당 모아Rich보험</t>
    </r>
    <r>
      <rPr>
        <b/>
        <sz val="9"/>
        <color rgb="FF0000FF"/>
        <rFont val="맑은 고딕"/>
        <family val="3"/>
        <charset val="129"/>
      </rPr>
      <t xml:space="preserve"> (일시납)</t>
    </r>
    <phoneticPr fontId="4" type="noConversion"/>
  </si>
  <si>
    <r>
      <rPr>
        <b/>
        <sz val="9"/>
        <color rgb="FF0000FF"/>
        <rFont val="맑은 고딕"/>
        <family val="3"/>
        <charset val="129"/>
      </rPr>
      <t>일시납</t>
    </r>
    <r>
      <rPr>
        <b/>
        <sz val="9"/>
        <rFont val="맑은 고딕"/>
        <family val="3"/>
        <charset val="129"/>
      </rPr>
      <t>(골드플러스파트너)</t>
    </r>
    <phoneticPr fontId="7" type="noConversion"/>
  </si>
  <si>
    <t>리치웨이플러스저축</t>
  </si>
  <si>
    <t>7~9</t>
    <phoneticPr fontId="7" type="noConversion"/>
  </si>
  <si>
    <t>14년 9월 손보사별수수료테이블 변동사항(전월대비)</t>
    <phoneticPr fontId="7" type="noConversion"/>
  </si>
  <si>
    <t>1. 수수료 항목 및 지급 기준</t>
    <phoneticPr fontId="7" type="noConversion"/>
  </si>
  <si>
    <t>항  목</t>
    <phoneticPr fontId="7" type="noConversion"/>
  </si>
  <si>
    <t>세 부 사 항</t>
    <phoneticPr fontId="7" type="noConversion"/>
  </si>
  <si>
    <t>비고</t>
    <phoneticPr fontId="7" type="noConversion"/>
  </si>
  <si>
    <t>모집수수료</t>
    <phoneticPr fontId="7" type="noConversion"/>
  </si>
  <si>
    <t xml:space="preserve">▶ 일반 보장성 : 수정P * 220% </t>
    <phoneticPr fontId="7" type="noConversion"/>
  </si>
  <si>
    <t xml:space="preserve"> 성과수수료 : 수정P 구간별로 차등 지급되나, 
당사의 경우 최고 구간인 수정P 5천만원의 지급률 55%를 보장지급함
단, 유지율은 연동됨 (연금/저축성 3종 부지급)</t>
    <phoneticPr fontId="13" type="noConversion"/>
  </si>
  <si>
    <t xml:space="preserve">  ▶  저축성 2종(수퍼세이브, 오너리치) : 수정P * 28%</t>
    <phoneticPr fontId="7" type="noConversion"/>
  </si>
  <si>
    <t>성과수수료</t>
    <phoneticPr fontId="7" type="noConversion"/>
  </si>
  <si>
    <t>▶ 일반 보장성 : 수정P * 55%</t>
    <phoneticPr fontId="7" type="noConversion"/>
  </si>
  <si>
    <r>
      <t xml:space="preserve"> ▶</t>
    </r>
    <r>
      <rPr>
        <sz val="9"/>
        <color rgb="FF0000FF"/>
        <rFont val="맑은 고딕"/>
        <family val="3"/>
        <charset val="129"/>
      </rPr>
      <t xml:space="preserve">프라임특별성과 </t>
    </r>
    <r>
      <rPr>
        <sz val="9"/>
        <rFont val="맑은 고딕"/>
        <family val="3"/>
        <charset val="129"/>
      </rPr>
      <t>: 건강보험NEW 플러스(보장/20년납이상,실손담보必가입) : 수정P * 49.5% (익월지급)</t>
    </r>
    <phoneticPr fontId="4" type="noConversion"/>
  </si>
  <si>
    <r>
      <t xml:space="preserve">  ▶  연금/저축성 3종(연금보험아름다운생활, 수퍼세이브, 오너리치) : </t>
    </r>
    <r>
      <rPr>
        <b/>
        <sz val="9"/>
        <color indexed="10"/>
        <rFont val="맑은 고딕"/>
        <family val="3"/>
        <charset val="129"/>
      </rPr>
      <t>성과수수료 부지급</t>
    </r>
    <phoneticPr fontId="7" type="noConversion"/>
  </si>
  <si>
    <t>수정P</t>
    <phoneticPr fontId="7" type="noConversion"/>
  </si>
  <si>
    <t>3,000↑</t>
    <phoneticPr fontId="7" type="noConversion"/>
  </si>
  <si>
    <t>5,000↑</t>
    <phoneticPr fontId="7" type="noConversion"/>
  </si>
  <si>
    <t>7,000↑</t>
    <phoneticPr fontId="7" type="noConversion"/>
  </si>
  <si>
    <t>10,000↑</t>
    <phoneticPr fontId="7" type="noConversion"/>
  </si>
  <si>
    <t>15,000↑</t>
    <phoneticPr fontId="7" type="noConversion"/>
  </si>
  <si>
    <t>20,000↑</t>
    <phoneticPr fontId="7" type="noConversion"/>
  </si>
  <si>
    <t>30,000↑</t>
    <phoneticPr fontId="7" type="noConversion"/>
  </si>
  <si>
    <t>50,000↑</t>
    <phoneticPr fontId="7" type="noConversion"/>
  </si>
  <si>
    <t>유지율 구분</t>
    <phoneticPr fontId="7" type="noConversion"/>
  </si>
  <si>
    <t>2회차</t>
    <phoneticPr fontId="7" type="noConversion"/>
  </si>
  <si>
    <t>2~4회</t>
    <phoneticPr fontId="7" type="noConversion"/>
  </si>
  <si>
    <t>2~7회</t>
    <phoneticPr fontId="7" type="noConversion"/>
  </si>
  <si>
    <t>2~10회</t>
    <phoneticPr fontId="7" type="noConversion"/>
  </si>
  <si>
    <t>2~13회</t>
    <phoneticPr fontId="7" type="noConversion"/>
  </si>
  <si>
    <t>2~19회</t>
    <phoneticPr fontId="7" type="noConversion"/>
  </si>
  <si>
    <t>2~25회</t>
    <phoneticPr fontId="7" type="noConversion"/>
  </si>
  <si>
    <t>적용차월</t>
    <phoneticPr fontId="7" type="noConversion"/>
  </si>
  <si>
    <t>1~6차월</t>
    <phoneticPr fontId="7" type="noConversion"/>
  </si>
  <si>
    <t>10~12</t>
    <phoneticPr fontId="7" type="noConversion"/>
  </si>
  <si>
    <t>13~15</t>
    <phoneticPr fontId="7" type="noConversion"/>
  </si>
  <si>
    <t>16~23</t>
    <phoneticPr fontId="7" type="noConversion"/>
  </si>
  <si>
    <t>24~30</t>
    <phoneticPr fontId="7" type="noConversion"/>
  </si>
  <si>
    <t>31차월↑</t>
    <phoneticPr fontId="7" type="noConversion"/>
  </si>
  <si>
    <t>비례수수료</t>
    <phoneticPr fontId="7" type="noConversion"/>
  </si>
  <si>
    <t>▶ 일반 보장성 : 수정P * 99% (9% * 11회)</t>
    <phoneticPr fontId="7" type="noConversion"/>
  </si>
  <si>
    <t>인정비율</t>
    <phoneticPr fontId="7" type="noConversion"/>
  </si>
  <si>
    <t>미평가
(100%적용)</t>
    <phoneticPr fontId="7" type="noConversion"/>
  </si>
  <si>
    <t>95%↑</t>
    <phoneticPr fontId="7" type="noConversion"/>
  </si>
  <si>
    <t>76%↑</t>
    <phoneticPr fontId="4" type="noConversion"/>
  </si>
  <si>
    <t xml:space="preserve"> ▶건강보험NEW 플러스(보장/20년납이상,실손담보必가입) : 수정P * 49.5% (4.5% * 11회)</t>
    <phoneticPr fontId="4" type="noConversion"/>
  </si>
  <si>
    <t>71%↑</t>
    <phoneticPr fontId="4" type="noConversion"/>
  </si>
  <si>
    <t xml:space="preserve">  ▶  저축성 2종(수퍼세이브, 오너리치) : 수정P * 308% (28% * 11회)</t>
    <phoneticPr fontId="7" type="noConversion"/>
  </si>
  <si>
    <t>66%↑</t>
    <phoneticPr fontId="4" type="noConversion"/>
  </si>
  <si>
    <t>유지보수 수수료</t>
    <phoneticPr fontId="7" type="noConversion"/>
  </si>
  <si>
    <t xml:space="preserve">  ▶  연금/저축성 3종(연금보험아름다운생활, 수퍼세이브, 오너리치) : 월납P * 지급률(1~36회)</t>
    <phoneticPr fontId="13" type="noConversion"/>
  </si>
  <si>
    <t>66%↓</t>
    <phoneticPr fontId="4" type="noConversion"/>
  </si>
  <si>
    <t>2. 수수료 지급 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</si>
  <si>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</si>
  <si>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</si>
  <si>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</si>
  <si>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t>기준</t>
    <phoneticPr fontId="7" type="noConversion"/>
  </si>
  <si>
    <t>추가성과</t>
    <phoneticPr fontId="7" type="noConversion"/>
  </si>
  <si>
    <t>프라임
특별성과</t>
    <phoneticPr fontId="4" type="noConversion"/>
  </si>
  <si>
    <t>본사수수료</t>
    <phoneticPr fontId="7" type="noConversion"/>
  </si>
  <si>
    <t>본부장</t>
    <phoneticPr fontId="7" type="noConversion"/>
  </si>
  <si>
    <t>인증지점장</t>
    <phoneticPr fontId="7" type="noConversion"/>
  </si>
  <si>
    <t>팀장</t>
    <phoneticPr fontId="7" type="noConversion"/>
  </si>
  <si>
    <t>위촉FC</t>
    <phoneticPr fontId="7" type="noConversion"/>
  </si>
  <si>
    <t>납기</t>
    <phoneticPr fontId="7" type="noConversion"/>
  </si>
  <si>
    <t>유지보수율</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</si>
  <si>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</si>
  <si>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익월</t>
    <phoneticPr fontId="7" type="noConversion"/>
  </si>
  <si>
    <t>1차년</t>
    <phoneticPr fontId="7" type="noConversion"/>
  </si>
  <si>
    <t>2차년</t>
    <phoneticPr fontId="7" type="noConversion"/>
  </si>
  <si>
    <t>3차년</t>
    <phoneticPr fontId="7" type="noConversion"/>
  </si>
  <si>
    <t>1차년
(익월포함)</t>
    <phoneticPr fontId="13" type="noConversion"/>
  </si>
  <si>
    <t>총계</t>
    <phoneticPr fontId="7" type="noConversion"/>
  </si>
  <si>
    <t>1. 건강보험NEW 플러스(보장/20년납이상,실손담보必가입)</t>
    <phoneticPr fontId="7" type="noConversion"/>
  </si>
  <si>
    <t>20년납이상↑</t>
    <phoneticPr fontId="7" type="noConversion"/>
  </si>
  <si>
    <r>
      <rPr>
        <b/>
        <sz val="17"/>
        <color rgb="FFFF0000"/>
        <rFont val="맑은 고딕"/>
        <family val="3"/>
        <charset val="129"/>
      </rPr>
      <t xml:space="preserve">↑ </t>
    </r>
    <r>
      <rPr>
        <b/>
        <sz val="12"/>
        <color rgb="FFFF0000"/>
        <rFont val="맑은 고딕"/>
        <family val="3"/>
        <charset val="129"/>
      </rPr>
      <t>"건강보험NEW플러스" (납기20년납이상만해당 / 실손담보없는상품제외 / 유병자할증건 제외)</t>
    </r>
    <phoneticPr fontId="4" type="noConversion"/>
  </si>
  <si>
    <t>2. 건강보험NEW 플러스(보장)</t>
    <phoneticPr fontId="7" type="noConversion"/>
  </si>
  <si>
    <t>15년납</t>
    <phoneticPr fontId="7" type="noConversion"/>
  </si>
  <si>
    <t>행복한파트너(보장)</t>
    <phoneticPr fontId="4" type="noConversion"/>
  </si>
  <si>
    <t>20년납</t>
    <phoneticPr fontId="7" type="noConversion"/>
  </si>
  <si>
    <t>엄마맘에쏙드는 1종(보장)</t>
    <phoneticPr fontId="7" type="noConversion"/>
  </si>
  <si>
    <t>평균수정율</t>
    <phoneticPr fontId="4" type="noConversion"/>
  </si>
  <si>
    <t>유비무암(보장)</t>
    <phoneticPr fontId="7" type="noConversion"/>
  </si>
  <si>
    <t>아름다운생활연금(연금)</t>
    <phoneticPr fontId="7" type="noConversion"/>
  </si>
  <si>
    <t>수퍼세이브(저축)</t>
    <phoneticPr fontId="7" type="noConversion"/>
  </si>
  <si>
    <t>3년납</t>
    <phoneticPr fontId="7" type="noConversion"/>
  </si>
  <si>
    <t>탄탄대로(재물)</t>
    <phoneticPr fontId="7" type="noConversion"/>
  </si>
  <si>
    <t>5년납</t>
    <phoneticPr fontId="7" type="noConversion"/>
  </si>
  <si>
    <t>평균수정율</t>
    <phoneticPr fontId="4" type="noConversion"/>
  </si>
  <si>
    <t>운전보험 안심동행2종 세만기(보장)</t>
    <phoneticPr fontId="4" type="noConversion"/>
  </si>
  <si>
    <t>보장수정율</t>
    <phoneticPr fontId="4" type="noConversion"/>
  </si>
  <si>
    <t>실손의료비보험 (1차년도 지급예시)</t>
    <phoneticPr fontId="4" type="noConversion"/>
  </si>
  <si>
    <t>1년납</t>
    <phoneticPr fontId="7" type="noConversion"/>
  </si>
  <si>
    <t>무배당 삼성화재저축보험 수퍼세이브(저축)</t>
    <phoneticPr fontId="4" type="noConversion"/>
  </si>
  <si>
    <t>일시납</t>
    <phoneticPr fontId="4" type="noConversion"/>
  </si>
  <si>
    <t xml:space="preserve"> &lt; 세부 사항 안내 &gt;</t>
    <phoneticPr fontId="7" type="noConversion"/>
  </si>
  <si>
    <t xml:space="preserve">1. 최저보장제 적용 : 최고 구간인 수정P 5천만원 지급률인 275%(모집+성과수수료)를 보장 지급함(연금/저축성 3종은 성과 부지급) </t>
    <phoneticPr fontId="13" type="noConversion"/>
  </si>
  <si>
    <t xml:space="preserve">                           유지율등 기타 조건은 실제 지급 기준과 연동하여 적용됨(유지율 80%↑ 구간으로 성과수수료 항목 예시함)</t>
    <phoneticPr fontId="13" type="noConversion"/>
  </si>
  <si>
    <t>2. 일반 보장성, 저축성,연금의 3개 상품군으로 3원화하여 지급함</t>
    <phoneticPr fontId="7" type="noConversion"/>
  </si>
  <si>
    <t>▶ 단, 연납건의 경우, 보장성은 익월에 391%로 일시 지급되며, 저축,연금은 336%(성과제외) 일시 지급됨</t>
    <phoneticPr fontId="7" type="noConversion"/>
  </si>
  <si>
    <t xml:space="preserve">                    운전보험 안심동행2종 의 경우 보장보험료(실손담보 미포함) 의 수정율을 기준으로 예시</t>
    <phoneticPr fontId="4" type="noConversion"/>
  </si>
  <si>
    <t>5. 건강보험NEW 플러스(보장) : 건강보험NEW플러스 상품 중 ①유병자할증건 ②실손담보 미가입상품  ③20년납 미만 상품  중 한가지라도 포함 시  "2. 건강보험NEW 플러스(보장)"  예시로 확인하여 주시기 바랍니다.</t>
    <phoneticPr fontId="4" type="noConversion"/>
  </si>
  <si>
    <t xml:space="preserve">6. 비고 : 상기 자료는 예시이므로 매월 마감 업적, 유지율 및 개별 상품 설계시의 실제 환산P등에 따라 추가 또는 감소되어 지급됨 </t>
    <phoneticPr fontId="7" type="noConversion"/>
  </si>
  <si>
    <t xml:space="preserve">※ 실손단독상품 및 실손특약의 경우 全손보사  보험사 연동으로 지급합니다. </t>
    <phoneticPr fontId="13" type="noConversion"/>
  </si>
  <si>
    <t xml:space="preserve">▶ 프라임특별성과 : 건강보험NEW플러스(20년납이상/실손담보없는상품 제외 /유병자할증건제외) </t>
    <phoneticPr fontId="4" type="noConversion"/>
  </si>
  <si>
    <t>수정률은 수시로 변경 가능하니,  "팜스-공지사항-업무공지"에 공지된 수정률자료를 확인하여 주시기 바랍니다.</t>
    <phoneticPr fontId="13" type="noConversion"/>
  </si>
  <si>
    <t xml:space="preserve">                     정확한 수정률은 팜스에 공지되어 있는 상품별 수정률 자료 참조 요망 (수정률자료 : 팜스Ⅱ 공지사항 -&gt; 업무공지 '수정률' 검색) </t>
    <phoneticPr fontId="4" type="noConversion"/>
  </si>
  <si>
    <t xml:space="preserve">                     (수정률자료 : 팜스Ⅱ 공지사항 -&gt; 업무공지 '수정률' 검색) </t>
    <phoneticPr fontId="13" type="noConversion"/>
  </si>
  <si>
    <t xml:space="preserve">                    건강보험 플러스의 경우 피보험자의 연령, 특약, 담보 별로 수정률이 다르게 적용되오니, 자세한 사항은 수정률 자료 참조 요망  (수정률자료 : 팜스Ⅱ 공지사항 -&gt; 업무공지 '수정률' 검색) </t>
    <phoneticPr fontId="4" type="noConversion"/>
  </si>
  <si>
    <t xml:space="preserve">                     정확한 수정률은 팜스에 공지되어 있는 상품별 수정률 자료 참조 요망  (수정률자료 : 팜스Ⅱ 공지사항 -&gt; 업무공지 '수정률' 검색) </t>
    <phoneticPr fontId="4" type="noConversion"/>
  </si>
  <si>
    <t xml:space="preserve">3. 2차년도 수정P가 있는 경우 2차년도 비례수수료가 있음(해당 담보 2차년도 수정P * 18% * 12회(13회차~24회차)) </t>
    <phoneticPr fontId="4" type="noConversion"/>
  </si>
  <si>
    <t>3년납</t>
    <phoneticPr fontId="7" type="noConversion"/>
  </si>
  <si>
    <t>( 2014년 12월 1일)</t>
    <phoneticPr fontId="13" type="noConversion"/>
  </si>
  <si>
    <t>손보사별 수수료 테이블 공통 사항 안내 (14년 12월 기준)</t>
    <phoneticPr fontId="13" type="noConversion"/>
  </si>
  <si>
    <r>
      <t xml:space="preserve">LIG화재 수수료 지급 세부 기준(14년 12월 기준) - </t>
    </r>
    <r>
      <rPr>
        <b/>
        <sz val="15"/>
        <color indexed="10"/>
        <rFont val="맑은 고딕"/>
        <family val="3"/>
        <charset val="129"/>
      </rPr>
      <t>프라임선지급 적용</t>
    </r>
    <phoneticPr fontId="13" type="noConversion"/>
  </si>
  <si>
    <r>
      <t xml:space="preserve">MG손해 수수료 지급 기준(14년 12월 기준) - </t>
    </r>
    <r>
      <rPr>
        <b/>
        <sz val="15"/>
        <color indexed="10"/>
        <rFont val="맑은 고딕"/>
        <family val="3"/>
        <charset val="129"/>
      </rPr>
      <t>프라임선지급 적용</t>
    </r>
    <phoneticPr fontId="13" type="noConversion"/>
  </si>
  <si>
    <r>
      <t xml:space="preserve">동부화재 수수료 지급 기준(14년 12월 기준) - </t>
    </r>
    <r>
      <rPr>
        <b/>
        <sz val="15"/>
        <color indexed="10"/>
        <rFont val="맑은 고딕"/>
        <family val="3"/>
        <charset val="129"/>
      </rPr>
      <t>프라임선지급 적용</t>
    </r>
    <phoneticPr fontId="13" type="noConversion"/>
  </si>
  <si>
    <t>마음든든 재물</t>
    <phoneticPr fontId="7" type="noConversion"/>
  </si>
  <si>
    <r>
      <t xml:space="preserve">롯데손해 수수료 지급 기준(14년 12월 기준) - </t>
    </r>
    <r>
      <rPr>
        <b/>
        <sz val="15"/>
        <color indexed="10"/>
        <rFont val="맑은 고딕"/>
        <family val="3"/>
        <charset val="129"/>
      </rPr>
      <t>프라임선지급 적용</t>
    </r>
    <phoneticPr fontId="13" type="noConversion"/>
  </si>
  <si>
    <r>
      <t xml:space="preserve">메리츠 수수료 지급 기준 (14년 12월 기준) - </t>
    </r>
    <r>
      <rPr>
        <b/>
        <sz val="15"/>
        <color rgb="FFFF0000"/>
        <rFont val="맑은 고딕"/>
        <family val="3"/>
        <charset val="129"/>
      </rPr>
      <t>프라임선지급 적용</t>
    </r>
    <phoneticPr fontId="13" type="noConversion"/>
  </si>
  <si>
    <r>
      <t xml:space="preserve">삼성화재 수수료 지급 기준(14년 12월 기준) - </t>
    </r>
    <r>
      <rPr>
        <b/>
        <sz val="15"/>
        <color indexed="10"/>
        <rFont val="맑은 고딕"/>
        <family val="3"/>
        <charset val="129"/>
      </rPr>
      <t>최저보장제 적용</t>
    </r>
    <phoneticPr fontId="13" type="noConversion"/>
  </si>
  <si>
    <r>
      <t xml:space="preserve">한화손해 수수료 지급 기준(14년 12월 기준) - </t>
    </r>
    <r>
      <rPr>
        <b/>
        <sz val="15"/>
        <color indexed="10"/>
        <rFont val="맑은 고딕"/>
        <family val="3"/>
        <charset val="129"/>
      </rPr>
      <t>프라임선지급 적용</t>
    </r>
    <phoneticPr fontId="13" type="noConversion"/>
  </si>
  <si>
    <r>
      <t xml:space="preserve">현대해상 수수료 지급 기준(14년 12월 기준) - </t>
    </r>
    <r>
      <rPr>
        <b/>
        <sz val="15"/>
        <color rgb="FFFF0000"/>
        <rFont val="맑은 고딕"/>
        <family val="3"/>
        <charset val="129"/>
      </rPr>
      <t>프라임선지급 적용</t>
    </r>
    <phoneticPr fontId="4" type="noConversion"/>
  </si>
  <si>
    <t>※ “프라임 선지급제도”란 수수료 경쟁력 확보를 위해 수수료 정산을 보험사와 연동하지 않고 당사 자체에서 확보한 재원으로 우선 선지급하되,  2013년 4월 손해보험 제도 변경 전 수수료테이블에 준하는 수수료테이블을 목표로 함.</t>
    <phoneticPr fontId="13" type="noConversion"/>
  </si>
  <si>
    <t xml:space="preserve"> 프라임 선지급제도는 막대한 재원을 필요로 하고 수수료 수령 및 지급의 시차가 존재하므로 보험사 연동정산 방식이 적용되지 않으며, 별도의 환수제도가 적용됨. </t>
    <phoneticPr fontId="13" type="noConversion"/>
  </si>
  <si>
    <t>1. 수수료 항목 및 지급 기준</t>
    <phoneticPr fontId="7" type="noConversion"/>
  </si>
  <si>
    <t>항  목</t>
    <phoneticPr fontId="7" type="noConversion"/>
  </si>
  <si>
    <t>세부 사항</t>
    <phoneticPr fontId="7" type="noConversion"/>
  </si>
  <si>
    <t>비 고</t>
    <phoneticPr fontId="33" type="noConversion"/>
  </si>
  <si>
    <t>모집수수료</t>
    <phoneticPr fontId="13" type="noConversion"/>
  </si>
  <si>
    <t xml:space="preserve">       ▶ 실손의료비 외 기준 : 수정P * 지급률</t>
    <phoneticPr fontId="13" type="noConversion"/>
  </si>
  <si>
    <t>지급회차</t>
    <phoneticPr fontId="7" type="noConversion"/>
  </si>
  <si>
    <t>1회</t>
    <phoneticPr fontId="7" type="noConversion"/>
  </si>
  <si>
    <t>2회~12회</t>
    <phoneticPr fontId="7" type="noConversion"/>
  </si>
  <si>
    <t>13회~14회</t>
    <phoneticPr fontId="7" type="noConversion"/>
  </si>
  <si>
    <t>지급률</t>
    <phoneticPr fontId="7" type="noConversion"/>
  </si>
  <si>
    <t xml:space="preserve">       ▶ 실손의료비 기준 : 수정P * 지급률</t>
    <phoneticPr fontId="13" type="noConversion"/>
  </si>
  <si>
    <r>
      <rPr>
        <b/>
        <sz val="9"/>
        <color indexed="10"/>
        <rFont val="맑은 고딕"/>
        <family val="3"/>
        <charset val="129"/>
      </rPr>
      <t>- 실손의료비 상품은 2~6회 수수료 발생안함</t>
    </r>
    <r>
      <rPr>
        <sz val="9"/>
        <rFont val="맑은 고딕"/>
        <family val="3"/>
        <charset val="129"/>
      </rPr>
      <t xml:space="preserve">
※ 실손의료보험 수수료율은 원수사 연동 지급</t>
    </r>
    <phoneticPr fontId="13" type="noConversion"/>
  </si>
  <si>
    <t>7회~12회</t>
    <phoneticPr fontId="7" type="noConversion"/>
  </si>
  <si>
    <t>유지보수수수료</t>
    <phoneticPr fontId="13" type="noConversion"/>
  </si>
  <si>
    <t xml:space="preserve">      ▶ 기준 : 수정P * 4.9% (1~36회 지급/ 2년납은 24회까지 7.5% 지급)</t>
    <phoneticPr fontId="13" type="noConversion"/>
  </si>
  <si>
    <t>저축,연금 상품만 해당</t>
    <phoneticPr fontId="13" type="noConversion"/>
  </si>
  <si>
    <t>2. 수수료 관련 기타 기준</t>
    <phoneticPr fontId="7" type="noConversion"/>
  </si>
  <si>
    <t>비고</t>
    <phoneticPr fontId="7" type="noConversion"/>
  </si>
  <si>
    <t>▶ 현대해상에 기 가입되어 있는 기존계약의 소멸(해지 또는 실효)후 
6개월 이내에 신계약을 체결하는 것</t>
    <phoneticPr fontId="13" type="noConversion"/>
  </si>
  <si>
    <t>승환으로 판정시 수수료 부지급</t>
    <phoneticPr fontId="4" type="noConversion"/>
  </si>
  <si>
    <t>3. 수수료 지급예시</t>
    <phoneticPr fontId="7" type="noConversion"/>
  </si>
  <si>
    <t>※ 아래 예시 외 상품(또는 납기 등 다른 기준)은 공지사항 - 업무공지에  공지된 수정률자료를 참조하여 확인바랍니다.</t>
    <phoneticPr fontId="13" type="noConversion"/>
  </si>
  <si>
    <t>※ 아래 보장성상품의 경우 실손담보는 미포함된 예시입니다. 실손담보가 들어갈 경우 수수료율이 하향되오니 반드시 실손담보 수정률을 확인 후 계산하여 주시기 바랍니다.</t>
    <phoneticPr fontId="4" type="noConversion"/>
  </si>
  <si>
    <t>상품명</t>
    <phoneticPr fontId="7" type="noConversion"/>
  </si>
  <si>
    <r>
      <rPr>
        <sz val="9"/>
        <color indexed="10"/>
        <rFont val="맑은 고딕"/>
        <family val="3"/>
        <charset val="129"/>
      </rPr>
      <t>주계약</t>
    </r>
    <r>
      <rPr>
        <sz val="9"/>
        <rFont val="맑은 고딕"/>
        <family val="3"/>
        <charset val="129"/>
      </rPr>
      <t xml:space="preserve">
월납P</t>
    </r>
    <phoneticPr fontId="7" type="noConversion"/>
  </si>
  <si>
    <t>유지보수</t>
    <phoneticPr fontId="33" type="noConversion"/>
  </si>
  <si>
    <t>본사수수료</t>
    <phoneticPr fontId="7" type="noConversion"/>
  </si>
  <si>
    <t>본부장</t>
    <phoneticPr fontId="7" type="noConversion"/>
  </si>
  <si>
    <t>인증지점장</t>
    <phoneticPr fontId="7" type="noConversion"/>
  </si>
  <si>
    <t>일반지점장</t>
    <phoneticPr fontId="7" type="noConversion"/>
  </si>
  <si>
    <t>팀장</t>
    <phoneticPr fontId="7" type="noConversion"/>
  </si>
  <si>
    <t>위촉FC</t>
    <phoneticPr fontId="7" type="noConversion"/>
  </si>
  <si>
    <t>상품군</t>
    <phoneticPr fontId="13" type="noConversion"/>
  </si>
  <si>
    <t>기준</t>
    <phoneticPr fontId="13" type="noConversion"/>
  </si>
  <si>
    <t>유지보수</t>
    <phoneticPr fontId="13" type="noConversion"/>
  </si>
  <si>
    <t>1회</t>
    <phoneticPr fontId="33" type="noConversion"/>
  </si>
  <si>
    <t>2~12회</t>
    <phoneticPr fontId="13" type="noConversion"/>
  </si>
  <si>
    <t>13~14회</t>
    <phoneticPr fontId="33" type="noConversion"/>
  </si>
  <si>
    <t>1~36회</t>
    <phoneticPr fontId="13" type="noConversion"/>
  </si>
  <si>
    <t>익월</t>
    <phoneticPr fontId="7" type="noConversion"/>
  </si>
  <si>
    <t>1차년
(익월포함)</t>
    <phoneticPr fontId="13" type="noConversion"/>
  </si>
  <si>
    <t>총계</t>
    <phoneticPr fontId="7" type="noConversion"/>
  </si>
  <si>
    <t>보장</t>
    <phoneticPr fontId="13" type="noConversion"/>
  </si>
  <si>
    <t>퍼펙트스타 종합보험</t>
    <phoneticPr fontId="33" type="noConversion"/>
  </si>
  <si>
    <t>20년납/15세↑</t>
    <phoneticPr fontId="13" type="noConversion"/>
  </si>
  <si>
    <t>굿앤굿어린이CI보험</t>
    <phoneticPr fontId="7" type="noConversion"/>
  </si>
  <si>
    <t>20년납↑/80세, 100세/단기납</t>
    <phoneticPr fontId="13" type="noConversion"/>
  </si>
  <si>
    <t>든든한100세간병보험</t>
    <phoneticPr fontId="13" type="noConversion"/>
  </si>
  <si>
    <t>계속받는암보험</t>
    <phoneticPr fontId="4" type="noConversion"/>
  </si>
  <si>
    <t>2종/20년납</t>
    <phoneticPr fontId="4" type="noConversion"/>
  </si>
  <si>
    <t>마음두배운전자보험</t>
    <phoneticPr fontId="4" type="noConversion"/>
  </si>
  <si>
    <t>20년납↑/80세, 100세</t>
    <phoneticPr fontId="13" type="noConversion"/>
  </si>
  <si>
    <t>간편가입건강보험</t>
    <phoneticPr fontId="4" type="noConversion"/>
  </si>
  <si>
    <t>10년만기</t>
    <phoneticPr fontId="4" type="noConversion"/>
  </si>
  <si>
    <t>사랑드림상해보험</t>
    <phoneticPr fontId="4" type="noConversion"/>
  </si>
  <si>
    <t>10년납</t>
    <phoneticPr fontId="4" type="noConversion"/>
  </si>
  <si>
    <t>가족모두생활보장보험</t>
    <phoneticPr fontId="4" type="noConversion"/>
  </si>
  <si>
    <t>20년납/20년만기</t>
    <phoneticPr fontId="4" type="noConversion"/>
  </si>
  <si>
    <t>재물</t>
    <phoneticPr fontId="13" type="noConversion"/>
  </si>
  <si>
    <t>성공파트너재산종합</t>
    <phoneticPr fontId="13" type="noConversion"/>
  </si>
  <si>
    <t>5년납/10년만기</t>
    <phoneticPr fontId="13" type="noConversion"/>
  </si>
  <si>
    <t>하이라이프화재배상</t>
    <phoneticPr fontId="13" type="noConversion"/>
  </si>
  <si>
    <t>10년납/10년만기</t>
    <phoneticPr fontId="13" type="noConversion"/>
  </si>
  <si>
    <t>연금
저축</t>
    <phoneticPr fontId="13" type="noConversion"/>
  </si>
  <si>
    <t>연금저축노후웰스</t>
    <phoneticPr fontId="7" type="noConversion"/>
  </si>
  <si>
    <t>10년↑</t>
    <phoneticPr fontId="13" type="noConversion"/>
  </si>
  <si>
    <t>리치웨이플러스저축</t>
    <phoneticPr fontId="7" type="noConversion"/>
  </si>
  <si>
    <t>3년납/5년만기</t>
    <phoneticPr fontId="13" type="noConversion"/>
  </si>
  <si>
    <t>실손
단독</t>
    <phoneticPr fontId="4" type="noConversion"/>
  </si>
  <si>
    <t>실손의료보장보험 (1차년도 지급예시)</t>
    <phoneticPr fontId="4" type="noConversion"/>
  </si>
  <si>
    <t>1년납/1년만기</t>
    <phoneticPr fontId="4" type="noConversion"/>
  </si>
  <si>
    <t>일시납</t>
    <phoneticPr fontId="4" type="noConversion"/>
  </si>
  <si>
    <t>일시납/전기간</t>
    <phoneticPr fontId="4" type="noConversion"/>
  </si>
  <si>
    <t>&lt; 세부 사항 안내 &gt;</t>
    <phoneticPr fontId="7" type="noConversion"/>
  </si>
  <si>
    <t>1. 최저보장적용 : 모집수수료 수정P 대비 293% 보장지급 적용하여 예시함 (실손의료비 제외)</t>
    <phoneticPr fontId="7" type="noConversion"/>
  </si>
  <si>
    <t xml:space="preserve">2. 수정률 기준 : 납기에 따른 주계약의 월납영수보험료를 기준으로 예시하였으며, 실제 설계시 보험료 및 특약별로 적용되는 수정률이 다를 수 있으므로, </t>
    <phoneticPr fontId="13" type="noConversion"/>
  </si>
  <si>
    <t xml:space="preserve">                     정확한 수정률은 팜스에 공지되어 있는 상품별 수정률 자료 참조 요망 (수정률자료 : 팜스Ⅱ 공지사항 -&gt; 업무공지 '수정률' 검색) </t>
    <phoneticPr fontId="4" type="noConversion"/>
  </si>
  <si>
    <t xml:space="preserve">3. 비고 : 상기 자료는 예시이므로 매월 마감 업적, 유지율 및 개별 상품 설계시의 실제 수정P등에 따라 추가 또는 감소되어 지급됨 </t>
    <phoneticPr fontId="13" type="noConversion"/>
  </si>
  <si>
    <t xml:space="preserve">※ 실손단독상품 및 실손특약의 경우 全손보사  보험사 연동으로 지급합니다. </t>
    <phoneticPr fontId="13" type="noConversion"/>
  </si>
  <si>
    <r>
      <t xml:space="preserve">흥국화재 수수료 지급 기준 (14년 12월 기준) - </t>
    </r>
    <r>
      <rPr>
        <b/>
        <sz val="15"/>
        <color indexed="10"/>
        <rFont val="맑은 고딕"/>
        <family val="3"/>
        <charset val="129"/>
      </rPr>
      <t>프라임선지급 적용</t>
    </r>
    <phoneticPr fontId="13" type="noConversion"/>
  </si>
  <si>
    <t xml:space="preserve">                     (수정률자료 : 팜스Ⅱ 공지사항 -&gt; 업무공지 '수정률' 검색) </t>
    <phoneticPr fontId="13" type="noConversion"/>
  </si>
  <si>
    <t xml:space="preserve">                     정확한 수정률은 팜스에 공지되어 있는 상품별 수정률 자료 참조 요망 (수정률자료 : 팜스Ⅱ 공지사항 -&gt; 업무공지 '수정률' 검색)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</si>
</sst>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176" formatCode="0.0%"/>
    <numFmt numFmtId="177" formatCode="#,##0_ "/>
    <numFmt numFmtId="178" formatCode="#,##0.0_ "/>
    <numFmt numFmtId="179" formatCode="0.00000%"/>
    <numFmt numFmtId="180" formatCode="0_);[Red]\(0\)"/>
    <numFmt numFmtId="181" formatCode="#,##0_);[Red]\(#,##0\)"/>
    <numFmt numFmtId="182" formatCode="0.0"/>
  </numFmts>
  <fonts count="78">
    <font>
      <sz val="11"/>
      <color theme="1"/>
      <name val="맑은 고딕"/>
      <family val="2"/>
      <charset val="129"/>
      <scheme val="minor"/>
    </font>
    <font>
      <sz val="11"/>
      <color theme="1"/>
      <name val="맑은 고딕"/>
      <family val="2"/>
      <charset val="129"/>
      <scheme val="minor"/>
    </font>
    <font>
      <sz val="11"/>
      <color indexed="8"/>
      <name val="맑은 고딕"/>
      <family val="3"/>
      <charset val="129"/>
    </font>
    <font>
      <sz val="16"/>
      <color indexed="8"/>
      <name val="맑은 고딕"/>
      <family val="3"/>
      <charset val="129"/>
    </font>
    <font>
      <sz val="8"/>
      <name val="맑은 고딕"/>
      <family val="2"/>
      <charset val="129"/>
      <scheme val="minor"/>
    </font>
    <font>
      <sz val="11"/>
      <name val="돋움"/>
      <family val="3"/>
      <charset val="129"/>
    </font>
    <font>
      <b/>
      <sz val="20"/>
      <name val="맑은 고딕"/>
      <family val="3"/>
      <charset val="129"/>
    </font>
    <font>
      <sz val="8"/>
      <name val="돋움"/>
      <family val="3"/>
      <charset val="129"/>
    </font>
    <font>
      <sz val="20"/>
      <color indexed="8"/>
      <name val="맑은 고딕"/>
      <family val="3"/>
      <charset val="129"/>
    </font>
    <font>
      <u/>
      <sz val="16"/>
      <color indexed="8"/>
      <name val="맑은 고딕"/>
      <family val="3"/>
      <charset val="129"/>
    </font>
    <font>
      <b/>
      <sz val="11"/>
      <color indexed="8"/>
      <name val="맑은 고딕"/>
      <family val="3"/>
      <charset val="129"/>
    </font>
    <font>
      <b/>
      <u/>
      <sz val="11"/>
      <color indexed="8"/>
      <name val="맑은 고딕"/>
      <family val="3"/>
      <charset val="129"/>
    </font>
    <font>
      <b/>
      <sz val="16"/>
      <color indexed="8"/>
      <name val="맑은 고딕"/>
      <family val="3"/>
      <charset val="129"/>
    </font>
    <font>
      <sz val="8"/>
      <name val="맑은 고딕"/>
      <family val="3"/>
      <charset val="129"/>
    </font>
    <font>
      <b/>
      <sz val="20"/>
      <color indexed="8"/>
      <name val="맑은 고딕"/>
      <family val="3"/>
      <charset val="129"/>
    </font>
    <font>
      <b/>
      <sz val="15"/>
      <name val="맑은 고딕"/>
      <family val="3"/>
      <charset val="129"/>
    </font>
    <font>
      <sz val="15"/>
      <name val="맑은 고딕"/>
      <family val="3"/>
      <charset val="129"/>
    </font>
    <font>
      <b/>
      <sz val="12"/>
      <color indexed="56"/>
      <name val="맑은 고딕"/>
      <family val="3"/>
      <charset val="129"/>
    </font>
    <font>
      <b/>
      <sz val="11"/>
      <color indexed="60"/>
      <name val="맑은 고딕"/>
      <family val="3"/>
      <charset val="129"/>
    </font>
    <font>
      <b/>
      <sz val="11"/>
      <color indexed="16"/>
      <name val="맑은 고딕"/>
      <family val="3"/>
      <charset val="129"/>
    </font>
    <font>
      <b/>
      <u/>
      <sz val="11"/>
      <color indexed="18"/>
      <name val="맑은 고딕"/>
      <family val="3"/>
      <charset val="129"/>
    </font>
    <font>
      <b/>
      <sz val="10"/>
      <color indexed="8"/>
      <name val="맑은 고딕"/>
      <family val="3"/>
      <charset val="129"/>
    </font>
    <font>
      <b/>
      <sz val="10"/>
      <color indexed="60"/>
      <name val="맑은 고딕"/>
      <family val="3"/>
      <charset val="129"/>
    </font>
    <font>
      <sz val="11"/>
      <color theme="1"/>
      <name val="맑은 고딕"/>
      <family val="3"/>
      <charset val="129"/>
      <scheme val="minor"/>
    </font>
    <font>
      <sz val="9"/>
      <color indexed="8"/>
      <name val="맑은 고딕"/>
      <family val="3"/>
      <charset val="129"/>
    </font>
    <font>
      <b/>
      <sz val="9"/>
      <color indexed="8"/>
      <name val="맑은 고딕"/>
      <family val="3"/>
      <charset val="129"/>
    </font>
    <font>
      <b/>
      <sz val="9"/>
      <name val="맑은 고딕"/>
      <family val="3"/>
      <charset val="129"/>
    </font>
    <font>
      <sz val="9"/>
      <name val="맑은 고딕"/>
      <family val="3"/>
      <charset val="129"/>
    </font>
    <font>
      <sz val="10"/>
      <color indexed="8"/>
      <name val="맑은 고딕"/>
      <family val="3"/>
      <charset val="129"/>
    </font>
    <font>
      <sz val="10"/>
      <name val="맑은 고딕"/>
      <family val="3"/>
      <charset val="129"/>
    </font>
    <font>
      <b/>
      <sz val="10"/>
      <color indexed="10"/>
      <name val="맑은 고딕"/>
      <family val="3"/>
      <charset val="129"/>
    </font>
    <font>
      <b/>
      <sz val="15"/>
      <color indexed="10"/>
      <name val="맑은 고딕"/>
      <family val="3"/>
      <charset val="129"/>
    </font>
    <font>
      <b/>
      <sz val="9"/>
      <color indexed="12"/>
      <name val="맑은 고딕"/>
      <family val="3"/>
      <charset val="129"/>
    </font>
    <font>
      <sz val="8"/>
      <name val="굴림체"/>
      <family val="3"/>
      <charset val="129"/>
    </font>
    <font>
      <b/>
      <sz val="9"/>
      <color indexed="10"/>
      <name val="맑은 고딕"/>
      <family val="3"/>
      <charset val="129"/>
    </font>
    <font>
      <b/>
      <sz val="12"/>
      <color indexed="12"/>
      <name val="맑은 고딕"/>
      <family val="3"/>
      <charset val="129"/>
    </font>
    <font>
      <b/>
      <sz val="11"/>
      <name val="맑은 고딕"/>
      <family val="3"/>
      <charset val="129"/>
    </font>
    <font>
      <sz val="9"/>
      <color theme="1"/>
      <name val="굴림체"/>
      <family val="3"/>
      <charset val="129"/>
    </font>
    <font>
      <sz val="9"/>
      <color indexed="10"/>
      <name val="맑은 고딕"/>
      <family val="3"/>
      <charset val="129"/>
    </font>
    <font>
      <sz val="9"/>
      <color indexed="8"/>
      <name val="굴림체"/>
      <family val="3"/>
      <charset val="129"/>
    </font>
    <font>
      <sz val="9"/>
      <color indexed="30"/>
      <name val="맑은 고딕"/>
      <family val="3"/>
      <charset val="129"/>
    </font>
    <font>
      <b/>
      <sz val="15"/>
      <color indexed="8"/>
      <name val="맑은 고딕"/>
      <family val="3"/>
      <charset val="129"/>
    </font>
    <font>
      <sz val="10"/>
      <color indexed="10"/>
      <name val="맑은 고딕"/>
      <family val="3"/>
      <charset val="129"/>
    </font>
    <font>
      <b/>
      <sz val="9"/>
      <color indexed="81"/>
      <name val="Tahoma"/>
      <family val="2"/>
    </font>
    <font>
      <b/>
      <sz val="9"/>
      <color indexed="81"/>
      <name val="돋움"/>
      <family val="3"/>
      <charset val="129"/>
    </font>
    <font>
      <sz val="9"/>
      <color indexed="81"/>
      <name val="Tahoma"/>
      <family val="2"/>
    </font>
    <font>
      <sz val="9"/>
      <color indexed="12"/>
      <name val="맑은 고딕"/>
      <family val="3"/>
      <charset val="129"/>
    </font>
    <font>
      <sz val="11"/>
      <name val="맑은 고딕"/>
      <family val="3"/>
      <charset val="129"/>
    </font>
    <font>
      <sz val="10"/>
      <color indexed="81"/>
      <name val="돋움"/>
      <family val="3"/>
      <charset val="129"/>
    </font>
    <font>
      <sz val="14"/>
      <name val="맑은 고딕"/>
      <family val="3"/>
      <charset val="129"/>
    </font>
    <font>
      <b/>
      <sz val="9"/>
      <color indexed="48"/>
      <name val="맑은 고딕"/>
      <family val="3"/>
      <charset val="129"/>
    </font>
    <font>
      <b/>
      <sz val="11"/>
      <color indexed="48"/>
      <name val="맑은 고딕"/>
      <family val="3"/>
      <charset val="129"/>
    </font>
    <font>
      <sz val="9"/>
      <color indexed="81"/>
      <name val="돋움"/>
      <family val="3"/>
      <charset val="129"/>
    </font>
    <font>
      <b/>
      <sz val="9"/>
      <color rgb="FF0000FF"/>
      <name val="맑은 고딕"/>
      <family val="3"/>
      <charset val="129"/>
    </font>
    <font>
      <sz val="9"/>
      <name val="맑은 고딕"/>
      <family val="3"/>
      <charset val="129"/>
      <scheme val="minor"/>
    </font>
    <font>
      <sz val="9"/>
      <color rgb="FFFF0000"/>
      <name val="맑은 고딕"/>
      <family val="3"/>
      <charset val="129"/>
      <scheme val="minor"/>
    </font>
    <font>
      <b/>
      <sz val="9"/>
      <color rgb="FFFF0000"/>
      <name val="맑은 고딕"/>
      <family val="3"/>
      <charset val="129"/>
    </font>
    <font>
      <b/>
      <sz val="15"/>
      <color rgb="FFFF0000"/>
      <name val="맑은 고딕"/>
      <family val="3"/>
      <charset val="129"/>
    </font>
    <font>
      <sz val="9"/>
      <color rgb="FFFF0000"/>
      <name val="맑은 고딕"/>
      <family val="3"/>
      <charset val="129"/>
    </font>
    <font>
      <b/>
      <sz val="17"/>
      <color indexed="8"/>
      <name val="맑은 고딕"/>
      <family val="3"/>
      <charset val="129"/>
    </font>
    <font>
      <b/>
      <sz val="11"/>
      <color indexed="18"/>
      <name val="맑은 고딕"/>
      <family val="3"/>
      <charset val="129"/>
    </font>
    <font>
      <b/>
      <sz val="9"/>
      <name val="맑은 고딕"/>
      <family val="3"/>
      <charset val="129"/>
      <scheme val="minor"/>
    </font>
    <font>
      <b/>
      <sz val="11"/>
      <color indexed="12"/>
      <name val="맑은 고딕"/>
      <family val="3"/>
      <charset val="129"/>
    </font>
    <font>
      <b/>
      <sz val="10"/>
      <color theme="1"/>
      <name val="맑은 고딕"/>
      <family val="3"/>
      <charset val="129"/>
      <scheme val="minor"/>
    </font>
    <font>
      <sz val="9"/>
      <color theme="1"/>
      <name val="맑은 고딕"/>
      <family val="3"/>
      <charset val="129"/>
      <scheme val="minor"/>
    </font>
    <font>
      <sz val="9"/>
      <color theme="1"/>
      <name val="맑은 고딕"/>
      <family val="3"/>
      <charset val="129"/>
      <scheme val="major"/>
    </font>
    <font>
      <sz val="8"/>
      <name val="굴림체"/>
      <family val="2"/>
      <charset val="129"/>
    </font>
    <font>
      <b/>
      <sz val="9"/>
      <color theme="1"/>
      <name val="맑은 고딕"/>
      <family val="3"/>
      <charset val="129"/>
      <scheme val="minor"/>
    </font>
    <font>
      <b/>
      <sz val="9"/>
      <color theme="1"/>
      <name val="맑은 고딕"/>
      <family val="3"/>
      <charset val="129"/>
      <scheme val="major"/>
    </font>
    <font>
      <b/>
      <sz val="11"/>
      <color indexed="10"/>
      <name val="맑은 고딕"/>
      <family val="3"/>
      <charset val="129"/>
    </font>
    <font>
      <b/>
      <sz val="9"/>
      <color rgb="FFFF0000"/>
      <name val="맑은 고딕"/>
      <family val="3"/>
      <charset val="129"/>
      <scheme val="minor"/>
    </font>
    <font>
      <sz val="9"/>
      <color rgb="FF3333FF"/>
      <name val="맑은 고딕"/>
      <family val="3"/>
      <charset val="129"/>
    </font>
    <font>
      <b/>
      <sz val="9"/>
      <color rgb="FF3333FF"/>
      <name val="맑은 고딕"/>
      <family val="3"/>
      <charset val="129"/>
    </font>
    <font>
      <u/>
      <sz val="9"/>
      <name val="맑은 고딕"/>
      <family val="3"/>
      <charset val="129"/>
    </font>
    <font>
      <b/>
      <u/>
      <sz val="9"/>
      <name val="맑은 고딕"/>
      <family val="3"/>
      <charset val="129"/>
    </font>
    <font>
      <sz val="9"/>
      <color rgb="FF0000FF"/>
      <name val="맑은 고딕"/>
      <family val="3"/>
      <charset val="129"/>
    </font>
    <font>
      <b/>
      <sz val="12"/>
      <color rgb="FFFF0000"/>
      <name val="맑은 고딕"/>
      <family val="3"/>
      <charset val="129"/>
    </font>
    <font>
      <b/>
      <sz val="17"/>
      <color rgb="FFFF0000"/>
      <name val="맑은 고딕"/>
      <family val="3"/>
      <charset val="129"/>
    </font>
  </fonts>
  <fills count="1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0C0C0"/>
        <bgColor indexed="64"/>
      </patternFill>
    </fill>
    <fill>
      <patternFill patternType="solid">
        <fgColor theme="9" tint="0.59999389629810485"/>
        <bgColor indexed="64"/>
      </patternFill>
    </fill>
  </fills>
  <borders count="96">
    <border>
      <left/>
      <right/>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medium">
        <color indexed="64"/>
      </right>
      <top/>
      <bottom/>
      <diagonal/>
    </border>
    <border>
      <left style="thin">
        <color indexed="64"/>
      </left>
      <right style="medium">
        <color rgb="FF0D30E1"/>
      </right>
      <top style="thin">
        <color indexed="64"/>
      </top>
      <bottom style="thin">
        <color indexed="64"/>
      </bottom>
      <diagonal/>
    </border>
    <border>
      <left style="thin">
        <color indexed="64"/>
      </left>
      <right style="medium">
        <color rgb="FF0D30E1"/>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rgb="FFFF0000"/>
      </right>
      <top style="medium">
        <color indexed="64"/>
      </top>
      <bottom style="thin">
        <color indexed="64"/>
      </bottom>
      <diagonal/>
    </border>
    <border>
      <left style="thin">
        <color indexed="64"/>
      </left>
      <right style="medium">
        <color rgb="FF0D30E1"/>
      </right>
      <top style="medium">
        <color indexed="64"/>
      </top>
      <bottom style="thin">
        <color indexed="64"/>
      </bottom>
      <diagonal/>
    </border>
    <border>
      <left style="medium">
        <color rgb="FF0D30E1"/>
      </left>
      <right style="medium">
        <color indexed="64"/>
      </right>
      <top style="medium">
        <color indexed="64"/>
      </top>
      <bottom style="thin">
        <color indexed="64"/>
      </bottom>
      <diagonal/>
    </border>
    <border>
      <left style="thin">
        <color indexed="64"/>
      </left>
      <right style="medium">
        <color rgb="FFFF0000"/>
      </right>
      <top style="thin">
        <color indexed="64"/>
      </top>
      <bottom style="medium">
        <color indexed="64"/>
      </bottom>
      <diagonal/>
    </border>
    <border>
      <left style="medium">
        <color rgb="FF0D30E1"/>
      </left>
      <right style="medium">
        <color indexed="64"/>
      </right>
      <top style="thin">
        <color indexed="64"/>
      </top>
      <bottom style="thin">
        <color indexed="64"/>
      </bottom>
      <diagonal/>
    </border>
    <border>
      <left style="medium">
        <color rgb="FF0D30E1"/>
      </left>
      <right style="medium">
        <color indexed="64"/>
      </right>
      <top style="thin">
        <color indexed="64"/>
      </top>
      <bottom style="medium">
        <color indexed="64"/>
      </bottom>
      <diagonal/>
    </border>
  </borders>
  <cellStyleXfs count="12">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5" fillId="0" borderId="0"/>
    <xf numFmtId="0" fontId="23" fillId="0" borderId="0">
      <alignment vertical="center"/>
    </xf>
    <xf numFmtId="0" fontId="5" fillId="0" borderId="0">
      <alignment vertical="center"/>
    </xf>
    <xf numFmtId="0" fontId="37" fillId="0" borderId="0">
      <alignment vertical="center"/>
    </xf>
    <xf numFmtId="9" fontId="39" fillId="0" borderId="0" applyFont="0" applyFill="0" applyBorder="0" applyAlignment="0" applyProtection="0">
      <alignment vertical="center"/>
    </xf>
    <xf numFmtId="41"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0" borderId="0">
      <alignment vertical="center"/>
    </xf>
  </cellStyleXfs>
  <cellXfs count="1545">
    <xf numFmtId="0" fontId="0" fillId="0" borderId="0" xfId="0">
      <alignment vertical="center"/>
    </xf>
    <xf numFmtId="0" fontId="3" fillId="0" borderId="0" xfId="3" applyFont="1">
      <alignment vertical="center"/>
    </xf>
    <xf numFmtId="0" fontId="8" fillId="0" borderId="0" xfId="3" applyFont="1">
      <alignment vertical="center"/>
    </xf>
    <xf numFmtId="0" fontId="9" fillId="0" borderId="0" xfId="3" applyFont="1">
      <alignment vertical="center"/>
    </xf>
    <xf numFmtId="0" fontId="10" fillId="0" borderId="0" xfId="3" applyFont="1" applyAlignment="1">
      <alignment vertical="center"/>
    </xf>
    <xf numFmtId="0" fontId="11" fillId="0" borderId="0" xfId="3" applyFont="1" applyAlignment="1">
      <alignment vertical="center"/>
    </xf>
    <xf numFmtId="0" fontId="3" fillId="0" borderId="0" xfId="3" applyFont="1" applyFill="1">
      <alignment vertical="center"/>
    </xf>
    <xf numFmtId="0" fontId="16" fillId="0" borderId="0" xfId="4" applyFont="1" applyAlignment="1">
      <alignment vertical="center"/>
    </xf>
    <xf numFmtId="0" fontId="17"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Alignment="1">
      <alignment horizontal="left" vertical="center"/>
    </xf>
    <xf numFmtId="0" fontId="21" fillId="3" borderId="3" xfId="0" applyFont="1" applyFill="1" applyBorder="1" applyAlignment="1">
      <alignment horizontal="center" vertical="center"/>
    </xf>
    <xf numFmtId="0" fontId="21" fillId="0" borderId="3" xfId="0" applyFont="1" applyBorder="1" applyAlignment="1">
      <alignment horizontal="center" vertical="center"/>
    </xf>
    <xf numFmtId="9" fontId="21" fillId="0" borderId="3" xfId="2" applyFont="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5">
      <alignment vertical="center"/>
    </xf>
    <xf numFmtId="0" fontId="24" fillId="0" borderId="0" xfId="5" applyFont="1">
      <alignment vertical="center"/>
    </xf>
    <xf numFmtId="0" fontId="28" fillId="0" borderId="0" xfId="5" applyFont="1">
      <alignment vertical="center"/>
    </xf>
    <xf numFmtId="0" fontId="28" fillId="0" borderId="0" xfId="5" applyFont="1" applyAlignment="1">
      <alignment horizontal="left" vertical="center" indent="1"/>
    </xf>
    <xf numFmtId="0" fontId="29" fillId="0" borderId="0" xfId="5" applyFont="1">
      <alignment vertical="center"/>
    </xf>
    <xf numFmtId="0" fontId="30" fillId="0" borderId="0" xfId="5" applyFont="1" applyAlignment="1">
      <alignment horizontal="left" vertical="center"/>
    </xf>
    <xf numFmtId="0" fontId="30" fillId="0" borderId="0" xfId="5" applyFont="1" applyAlignment="1">
      <alignment horizontal="left" vertical="center" indent="1"/>
    </xf>
    <xf numFmtId="0" fontId="16" fillId="0" borderId="0" xfId="5" applyFont="1" applyAlignment="1">
      <alignment vertical="center"/>
    </xf>
    <xf numFmtId="0" fontId="32" fillId="0" borderId="0" xfId="5" applyFont="1" applyAlignment="1">
      <alignment horizontal="left" vertical="center"/>
    </xf>
    <xf numFmtId="176" fontId="27" fillId="5" borderId="32" xfId="2" applyNumberFormat="1" applyFont="1" applyFill="1" applyBorder="1" applyAlignment="1">
      <alignment horizontal="center" vertical="center"/>
    </xf>
    <xf numFmtId="176" fontId="27" fillId="5" borderId="3" xfId="2" applyNumberFormat="1" applyFont="1" applyFill="1" applyBorder="1" applyAlignment="1">
      <alignment horizontal="center" vertical="center"/>
    </xf>
    <xf numFmtId="176" fontId="27" fillId="5" borderId="12" xfId="2" applyNumberFormat="1" applyFont="1" applyFill="1" applyBorder="1" applyAlignment="1">
      <alignment horizontal="center" vertical="center"/>
    </xf>
    <xf numFmtId="0" fontId="26" fillId="0" borderId="0" xfId="5" applyFont="1" applyFill="1" applyBorder="1" applyAlignment="1">
      <alignment horizontal="center" vertical="center"/>
    </xf>
    <xf numFmtId="0" fontId="35" fillId="0" borderId="0" xfId="5" applyFont="1" applyFill="1" applyBorder="1" applyAlignment="1">
      <alignment horizontal="left" vertical="center"/>
    </xf>
    <xf numFmtId="0" fontId="32" fillId="0" borderId="0" xfId="5" applyFont="1" applyFill="1" applyBorder="1" applyAlignment="1">
      <alignment horizontal="left" vertical="center"/>
    </xf>
    <xf numFmtId="0" fontId="32" fillId="0" borderId="0" xfId="5" applyFont="1" applyFill="1" applyBorder="1" applyAlignment="1">
      <alignment horizontal="center" vertical="center"/>
    </xf>
    <xf numFmtId="0" fontId="32" fillId="0" borderId="0" xfId="5" applyFont="1" applyFill="1" applyBorder="1" applyAlignment="1">
      <alignment vertical="center"/>
    </xf>
    <xf numFmtId="0" fontId="36" fillId="0" borderId="0" xfId="5" applyFont="1" applyFill="1" applyBorder="1" applyAlignment="1">
      <alignment horizontal="center" vertical="center"/>
    </xf>
    <xf numFmtId="177" fontId="26" fillId="0" borderId="0" xfId="6" applyNumberFormat="1" applyFont="1" applyAlignment="1">
      <alignment vertical="center"/>
    </xf>
    <xf numFmtId="0" fontId="23" fillId="0" borderId="0" xfId="5" applyAlignment="1"/>
    <xf numFmtId="177" fontId="27" fillId="0" borderId="0" xfId="7" applyNumberFormat="1" applyFont="1" applyAlignment="1">
      <alignment vertical="center"/>
    </xf>
    <xf numFmtId="177" fontId="27" fillId="2" borderId="36" xfId="7" applyNumberFormat="1" applyFont="1" applyFill="1" applyBorder="1" applyAlignment="1">
      <alignment horizontal="right" vertical="center"/>
    </xf>
    <xf numFmtId="177" fontId="27" fillId="2" borderId="18" xfId="7" applyNumberFormat="1" applyFont="1" applyFill="1" applyBorder="1" applyAlignment="1">
      <alignment horizontal="right" vertical="center"/>
    </xf>
    <xf numFmtId="177" fontId="27" fillId="2" borderId="48" xfId="7" applyNumberFormat="1" applyFont="1" applyFill="1" applyBorder="1" applyAlignment="1">
      <alignment horizontal="right" vertical="center"/>
    </xf>
    <xf numFmtId="177" fontId="27" fillId="2" borderId="34" xfId="7" applyNumberFormat="1" applyFont="1" applyFill="1" applyBorder="1" applyAlignment="1">
      <alignment horizontal="right" vertical="center"/>
    </xf>
    <xf numFmtId="177" fontId="27" fillId="2" borderId="49" xfId="7" applyNumberFormat="1" applyFont="1" applyFill="1" applyBorder="1" applyAlignment="1">
      <alignment horizontal="right" vertical="center"/>
    </xf>
    <xf numFmtId="177" fontId="27" fillId="2" borderId="35" xfId="7" applyNumberFormat="1" applyFont="1" applyFill="1" applyBorder="1" applyAlignment="1">
      <alignment horizontal="right" vertical="center"/>
    </xf>
    <xf numFmtId="177" fontId="27" fillId="2" borderId="50" xfId="7" applyNumberFormat="1" applyFont="1" applyFill="1" applyBorder="1" applyAlignment="1">
      <alignment horizontal="right" vertical="center"/>
    </xf>
    <xf numFmtId="176" fontId="27" fillId="5" borderId="38" xfId="8" applyNumberFormat="1" applyFont="1" applyFill="1" applyBorder="1" applyAlignment="1">
      <alignment horizontal="center" vertical="center"/>
    </xf>
    <xf numFmtId="176" fontId="27" fillId="5" borderId="3" xfId="8" applyNumberFormat="1" applyFont="1" applyFill="1" applyBorder="1" applyAlignment="1">
      <alignment horizontal="center" vertical="center"/>
    </xf>
    <xf numFmtId="176" fontId="27" fillId="5" borderId="12" xfId="8" applyNumberFormat="1" applyFont="1" applyFill="1" applyBorder="1" applyAlignment="1">
      <alignment horizontal="center" vertical="center"/>
    </xf>
    <xf numFmtId="176" fontId="27" fillId="0" borderId="32" xfId="7" applyNumberFormat="1" applyFont="1" applyBorder="1" applyAlignment="1">
      <alignment horizontal="center" vertical="center"/>
    </xf>
    <xf numFmtId="176" fontId="27" fillId="0" borderId="31" xfId="7" applyNumberFormat="1" applyFont="1" applyBorder="1" applyAlignment="1">
      <alignment horizontal="center" vertical="center"/>
    </xf>
    <xf numFmtId="176" fontId="27" fillId="0" borderId="11" xfId="7" applyNumberFormat="1" applyFont="1" applyBorder="1" applyAlignment="1">
      <alignment horizontal="center" vertical="center"/>
    </xf>
    <xf numFmtId="176" fontId="27" fillId="0" borderId="12" xfId="7" applyNumberFormat="1" applyFont="1" applyBorder="1" applyAlignment="1">
      <alignment horizontal="center" vertical="center"/>
    </xf>
    <xf numFmtId="176" fontId="27" fillId="5" borderId="11" xfId="8" applyNumberFormat="1" applyFont="1" applyFill="1" applyBorder="1" applyAlignment="1">
      <alignment horizontal="center" vertical="center"/>
    </xf>
    <xf numFmtId="177" fontId="27" fillId="2" borderId="38" xfId="7" applyNumberFormat="1" applyFont="1" applyFill="1" applyBorder="1" applyAlignment="1">
      <alignment horizontal="right" vertical="center"/>
    </xf>
    <xf numFmtId="177" fontId="27" fillId="2" borderId="12" xfId="7" applyNumberFormat="1" applyFont="1" applyFill="1" applyBorder="1" applyAlignment="1">
      <alignment horizontal="right" vertical="center"/>
    </xf>
    <xf numFmtId="177" fontId="27" fillId="2" borderId="32" xfId="7" applyNumberFormat="1" applyFont="1" applyFill="1" applyBorder="1" applyAlignment="1">
      <alignment horizontal="right" vertical="center"/>
    </xf>
    <xf numFmtId="177" fontId="27" fillId="2" borderId="31" xfId="7" applyNumberFormat="1" applyFont="1" applyFill="1" applyBorder="1" applyAlignment="1">
      <alignment horizontal="right" vertical="center"/>
    </xf>
    <xf numFmtId="177" fontId="27" fillId="2" borderId="11" xfId="7" applyNumberFormat="1" applyFont="1" applyFill="1" applyBorder="1" applyAlignment="1">
      <alignment horizontal="right" vertical="center"/>
    </xf>
    <xf numFmtId="176" fontId="27" fillId="5" borderId="32" xfId="8" applyNumberFormat="1" applyFont="1" applyFill="1" applyBorder="1" applyAlignment="1">
      <alignment horizontal="center" vertical="center"/>
    </xf>
    <xf numFmtId="176" fontId="27" fillId="5" borderId="31" xfId="8" applyNumberFormat="1" applyFont="1" applyFill="1" applyBorder="1" applyAlignment="1">
      <alignment horizontal="center" vertical="center"/>
    </xf>
    <xf numFmtId="176" fontId="27" fillId="0" borderId="38" xfId="8" applyNumberFormat="1" applyFont="1" applyFill="1" applyBorder="1" applyAlignment="1">
      <alignment horizontal="center" vertical="center"/>
    </xf>
    <xf numFmtId="176" fontId="27" fillId="0" borderId="3" xfId="8" applyNumberFormat="1" applyFont="1" applyFill="1" applyBorder="1" applyAlignment="1">
      <alignment horizontal="center" vertical="center"/>
    </xf>
    <xf numFmtId="176" fontId="27" fillId="0" borderId="12" xfId="8" applyNumberFormat="1" applyFont="1" applyFill="1" applyBorder="1" applyAlignment="1">
      <alignment horizontal="center" vertical="center"/>
    </xf>
    <xf numFmtId="177" fontId="27" fillId="2" borderId="3" xfId="7" applyNumberFormat="1" applyFont="1" applyFill="1" applyBorder="1" applyAlignment="1">
      <alignment horizontal="right" vertical="center"/>
    </xf>
    <xf numFmtId="176" fontId="27" fillId="5" borderId="52" xfId="8" applyNumberFormat="1" applyFont="1" applyFill="1" applyBorder="1" applyAlignment="1">
      <alignment horizontal="center" vertical="center"/>
    </xf>
    <xf numFmtId="176" fontId="27" fillId="5" borderId="14" xfId="8" applyNumberFormat="1" applyFont="1" applyFill="1" applyBorder="1" applyAlignment="1">
      <alignment horizontal="center" vertical="center"/>
    </xf>
    <xf numFmtId="176" fontId="27" fillId="5" borderId="15" xfId="8" applyNumberFormat="1" applyFont="1" applyFill="1" applyBorder="1" applyAlignment="1">
      <alignment horizontal="center" vertical="center"/>
    </xf>
    <xf numFmtId="176" fontId="27" fillId="5" borderId="46" xfId="8" applyNumberFormat="1" applyFont="1" applyFill="1" applyBorder="1" applyAlignment="1">
      <alignment horizontal="center" vertical="center"/>
    </xf>
    <xf numFmtId="176" fontId="27" fillId="5" borderId="51" xfId="8" applyNumberFormat="1" applyFont="1" applyFill="1" applyBorder="1" applyAlignment="1">
      <alignment horizontal="center" vertical="center"/>
    </xf>
    <xf numFmtId="176" fontId="27" fillId="5" borderId="13" xfId="8" applyNumberFormat="1" applyFont="1" applyFill="1" applyBorder="1" applyAlignment="1">
      <alignment horizontal="center" vertical="center"/>
    </xf>
    <xf numFmtId="177" fontId="24" fillId="0" borderId="0" xfId="5" applyNumberFormat="1" applyFont="1">
      <alignment vertical="center"/>
    </xf>
    <xf numFmtId="0" fontId="27" fillId="0" borderId="0" xfId="7" applyFont="1" applyAlignment="1">
      <alignment vertical="center"/>
    </xf>
    <xf numFmtId="0" fontId="26" fillId="0" borderId="0" xfId="7" applyFont="1" applyAlignment="1">
      <alignment vertical="center"/>
    </xf>
    <xf numFmtId="0" fontId="27" fillId="0" borderId="0" xfId="7" applyFont="1" applyFill="1" applyAlignment="1">
      <alignment vertical="center"/>
    </xf>
    <xf numFmtId="0" fontId="27" fillId="0" borderId="0" xfId="7" applyFont="1" applyAlignment="1">
      <alignment horizontal="center" vertical="center"/>
    </xf>
    <xf numFmtId="0" fontId="34" fillId="0" borderId="0" xfId="7" applyFont="1" applyAlignment="1">
      <alignment vertical="center"/>
    </xf>
    <xf numFmtId="0" fontId="27" fillId="0" borderId="0" xfId="7" applyFont="1" applyFill="1" applyAlignment="1">
      <alignment horizontal="center" vertical="center"/>
    </xf>
    <xf numFmtId="0" fontId="32"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vertical="center"/>
    </xf>
    <xf numFmtId="0" fontId="30" fillId="0" borderId="0" xfId="0" applyFont="1" applyAlignment="1">
      <alignment horizontal="left" vertical="center" indent="1"/>
    </xf>
    <xf numFmtId="0" fontId="32" fillId="0" borderId="0" xfId="5" applyNumberFormat="1" applyFont="1" applyAlignment="1">
      <alignment horizontal="left" vertical="center"/>
    </xf>
    <xf numFmtId="0" fontId="26" fillId="0" borderId="0" xfId="5" applyFont="1" applyAlignment="1">
      <alignment horizontal="center" vertical="center"/>
    </xf>
    <xf numFmtId="0" fontId="27" fillId="0" borderId="0" xfId="5" applyFont="1" applyAlignment="1">
      <alignment horizontal="left" vertical="center"/>
    </xf>
    <xf numFmtId="0" fontId="27" fillId="0" borderId="0" xfId="5" applyFont="1" applyBorder="1" applyAlignment="1">
      <alignment vertical="center"/>
    </xf>
    <xf numFmtId="177" fontId="27" fillId="2" borderId="50" xfId="5" applyNumberFormat="1" applyFont="1" applyFill="1" applyBorder="1" applyAlignment="1">
      <alignment horizontal="right" vertical="center"/>
    </xf>
    <xf numFmtId="177" fontId="27" fillId="2" borderId="34" xfId="5" applyNumberFormat="1" applyFont="1" applyFill="1" applyBorder="1" applyAlignment="1">
      <alignment horizontal="right" vertical="center"/>
    </xf>
    <xf numFmtId="177" fontId="27" fillId="2" borderId="48" xfId="5" applyNumberFormat="1" applyFont="1" applyFill="1" applyBorder="1" applyAlignment="1">
      <alignment horizontal="right" vertical="center"/>
    </xf>
    <xf numFmtId="177" fontId="27" fillId="2" borderId="49" xfId="5" applyNumberFormat="1" applyFont="1" applyFill="1" applyBorder="1" applyAlignment="1">
      <alignment horizontal="right" vertical="center"/>
    </xf>
    <xf numFmtId="177" fontId="27" fillId="2" borderId="35" xfId="5" applyNumberFormat="1" applyFont="1" applyFill="1" applyBorder="1" applyAlignment="1">
      <alignment horizontal="right" vertical="center"/>
    </xf>
    <xf numFmtId="176" fontId="27" fillId="5" borderId="11" xfId="2" applyNumberFormat="1" applyFont="1" applyFill="1" applyBorder="1" applyAlignment="1">
      <alignment horizontal="center" vertical="center"/>
    </xf>
    <xf numFmtId="176" fontId="27" fillId="0" borderId="32" xfId="5" applyNumberFormat="1" applyFont="1" applyBorder="1" applyAlignment="1">
      <alignment horizontal="center" vertical="center"/>
    </xf>
    <xf numFmtId="176" fontId="27" fillId="0" borderId="31" xfId="5" applyNumberFormat="1" applyFont="1" applyBorder="1" applyAlignment="1">
      <alignment horizontal="center" vertical="center"/>
    </xf>
    <xf numFmtId="177" fontId="27" fillId="2" borderId="32" xfId="5" applyNumberFormat="1" applyFont="1" applyFill="1" applyBorder="1" applyAlignment="1">
      <alignment horizontal="right" vertical="center"/>
    </xf>
    <xf numFmtId="177" fontId="27" fillId="2" borderId="31" xfId="5" applyNumberFormat="1" applyFont="1" applyFill="1" applyBorder="1" applyAlignment="1">
      <alignment horizontal="right" vertical="center"/>
    </xf>
    <xf numFmtId="177" fontId="27" fillId="2" borderId="11" xfId="5" applyNumberFormat="1" applyFont="1" applyFill="1" applyBorder="1" applyAlignment="1">
      <alignment horizontal="right" vertical="center"/>
    </xf>
    <xf numFmtId="177" fontId="27" fillId="2" borderId="12" xfId="5" applyNumberFormat="1" applyFont="1" applyFill="1" applyBorder="1" applyAlignment="1">
      <alignment horizontal="right" vertical="center"/>
    </xf>
    <xf numFmtId="176" fontId="27" fillId="5" borderId="13" xfId="2" applyNumberFormat="1" applyFont="1" applyFill="1" applyBorder="1" applyAlignment="1">
      <alignment horizontal="center" vertical="center"/>
    </xf>
    <xf numFmtId="176" fontId="27" fillId="5" borderId="46" xfId="2" applyNumberFormat="1" applyFont="1" applyFill="1" applyBorder="1" applyAlignment="1">
      <alignment horizontal="center" vertical="center"/>
    </xf>
    <xf numFmtId="176" fontId="27" fillId="5" borderId="15" xfId="2" applyNumberFormat="1" applyFont="1" applyFill="1" applyBorder="1" applyAlignment="1">
      <alignment horizontal="center" vertical="center"/>
    </xf>
    <xf numFmtId="176" fontId="27" fillId="0" borderId="46" xfId="5" applyNumberFormat="1" applyFont="1" applyBorder="1" applyAlignment="1">
      <alignment horizontal="center" vertical="center"/>
    </xf>
    <xf numFmtId="176" fontId="27" fillId="0" borderId="14" xfId="5" applyNumberFormat="1" applyFont="1" applyBorder="1" applyAlignment="1">
      <alignment horizontal="center" vertical="center"/>
    </xf>
    <xf numFmtId="176" fontId="27" fillId="0" borderId="51" xfId="5" applyNumberFormat="1" applyFont="1" applyBorder="1" applyAlignment="1">
      <alignment horizontal="center" vertical="center"/>
    </xf>
    <xf numFmtId="176" fontId="27" fillId="0" borderId="13" xfId="5" applyNumberFormat="1" applyFont="1" applyBorder="1" applyAlignment="1">
      <alignment horizontal="center" vertical="center"/>
    </xf>
    <xf numFmtId="176" fontId="27" fillId="0" borderId="15" xfId="5" applyNumberFormat="1" applyFont="1" applyBorder="1" applyAlignment="1">
      <alignment horizontal="center" vertical="center"/>
    </xf>
    <xf numFmtId="0" fontId="40" fillId="0" borderId="0" xfId="5" applyFont="1" applyAlignment="1">
      <alignment vertical="center"/>
    </xf>
    <xf numFmtId="0" fontId="27" fillId="0" borderId="0" xfId="5" applyNumberFormat="1" applyFont="1" applyAlignment="1">
      <alignment horizontal="center" vertical="center"/>
    </xf>
    <xf numFmtId="179" fontId="27" fillId="0" borderId="0" xfId="5" applyNumberFormat="1" applyFont="1" applyAlignment="1">
      <alignment vertical="center"/>
    </xf>
    <xf numFmtId="0" fontId="24" fillId="0" borderId="0" xfId="5" applyFont="1" applyAlignment="1">
      <alignment vertical="center"/>
    </xf>
    <xf numFmtId="0" fontId="24" fillId="0" borderId="0" xfId="5" applyFont="1" applyAlignment="1">
      <alignment horizontal="center" vertical="center"/>
    </xf>
    <xf numFmtId="0" fontId="27" fillId="0" borderId="0" xfId="5" applyFont="1" applyFill="1" applyBorder="1" applyAlignment="1">
      <alignment vertical="center"/>
    </xf>
    <xf numFmtId="0" fontId="27" fillId="0" borderId="0" xfId="5" applyNumberFormat="1" applyFont="1" applyBorder="1" applyAlignment="1">
      <alignment horizontal="center" vertical="center"/>
    </xf>
    <xf numFmtId="0" fontId="16" fillId="0" borderId="0" xfId="0" applyFont="1" applyAlignment="1">
      <alignment vertical="center"/>
    </xf>
    <xf numFmtId="0" fontId="42"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7" fillId="0" borderId="0" xfId="0" applyFont="1" applyAlignment="1">
      <alignment horizontal="left" vertical="center"/>
    </xf>
    <xf numFmtId="0" fontId="24" fillId="0" borderId="0" xfId="0" applyFont="1">
      <alignment vertical="center"/>
    </xf>
    <xf numFmtId="9" fontId="24" fillId="0" borderId="0" xfId="2" applyFont="1">
      <alignment vertical="center"/>
    </xf>
    <xf numFmtId="0" fontId="24" fillId="0" borderId="0" xfId="0" applyFont="1" applyAlignment="1">
      <alignment horizontal="center" vertical="center"/>
    </xf>
    <xf numFmtId="0" fontId="0" fillId="0" borderId="0" xfId="0" applyAlignment="1"/>
    <xf numFmtId="0" fontId="27" fillId="0" borderId="30" xfId="0" applyFont="1" applyBorder="1" applyAlignment="1">
      <alignment vertical="center"/>
    </xf>
    <xf numFmtId="177" fontId="27" fillId="2" borderId="47" xfId="0" applyNumberFormat="1" applyFont="1" applyFill="1" applyBorder="1" applyAlignment="1">
      <alignment horizontal="right" vertical="center"/>
    </xf>
    <xf numFmtId="177" fontId="27" fillId="2" borderId="18" xfId="0" applyNumberFormat="1" applyFont="1" applyFill="1" applyBorder="1" applyAlignment="1">
      <alignment horizontal="right" vertical="center"/>
    </xf>
    <xf numFmtId="177" fontId="27" fillId="2" borderId="44" xfId="0" applyNumberFormat="1" applyFont="1" applyFill="1" applyBorder="1" applyAlignment="1">
      <alignment horizontal="right" vertical="center"/>
    </xf>
    <xf numFmtId="177" fontId="27" fillId="2" borderId="17" xfId="0" applyNumberFormat="1" applyFont="1" applyFill="1" applyBorder="1" applyAlignment="1">
      <alignment horizontal="right" vertical="center"/>
    </xf>
    <xf numFmtId="177" fontId="27" fillId="2" borderId="19" xfId="0" applyNumberFormat="1" applyFont="1" applyFill="1" applyBorder="1" applyAlignment="1">
      <alignment horizontal="right" vertical="center"/>
    </xf>
    <xf numFmtId="176" fontId="27" fillId="0" borderId="32" xfId="0" applyNumberFormat="1" applyFont="1" applyBorder="1" applyAlignment="1">
      <alignment horizontal="center" vertical="center"/>
    </xf>
    <xf numFmtId="176" fontId="27" fillId="0" borderId="3" xfId="0" applyNumberFormat="1" applyFont="1" applyBorder="1" applyAlignment="1">
      <alignment horizontal="center" vertical="center"/>
    </xf>
    <xf numFmtId="176" fontId="27" fillId="0" borderId="31" xfId="0" applyNumberFormat="1" applyFont="1" applyBorder="1" applyAlignment="1">
      <alignment horizontal="center" vertical="center"/>
    </xf>
    <xf numFmtId="176" fontId="27" fillId="0" borderId="11" xfId="0" applyNumberFormat="1" applyFont="1" applyBorder="1" applyAlignment="1">
      <alignment horizontal="center" vertical="center"/>
    </xf>
    <xf numFmtId="176" fontId="27" fillId="0" borderId="12" xfId="0" applyNumberFormat="1" applyFont="1" applyBorder="1" applyAlignment="1">
      <alignment horizontal="center" vertical="center"/>
    </xf>
    <xf numFmtId="177" fontId="27" fillId="2" borderId="11" xfId="0" applyNumberFormat="1" applyFont="1" applyFill="1" applyBorder="1" applyAlignment="1">
      <alignment horizontal="right" vertical="center"/>
    </xf>
    <xf numFmtId="177" fontId="27" fillId="2" borderId="3" xfId="0" applyNumberFormat="1" applyFont="1" applyFill="1" applyBorder="1" applyAlignment="1">
      <alignment horizontal="right" vertical="center"/>
    </xf>
    <xf numFmtId="177" fontId="27" fillId="2" borderId="12" xfId="0" applyNumberFormat="1" applyFont="1" applyFill="1" applyBorder="1" applyAlignment="1">
      <alignment horizontal="right" vertical="center"/>
    </xf>
    <xf numFmtId="177" fontId="27" fillId="2" borderId="34" xfId="0" applyNumberFormat="1" applyFont="1" applyFill="1" applyBorder="1" applyAlignment="1">
      <alignment horizontal="right" vertical="center"/>
    </xf>
    <xf numFmtId="177" fontId="27" fillId="2" borderId="49" xfId="0" applyNumberFormat="1" applyFont="1" applyFill="1" applyBorder="1" applyAlignment="1">
      <alignment horizontal="right" vertical="center"/>
    </xf>
    <xf numFmtId="177" fontId="27" fillId="2" borderId="35" xfId="0" applyNumberFormat="1" applyFont="1" applyFill="1" applyBorder="1" applyAlignment="1">
      <alignment horizontal="right" vertical="center"/>
    </xf>
    <xf numFmtId="177" fontId="27" fillId="2" borderId="50" xfId="0" applyNumberFormat="1" applyFont="1" applyFill="1" applyBorder="1" applyAlignment="1">
      <alignment horizontal="right" vertical="center"/>
    </xf>
    <xf numFmtId="177" fontId="27" fillId="2" borderId="48" xfId="0" applyNumberFormat="1" applyFont="1" applyFill="1" applyBorder="1" applyAlignment="1">
      <alignment horizontal="right" vertical="center"/>
    </xf>
    <xf numFmtId="177" fontId="27" fillId="2" borderId="32" xfId="0" applyNumberFormat="1" applyFont="1" applyFill="1" applyBorder="1" applyAlignment="1">
      <alignment horizontal="right" vertical="center"/>
    </xf>
    <xf numFmtId="177" fontId="27" fillId="2" borderId="31" xfId="0" applyNumberFormat="1" applyFont="1" applyFill="1" applyBorder="1" applyAlignment="1">
      <alignment horizontal="right" vertical="center"/>
    </xf>
    <xf numFmtId="176" fontId="27" fillId="5" borderId="14" xfId="2" applyNumberFormat="1" applyFont="1" applyFill="1" applyBorder="1" applyAlignment="1">
      <alignment horizontal="center" vertical="center"/>
    </xf>
    <xf numFmtId="176" fontId="27" fillId="0" borderId="46" xfId="0" applyNumberFormat="1" applyFont="1" applyBorder="1" applyAlignment="1">
      <alignment horizontal="center" vertical="center"/>
    </xf>
    <xf numFmtId="176" fontId="27" fillId="0" borderId="14" xfId="0" applyNumberFormat="1" applyFont="1" applyBorder="1" applyAlignment="1">
      <alignment horizontal="center" vertical="center"/>
    </xf>
    <xf numFmtId="176" fontId="27" fillId="0" borderId="51" xfId="0" applyNumberFormat="1" applyFont="1" applyBorder="1" applyAlignment="1">
      <alignment horizontal="center" vertical="center"/>
    </xf>
    <xf numFmtId="176" fontId="27" fillId="0" borderId="13" xfId="0" applyNumberFormat="1" applyFont="1" applyBorder="1" applyAlignment="1">
      <alignment horizontal="center" vertical="center"/>
    </xf>
    <xf numFmtId="176" fontId="27" fillId="0" borderId="15" xfId="0" applyNumberFormat="1" applyFont="1" applyBorder="1" applyAlignment="1">
      <alignment horizontal="center" vertical="center"/>
    </xf>
    <xf numFmtId="9" fontId="27" fillId="0" borderId="0" xfId="2" applyFont="1" applyAlignment="1">
      <alignment vertical="center"/>
    </xf>
    <xf numFmtId="0" fontId="24" fillId="0" borderId="0" xfId="0" applyFont="1" applyAlignment="1">
      <alignment vertical="center"/>
    </xf>
    <xf numFmtId="0" fontId="34" fillId="0" borderId="0" xfId="0" applyFont="1" applyAlignment="1">
      <alignment vertical="center"/>
    </xf>
    <xf numFmtId="0" fontId="27" fillId="0" borderId="0" xfId="0" applyFont="1" applyFill="1" applyAlignment="1">
      <alignment vertical="center"/>
    </xf>
    <xf numFmtId="0" fontId="27" fillId="0" borderId="0" xfId="0" applyFont="1" applyFill="1" applyAlignment="1">
      <alignment horizontal="center" vertical="center"/>
    </xf>
    <xf numFmtId="0" fontId="32" fillId="0" borderId="0" xfId="0" applyNumberFormat="1" applyFont="1" applyAlignment="1">
      <alignment horizontal="left" vertical="center"/>
    </xf>
    <xf numFmtId="0" fontId="27" fillId="0" borderId="0" xfId="0" applyFont="1" applyBorder="1" applyAlignment="1">
      <alignment vertical="center"/>
    </xf>
    <xf numFmtId="176" fontId="27" fillId="0" borderId="3" xfId="2" applyNumberFormat="1" applyFont="1" applyFill="1" applyBorder="1" applyAlignment="1">
      <alignment horizontal="center" vertical="center"/>
    </xf>
    <xf numFmtId="176" fontId="27" fillId="0" borderId="14" xfId="2" applyNumberFormat="1" applyFont="1" applyFill="1" applyBorder="1" applyAlignment="1">
      <alignment horizontal="center" vertical="center"/>
    </xf>
    <xf numFmtId="0" fontId="27" fillId="0" borderId="0" xfId="0" applyNumberFormat="1" applyFont="1" applyAlignment="1">
      <alignment horizontal="center" vertical="center"/>
    </xf>
    <xf numFmtId="179" fontId="27" fillId="0" borderId="0" xfId="0" applyNumberFormat="1" applyFont="1" applyAlignment="1">
      <alignment vertical="center"/>
    </xf>
    <xf numFmtId="0" fontId="34" fillId="0" borderId="0" xfId="0" applyFont="1" applyBorder="1" applyAlignment="1">
      <alignment vertical="center"/>
    </xf>
    <xf numFmtId="0" fontId="46" fillId="0" borderId="0" xfId="0" applyFont="1" applyBorder="1" applyAlignment="1">
      <alignment vertical="center"/>
    </xf>
    <xf numFmtId="0" fontId="27" fillId="0" borderId="0" xfId="0" applyFont="1" applyFill="1" applyBorder="1" applyAlignment="1">
      <alignment vertical="center"/>
    </xf>
    <xf numFmtId="0" fontId="27" fillId="0" borderId="0" xfId="0" applyNumberFormat="1" applyFont="1" applyBorder="1" applyAlignment="1">
      <alignment horizontal="center" vertical="center"/>
    </xf>
    <xf numFmtId="177" fontId="47" fillId="0" borderId="0" xfId="6" applyNumberFormat="1" applyFont="1">
      <alignment vertical="center"/>
    </xf>
    <xf numFmtId="0" fontId="27" fillId="0" borderId="0" xfId="5" applyFont="1" applyFill="1" applyAlignment="1">
      <alignment horizontal="center" vertical="center"/>
    </xf>
    <xf numFmtId="177" fontId="27" fillId="0" borderId="0" xfId="6" applyNumberFormat="1" applyFont="1" applyFill="1">
      <alignment vertical="center"/>
    </xf>
    <xf numFmtId="177" fontId="27" fillId="0" borderId="0" xfId="6" applyNumberFormat="1" applyFont="1" applyFill="1" applyAlignment="1">
      <alignment horizontal="center" vertical="center"/>
    </xf>
    <xf numFmtId="0" fontId="26" fillId="0" borderId="0" xfId="5" applyFont="1" applyFill="1" applyAlignment="1">
      <alignment vertical="center"/>
    </xf>
    <xf numFmtId="0" fontId="26" fillId="0" borderId="0" xfId="5" applyFont="1" applyFill="1" applyAlignment="1">
      <alignment horizontal="center" vertical="center"/>
    </xf>
    <xf numFmtId="0" fontId="27" fillId="0" borderId="0" xfId="5" applyFont="1" applyFill="1" applyAlignment="1">
      <alignment vertical="center"/>
    </xf>
    <xf numFmtId="0" fontId="27" fillId="0" borderId="0" xfId="5" applyFont="1" applyFill="1" applyAlignment="1">
      <alignment horizontal="left" vertical="center"/>
    </xf>
    <xf numFmtId="0" fontId="27" fillId="0" borderId="0" xfId="5" applyFont="1" applyFill="1" applyBorder="1" applyAlignment="1">
      <alignment vertical="center" wrapText="1"/>
    </xf>
    <xf numFmtId="177" fontId="27" fillId="0" borderId="0" xfId="6" applyNumberFormat="1" applyFont="1" applyAlignment="1">
      <alignment horizontal="center" vertical="center"/>
    </xf>
    <xf numFmtId="177" fontId="27" fillId="0" borderId="0" xfId="6" applyNumberFormat="1" applyFont="1">
      <alignment vertical="center"/>
    </xf>
    <xf numFmtId="177" fontId="27" fillId="2" borderId="34" xfId="6" applyNumberFormat="1" applyFont="1" applyFill="1" applyBorder="1" applyAlignment="1">
      <alignment vertical="center"/>
    </xf>
    <xf numFmtId="177" fontId="27" fillId="2" borderId="49" xfId="6" applyNumberFormat="1" applyFont="1" applyFill="1" applyBorder="1" applyAlignment="1">
      <alignment vertical="center"/>
    </xf>
    <xf numFmtId="177" fontId="27" fillId="2" borderId="48" xfId="6" applyNumberFormat="1" applyFont="1" applyFill="1" applyBorder="1" applyAlignment="1">
      <alignment vertical="center"/>
    </xf>
    <xf numFmtId="177" fontId="27" fillId="2" borderId="50" xfId="6" applyNumberFormat="1" applyFont="1" applyFill="1" applyBorder="1" applyAlignment="1">
      <alignment vertical="center"/>
    </xf>
    <xf numFmtId="176" fontId="27" fillId="0" borderId="32" xfId="6" applyNumberFormat="1" applyFont="1" applyFill="1" applyBorder="1" applyAlignment="1">
      <alignment horizontal="center" vertical="center"/>
    </xf>
    <xf numFmtId="176" fontId="27" fillId="0" borderId="3" xfId="6" applyNumberFormat="1" applyFont="1" applyFill="1" applyBorder="1" applyAlignment="1">
      <alignment horizontal="center" vertical="center"/>
    </xf>
    <xf numFmtId="176" fontId="27" fillId="0" borderId="12" xfId="6" applyNumberFormat="1" applyFont="1" applyFill="1" applyBorder="1" applyAlignment="1">
      <alignment horizontal="center" vertical="center"/>
    </xf>
    <xf numFmtId="176" fontId="27" fillId="0" borderId="11" xfId="2" applyNumberFormat="1" applyFont="1" applyFill="1" applyBorder="1" applyAlignment="1">
      <alignment horizontal="center" vertical="center"/>
    </xf>
    <xf numFmtId="176" fontId="27" fillId="0" borderId="12" xfId="2" applyNumberFormat="1" applyFont="1" applyFill="1" applyBorder="1" applyAlignment="1">
      <alignment horizontal="center" vertical="center"/>
    </xf>
    <xf numFmtId="177" fontId="27" fillId="2" borderId="11" xfId="6" applyNumberFormat="1" applyFont="1" applyFill="1" applyBorder="1" applyAlignment="1">
      <alignment vertical="center"/>
    </xf>
    <xf numFmtId="177" fontId="27" fillId="2" borderId="3" xfId="6" applyNumberFormat="1" applyFont="1" applyFill="1" applyBorder="1" applyAlignment="1">
      <alignment vertical="center"/>
    </xf>
    <xf numFmtId="177" fontId="27" fillId="2" borderId="12" xfId="6" applyNumberFormat="1" applyFont="1" applyFill="1" applyBorder="1" applyAlignment="1">
      <alignment vertical="center"/>
    </xf>
    <xf numFmtId="176" fontId="27" fillId="0" borderId="46" xfId="6" applyNumberFormat="1" applyFont="1" applyFill="1" applyBorder="1" applyAlignment="1">
      <alignment horizontal="center" vertical="center"/>
    </xf>
    <xf numFmtId="176" fontId="27" fillId="0" borderId="14" xfId="6" applyNumberFormat="1" applyFont="1" applyFill="1" applyBorder="1" applyAlignment="1">
      <alignment horizontal="center" vertical="center"/>
    </xf>
    <xf numFmtId="176" fontId="27" fillId="0" borderId="15" xfId="6" applyNumberFormat="1" applyFont="1" applyFill="1" applyBorder="1" applyAlignment="1">
      <alignment horizontal="center" vertical="center"/>
    </xf>
    <xf numFmtId="176" fontId="27" fillId="0" borderId="13" xfId="2" applyNumberFormat="1" applyFont="1" applyFill="1" applyBorder="1" applyAlignment="1">
      <alignment horizontal="center" vertical="center"/>
    </xf>
    <xf numFmtId="176" fontId="27" fillId="0" borderId="15" xfId="2" applyNumberFormat="1" applyFont="1" applyFill="1" applyBorder="1" applyAlignment="1">
      <alignment horizontal="center" vertical="center"/>
    </xf>
    <xf numFmtId="177" fontId="34" fillId="0" borderId="0" xfId="6" applyNumberFormat="1" applyFont="1" applyBorder="1" applyAlignment="1">
      <alignment horizontal="left" vertical="center"/>
    </xf>
    <xf numFmtId="176" fontId="34" fillId="0" borderId="0" xfId="2" applyNumberFormat="1" applyFont="1" applyBorder="1" applyAlignment="1">
      <alignment horizontal="left" vertical="center"/>
    </xf>
    <xf numFmtId="177" fontId="27" fillId="0" borderId="0" xfId="6" applyNumberFormat="1" applyFont="1" applyBorder="1" applyAlignment="1">
      <alignment horizontal="left" vertical="center"/>
    </xf>
    <xf numFmtId="0" fontId="39" fillId="0" borderId="0" xfId="5" applyFont="1">
      <alignment vertical="center"/>
    </xf>
    <xf numFmtId="0" fontId="49" fillId="0" borderId="0" xfId="5" applyFont="1" applyAlignment="1">
      <alignment vertical="center"/>
    </xf>
    <xf numFmtId="177" fontId="27" fillId="2" borderId="47" xfId="5" applyNumberFormat="1" applyFont="1" applyFill="1" applyBorder="1" applyAlignment="1">
      <alignment horizontal="right" vertical="center"/>
    </xf>
    <xf numFmtId="177" fontId="27" fillId="2" borderId="18" xfId="5" applyNumberFormat="1" applyFont="1" applyFill="1" applyBorder="1" applyAlignment="1">
      <alignment horizontal="right" vertical="center"/>
    </xf>
    <xf numFmtId="177" fontId="27" fillId="2" borderId="44" xfId="5" applyNumberFormat="1" applyFont="1" applyFill="1" applyBorder="1" applyAlignment="1">
      <alignment horizontal="right" vertical="center"/>
    </xf>
    <xf numFmtId="177" fontId="27" fillId="2" borderId="17" xfId="5" applyNumberFormat="1" applyFont="1" applyFill="1" applyBorder="1" applyAlignment="1">
      <alignment horizontal="right" vertical="center"/>
    </xf>
    <xf numFmtId="177" fontId="27" fillId="2" borderId="19" xfId="5" applyNumberFormat="1" applyFont="1" applyFill="1" applyBorder="1" applyAlignment="1">
      <alignment horizontal="right" vertical="center"/>
    </xf>
    <xf numFmtId="0" fontId="38" fillId="0" borderId="0" xfId="5" applyFont="1" applyAlignment="1">
      <alignment vertical="center"/>
    </xf>
    <xf numFmtId="0" fontId="46" fillId="0" borderId="0" xfId="5" applyFont="1" applyBorder="1" applyAlignment="1">
      <alignment vertical="center"/>
    </xf>
    <xf numFmtId="0" fontId="50" fillId="0" borderId="0" xfId="5" applyFont="1" applyBorder="1" applyAlignment="1">
      <alignment vertical="center"/>
    </xf>
    <xf numFmtId="0" fontId="50" fillId="0" borderId="0" xfId="5" applyFont="1" applyFill="1" applyBorder="1" applyAlignment="1">
      <alignment vertical="center"/>
    </xf>
    <xf numFmtId="0" fontId="50" fillId="0" borderId="0" xfId="5" applyNumberFormat="1" applyFont="1" applyBorder="1" applyAlignment="1">
      <alignment horizontal="center" vertical="center"/>
    </xf>
    <xf numFmtId="0" fontId="50" fillId="0" borderId="0" xfId="5" applyFont="1" applyBorder="1" applyAlignment="1">
      <alignment horizontal="center" vertical="center"/>
    </xf>
    <xf numFmtId="0" fontId="51" fillId="0" borderId="0" xfId="5" applyFont="1" applyAlignment="1"/>
    <xf numFmtId="0" fontId="26" fillId="0" borderId="0" xfId="7" applyFont="1" applyFill="1" applyAlignment="1">
      <alignment vertical="center"/>
    </xf>
    <xf numFmtId="0" fontId="26" fillId="0" borderId="0" xfId="5" applyFont="1" applyBorder="1" applyAlignment="1">
      <alignment horizontal="center" vertical="center"/>
    </xf>
    <xf numFmtId="177" fontId="27" fillId="0" borderId="0" xfId="7" applyNumberFormat="1" applyFont="1" applyFill="1" applyAlignment="1">
      <alignment vertical="center"/>
    </xf>
    <xf numFmtId="177" fontId="27" fillId="2" borderId="47" xfId="6" applyNumberFormat="1" applyFont="1" applyFill="1" applyBorder="1" applyAlignment="1">
      <alignment horizontal="right" vertical="center"/>
    </xf>
    <xf numFmtId="177" fontId="27" fillId="2" borderId="18" xfId="6" applyNumberFormat="1" applyFont="1" applyFill="1" applyBorder="1" applyAlignment="1">
      <alignment horizontal="right" vertical="center"/>
    </xf>
    <xf numFmtId="177" fontId="27" fillId="2" borderId="44" xfId="6" applyNumberFormat="1" applyFont="1" applyFill="1" applyBorder="1" applyAlignment="1">
      <alignment horizontal="right" vertical="center"/>
    </xf>
    <xf numFmtId="177" fontId="27" fillId="2" borderId="20" xfId="6" applyNumberFormat="1" applyFont="1" applyFill="1" applyBorder="1" applyAlignment="1">
      <alignment horizontal="right" vertical="center"/>
    </xf>
    <xf numFmtId="177" fontId="27" fillId="2" borderId="17" xfId="6" applyNumberFormat="1" applyFont="1" applyFill="1" applyBorder="1" applyAlignment="1">
      <alignment horizontal="right" vertical="center"/>
    </xf>
    <xf numFmtId="177" fontId="27" fillId="2" borderId="16" xfId="6" applyNumberFormat="1" applyFont="1" applyFill="1" applyBorder="1" applyAlignment="1">
      <alignment horizontal="right" vertical="center"/>
    </xf>
    <xf numFmtId="177" fontId="27" fillId="2" borderId="21" xfId="6" applyNumberFormat="1" applyFont="1" applyFill="1" applyBorder="1" applyAlignment="1">
      <alignment horizontal="right" vertical="center"/>
    </xf>
    <xf numFmtId="9" fontId="27" fillId="0" borderId="11" xfId="8" applyNumberFormat="1" applyFont="1" applyFill="1" applyBorder="1" applyAlignment="1">
      <alignment horizontal="center" vertical="center"/>
    </xf>
    <xf numFmtId="9" fontId="27" fillId="0" borderId="3" xfId="8" applyNumberFormat="1" applyFont="1" applyFill="1" applyBorder="1" applyAlignment="1">
      <alignment horizontal="center" vertical="center"/>
    </xf>
    <xf numFmtId="9" fontId="27" fillId="0" borderId="12" xfId="8" applyNumberFormat="1" applyFont="1" applyFill="1" applyBorder="1" applyAlignment="1">
      <alignment horizontal="center" vertical="center"/>
    </xf>
    <xf numFmtId="9" fontId="27" fillId="0" borderId="38" xfId="7" applyNumberFormat="1" applyFont="1" applyFill="1" applyBorder="1" applyAlignment="1">
      <alignment horizontal="center" vertical="center"/>
    </xf>
    <xf numFmtId="9" fontId="27" fillId="0" borderId="56" xfId="7" applyNumberFormat="1" applyFont="1" applyFill="1" applyBorder="1" applyAlignment="1">
      <alignment horizontal="center" vertical="center"/>
    </xf>
    <xf numFmtId="9" fontId="27" fillId="0" borderId="37" xfId="8" applyNumberFormat="1" applyFont="1" applyFill="1" applyBorder="1" applyAlignment="1">
      <alignment horizontal="center" vertical="center"/>
    </xf>
    <xf numFmtId="177" fontId="27" fillId="2" borderId="11" xfId="6" applyNumberFormat="1" applyFont="1" applyFill="1" applyBorder="1" applyAlignment="1">
      <alignment horizontal="right" vertical="center"/>
    </xf>
    <xf numFmtId="177" fontId="27" fillId="2" borderId="3" xfId="6" applyNumberFormat="1" applyFont="1" applyFill="1" applyBorder="1" applyAlignment="1">
      <alignment horizontal="right" vertical="center"/>
    </xf>
    <xf numFmtId="177" fontId="27" fillId="2" borderId="12" xfId="6" applyNumberFormat="1" applyFont="1" applyFill="1" applyBorder="1" applyAlignment="1">
      <alignment horizontal="right" vertical="center"/>
    </xf>
    <xf numFmtId="177" fontId="27" fillId="2" borderId="36" xfId="6" applyNumberFormat="1" applyFont="1" applyFill="1" applyBorder="1" applyAlignment="1">
      <alignment horizontal="right" vertical="center"/>
    </xf>
    <xf numFmtId="177" fontId="27" fillId="2" borderId="49" xfId="6" applyNumberFormat="1" applyFont="1" applyFill="1" applyBorder="1" applyAlignment="1">
      <alignment horizontal="right" vertical="center"/>
    </xf>
    <xf numFmtId="177" fontId="27" fillId="2" borderId="34" xfId="6" applyNumberFormat="1" applyFont="1" applyFill="1" applyBorder="1" applyAlignment="1">
      <alignment horizontal="right" vertical="center"/>
    </xf>
    <xf numFmtId="177" fontId="27" fillId="2" borderId="33" xfId="6" applyNumberFormat="1" applyFont="1" applyFill="1" applyBorder="1" applyAlignment="1">
      <alignment horizontal="right" vertical="center"/>
    </xf>
    <xf numFmtId="177" fontId="27" fillId="2" borderId="39" xfId="6" applyNumberFormat="1" applyFont="1" applyFill="1" applyBorder="1" applyAlignment="1">
      <alignment horizontal="right" vertical="center"/>
    </xf>
    <xf numFmtId="9" fontId="27" fillId="0" borderId="38" xfId="8" applyNumberFormat="1" applyFont="1" applyFill="1" applyBorder="1" applyAlignment="1">
      <alignment horizontal="center" vertical="center"/>
    </xf>
    <xf numFmtId="9" fontId="27" fillId="0" borderId="56" xfId="8" applyNumberFormat="1" applyFont="1" applyFill="1" applyBorder="1" applyAlignment="1">
      <alignment horizontal="center" vertical="center"/>
    </xf>
    <xf numFmtId="9" fontId="27" fillId="0" borderId="52" xfId="8" applyNumberFormat="1" applyFont="1" applyFill="1" applyBorder="1" applyAlignment="1">
      <alignment horizontal="center" vertical="center"/>
    </xf>
    <xf numFmtId="9" fontId="27" fillId="0" borderId="14" xfId="8" applyNumberFormat="1" applyFont="1" applyFill="1" applyBorder="1" applyAlignment="1">
      <alignment horizontal="center" vertical="center"/>
    </xf>
    <xf numFmtId="9" fontId="27" fillId="0" borderId="45" xfId="8" applyNumberFormat="1" applyFont="1" applyFill="1" applyBorder="1" applyAlignment="1">
      <alignment horizontal="center" vertical="center"/>
    </xf>
    <xf numFmtId="9" fontId="27" fillId="0" borderId="57" xfId="8" applyNumberFormat="1" applyFont="1" applyFill="1" applyBorder="1" applyAlignment="1">
      <alignment horizontal="center" vertical="center"/>
    </xf>
    <xf numFmtId="177" fontId="27" fillId="2" borderId="50" xfId="6" applyNumberFormat="1" applyFont="1" applyFill="1" applyBorder="1" applyAlignment="1">
      <alignment horizontal="right" vertical="center"/>
    </xf>
    <xf numFmtId="177" fontId="27" fillId="2" borderId="48" xfId="6" applyNumberFormat="1" applyFont="1" applyFill="1" applyBorder="1" applyAlignment="1">
      <alignment horizontal="right" vertical="center"/>
    </xf>
    <xf numFmtId="176" fontId="24" fillId="0" borderId="0" xfId="5" applyNumberFormat="1" applyFont="1">
      <alignment vertical="center"/>
    </xf>
    <xf numFmtId="176" fontId="24" fillId="0" borderId="0" xfId="10" applyNumberFormat="1" applyFont="1">
      <alignment vertical="center"/>
    </xf>
    <xf numFmtId="176" fontId="27" fillId="0" borderId="0" xfId="10" applyNumberFormat="1" applyFont="1" applyAlignment="1">
      <alignment vertical="center"/>
    </xf>
    <xf numFmtId="177" fontId="27" fillId="6" borderId="18" xfId="7" applyNumberFormat="1" applyFont="1" applyFill="1" applyBorder="1" applyAlignment="1">
      <alignment horizontal="center" vertical="center"/>
    </xf>
    <xf numFmtId="177" fontId="27" fillId="6" borderId="45" xfId="7" applyNumberFormat="1" applyFont="1" applyFill="1" applyBorder="1" applyAlignment="1">
      <alignment horizontal="center" vertical="center" wrapText="1"/>
    </xf>
    <xf numFmtId="177" fontId="27" fillId="6" borderId="14" xfId="7" applyNumberFormat="1" applyFont="1" applyFill="1" applyBorder="1" applyAlignment="1">
      <alignment horizontal="center" vertical="center" wrapText="1"/>
    </xf>
    <xf numFmtId="177" fontId="27" fillId="6" borderId="15" xfId="7" applyNumberFormat="1" applyFont="1" applyFill="1" applyBorder="1" applyAlignment="1">
      <alignment horizontal="center" vertical="center" wrapText="1"/>
    </xf>
    <xf numFmtId="177" fontId="27" fillId="6" borderId="23" xfId="7" applyNumberFormat="1" applyFont="1" applyFill="1" applyBorder="1" applyAlignment="1">
      <alignment horizontal="center" vertical="center" wrapText="1"/>
    </xf>
    <xf numFmtId="177" fontId="27" fillId="6" borderId="40" xfId="7" applyNumberFormat="1" applyFont="1" applyFill="1" applyBorder="1" applyAlignment="1">
      <alignment horizontal="center" vertical="center"/>
    </xf>
    <xf numFmtId="9" fontId="27" fillId="6" borderId="40" xfId="2" applyFont="1" applyFill="1" applyBorder="1" applyAlignment="1">
      <alignment horizontal="center" vertical="center"/>
    </xf>
    <xf numFmtId="177" fontId="27" fillId="6" borderId="42" xfId="7" applyNumberFormat="1" applyFont="1" applyFill="1" applyBorder="1" applyAlignment="1">
      <alignment horizontal="center" vertical="center"/>
    </xf>
    <xf numFmtId="177" fontId="27" fillId="6" borderId="24" xfId="7" applyNumberFormat="1" applyFont="1" applyFill="1" applyBorder="1" applyAlignment="1">
      <alignment horizontal="center" vertical="center"/>
    </xf>
    <xf numFmtId="177" fontId="27" fillId="6" borderId="13" xfId="5" applyNumberFormat="1" applyFont="1" applyFill="1" applyBorder="1" applyAlignment="1">
      <alignment horizontal="center" vertical="center"/>
    </xf>
    <xf numFmtId="177" fontId="27" fillId="6" borderId="14" xfId="5" applyNumberFormat="1" applyFont="1" applyFill="1" applyBorder="1" applyAlignment="1">
      <alignment horizontal="center" vertical="center" wrapText="1"/>
    </xf>
    <xf numFmtId="177" fontId="27" fillId="6" borderId="15" xfId="5" applyNumberFormat="1" applyFont="1" applyFill="1" applyBorder="1" applyAlignment="1">
      <alignment horizontal="center" vertical="center"/>
    </xf>
    <xf numFmtId="177" fontId="27" fillId="6" borderId="46" xfId="5" applyNumberFormat="1" applyFont="1" applyFill="1" applyBorder="1" applyAlignment="1">
      <alignment horizontal="center" vertical="center"/>
    </xf>
    <xf numFmtId="0" fontId="27" fillId="6" borderId="37" xfId="7" applyNumberFormat="1" applyFont="1" applyFill="1" applyBorder="1" applyAlignment="1">
      <alignment horizontal="center" vertical="center"/>
    </xf>
    <xf numFmtId="9" fontId="27" fillId="6" borderId="3" xfId="7" applyNumberFormat="1" applyFont="1" applyFill="1" applyBorder="1" applyAlignment="1">
      <alignment horizontal="center" vertical="center"/>
    </xf>
    <xf numFmtId="9" fontId="27" fillId="6" borderId="31" xfId="7" applyNumberFormat="1" applyFont="1" applyFill="1" applyBorder="1" applyAlignment="1">
      <alignment horizontal="center" vertical="center"/>
    </xf>
    <xf numFmtId="176" fontId="27" fillId="6" borderId="3" xfId="7" applyNumberFormat="1" applyFont="1" applyFill="1" applyBorder="1" applyAlignment="1">
      <alignment horizontal="center" vertical="center"/>
    </xf>
    <xf numFmtId="176" fontId="27" fillId="6" borderId="31" xfId="7" applyNumberFormat="1" applyFont="1" applyFill="1" applyBorder="1" applyAlignment="1">
      <alignment horizontal="center" vertical="center"/>
    </xf>
    <xf numFmtId="0" fontId="27" fillId="6" borderId="45" xfId="7" applyNumberFormat="1" applyFont="1" applyFill="1" applyBorder="1" applyAlignment="1">
      <alignment horizontal="center" vertical="center"/>
    </xf>
    <xf numFmtId="176" fontId="27" fillId="6" borderId="14" xfId="7" applyNumberFormat="1" applyFont="1" applyFill="1" applyBorder="1" applyAlignment="1">
      <alignment horizontal="center" vertical="center"/>
    </xf>
    <xf numFmtId="176" fontId="27" fillId="6" borderId="51" xfId="7" applyNumberFormat="1" applyFont="1" applyFill="1" applyBorder="1" applyAlignment="1">
      <alignment horizontal="center" vertical="center"/>
    </xf>
    <xf numFmtId="176" fontId="27" fillId="6" borderId="12" xfId="7" applyNumberFormat="1" applyFont="1" applyFill="1" applyBorder="1" applyAlignment="1">
      <alignment horizontal="center" vertical="center"/>
    </xf>
    <xf numFmtId="177" fontId="27" fillId="6" borderId="13" xfId="7" applyNumberFormat="1" applyFont="1" applyFill="1" applyBorder="1" applyAlignment="1">
      <alignment horizontal="center" vertical="center" wrapText="1"/>
    </xf>
    <xf numFmtId="177" fontId="27" fillId="6" borderId="58" xfId="7" applyNumberFormat="1" applyFont="1" applyFill="1" applyBorder="1" applyAlignment="1">
      <alignment horizontal="center" vertical="center"/>
    </xf>
    <xf numFmtId="9" fontId="27" fillId="6" borderId="11" xfId="5" applyNumberFormat="1" applyFont="1" applyFill="1" applyBorder="1" applyAlignment="1">
      <alignment horizontal="center" vertical="center"/>
    </xf>
    <xf numFmtId="0" fontId="27" fillId="6" borderId="12" xfId="5" applyNumberFormat="1" applyFont="1" applyFill="1" applyBorder="1" applyAlignment="1">
      <alignment horizontal="center" vertical="center"/>
    </xf>
    <xf numFmtId="9" fontId="27" fillId="6" borderId="13" xfId="5" applyNumberFormat="1" applyFont="1" applyFill="1" applyBorder="1" applyAlignment="1">
      <alignment horizontal="center" vertical="center"/>
    </xf>
    <xf numFmtId="177" fontId="27" fillId="6" borderId="14" xfId="5" applyNumberFormat="1" applyFont="1" applyFill="1" applyBorder="1" applyAlignment="1">
      <alignment horizontal="center" vertical="center"/>
    </xf>
    <xf numFmtId="9" fontId="27" fillId="6" borderId="14" xfId="2" applyFont="1" applyFill="1" applyBorder="1" applyAlignment="1">
      <alignment horizontal="center" vertical="center"/>
    </xf>
    <xf numFmtId="9" fontId="27" fillId="6" borderId="14" xfId="2" applyFont="1" applyFill="1" applyBorder="1" applyAlignment="1">
      <alignment horizontal="center" vertical="center" wrapText="1"/>
    </xf>
    <xf numFmtId="177" fontId="27" fillId="6" borderId="45" xfId="0" applyNumberFormat="1" applyFont="1" applyFill="1" applyBorder="1" applyAlignment="1">
      <alignment horizontal="center" vertical="center" wrapText="1"/>
    </xf>
    <xf numFmtId="177" fontId="27" fillId="6" borderId="52" xfId="0" applyNumberFormat="1" applyFont="1" applyFill="1" applyBorder="1" applyAlignment="1">
      <alignment horizontal="center" vertical="center" wrapText="1"/>
    </xf>
    <xf numFmtId="0" fontId="27" fillId="6" borderId="50" xfId="0" applyNumberFormat="1" applyFont="1" applyFill="1" applyBorder="1" applyAlignment="1">
      <alignment horizontal="center" vertical="center"/>
    </xf>
    <xf numFmtId="9" fontId="27" fillId="6" borderId="34" xfId="2" applyFont="1" applyFill="1" applyBorder="1" applyAlignment="1">
      <alignment horizontal="center" vertical="center"/>
    </xf>
    <xf numFmtId="9" fontId="27" fillId="6" borderId="3" xfId="2" applyFont="1" applyFill="1" applyBorder="1" applyAlignment="1">
      <alignment horizontal="center" vertical="center"/>
    </xf>
    <xf numFmtId="9" fontId="27" fillId="6" borderId="39" xfId="2" applyFont="1" applyFill="1" applyBorder="1" applyAlignment="1">
      <alignment horizontal="center" vertical="center"/>
    </xf>
    <xf numFmtId="0" fontId="27" fillId="6" borderId="11" xfId="0" applyNumberFormat="1" applyFont="1" applyFill="1" applyBorder="1" applyAlignment="1">
      <alignment horizontal="center" vertical="center"/>
    </xf>
    <xf numFmtId="9" fontId="27" fillId="6" borderId="32" xfId="2" applyFont="1" applyFill="1" applyBorder="1" applyAlignment="1">
      <alignment horizontal="center" vertical="center"/>
    </xf>
    <xf numFmtId="9" fontId="27" fillId="6" borderId="56" xfId="2" applyFont="1" applyFill="1" applyBorder="1" applyAlignment="1">
      <alignment horizontal="center" vertical="center"/>
    </xf>
    <xf numFmtId="0" fontId="27" fillId="6" borderId="65" xfId="0" applyNumberFormat="1" applyFont="1" applyFill="1" applyBorder="1" applyAlignment="1">
      <alignment horizontal="center" vertical="center"/>
    </xf>
    <xf numFmtId="9" fontId="27" fillId="6" borderId="68" xfId="2" applyFont="1" applyFill="1" applyBorder="1" applyAlignment="1">
      <alignment horizontal="center" vertical="center"/>
    </xf>
    <xf numFmtId="9" fontId="27" fillId="6" borderId="44" xfId="0" applyNumberFormat="1" applyFont="1" applyFill="1" applyBorder="1" applyAlignment="1">
      <alignment horizontal="center" vertical="center"/>
    </xf>
    <xf numFmtId="9" fontId="27" fillId="6" borderId="46" xfId="2" applyFont="1" applyFill="1" applyBorder="1" applyAlignment="1">
      <alignment horizontal="center" vertical="center"/>
    </xf>
    <xf numFmtId="9" fontId="27" fillId="6" borderId="51" xfId="2" applyFont="1" applyFill="1" applyBorder="1" applyAlignment="1">
      <alignment horizontal="center" vertical="center"/>
    </xf>
    <xf numFmtId="9" fontId="27" fillId="6" borderId="15" xfId="2" applyFont="1" applyFill="1" applyBorder="1" applyAlignment="1">
      <alignment horizontal="center" vertical="center"/>
    </xf>
    <xf numFmtId="177" fontId="27" fillId="6" borderId="63" xfId="0" applyNumberFormat="1" applyFont="1" applyFill="1" applyBorder="1" applyAlignment="1">
      <alignment horizontal="center" vertical="center"/>
    </xf>
    <xf numFmtId="177" fontId="27" fillId="6" borderId="40" xfId="0" applyNumberFormat="1" applyFont="1" applyFill="1" applyBorder="1" applyAlignment="1">
      <alignment horizontal="center" vertical="center" wrapText="1"/>
    </xf>
    <xf numFmtId="9" fontId="27" fillId="6" borderId="40" xfId="0" applyNumberFormat="1" applyFont="1" applyFill="1" applyBorder="1" applyAlignment="1">
      <alignment horizontal="center" vertical="center"/>
    </xf>
    <xf numFmtId="9" fontId="27" fillId="6" borderId="3" xfId="0" applyNumberFormat="1" applyFont="1" applyFill="1" applyBorder="1" applyAlignment="1">
      <alignment horizontal="center" vertical="center"/>
    </xf>
    <xf numFmtId="9" fontId="27" fillId="6" borderId="14" xfId="0" applyNumberFormat="1" applyFont="1" applyFill="1" applyBorder="1" applyAlignment="1">
      <alignment horizontal="center" vertical="center"/>
    </xf>
    <xf numFmtId="177" fontId="27" fillId="9" borderId="18" xfId="0" applyNumberFormat="1" applyFont="1" applyFill="1" applyBorder="1" applyAlignment="1">
      <alignment horizontal="right" vertical="center"/>
    </xf>
    <xf numFmtId="177" fontId="27" fillId="9" borderId="3" xfId="0" applyNumberFormat="1" applyFont="1" applyFill="1" applyBorder="1" applyAlignment="1">
      <alignment horizontal="right" vertical="center"/>
    </xf>
    <xf numFmtId="0" fontId="27" fillId="8" borderId="11" xfId="5" applyFont="1" applyFill="1" applyBorder="1" applyAlignment="1">
      <alignment horizontal="center" vertical="center" wrapText="1"/>
    </xf>
    <xf numFmtId="0" fontId="27" fillId="8" borderId="13" xfId="5" applyFont="1" applyFill="1" applyBorder="1" applyAlignment="1">
      <alignment horizontal="center" vertical="center" wrapText="1"/>
    </xf>
    <xf numFmtId="176" fontId="27" fillId="6" borderId="11" xfId="6" applyNumberFormat="1" applyFont="1" applyFill="1" applyBorder="1" applyAlignment="1">
      <alignment horizontal="center" vertical="center"/>
    </xf>
    <xf numFmtId="9" fontId="27" fillId="6" borderId="3" xfId="6" applyNumberFormat="1" applyFont="1" applyFill="1" applyBorder="1" applyAlignment="1">
      <alignment horizontal="center" vertical="center"/>
    </xf>
    <xf numFmtId="9" fontId="27" fillId="6" borderId="31" xfId="6" applyNumberFormat="1" applyFont="1" applyFill="1" applyBorder="1" applyAlignment="1">
      <alignment horizontal="center" vertical="center"/>
    </xf>
    <xf numFmtId="9" fontId="27" fillId="6" borderId="11" xfId="6" applyNumberFormat="1" applyFont="1" applyFill="1" applyBorder="1" applyAlignment="1">
      <alignment horizontal="center" vertical="center"/>
    </xf>
    <xf numFmtId="176" fontId="27" fillId="6" borderId="31" xfId="6" applyNumberFormat="1" applyFont="1" applyFill="1" applyBorder="1" applyAlignment="1">
      <alignment horizontal="center" vertical="center"/>
    </xf>
    <xf numFmtId="9" fontId="27" fillId="6" borderId="14" xfId="6" applyNumberFormat="1" applyFont="1" applyFill="1" applyBorder="1" applyAlignment="1">
      <alignment horizontal="center" vertical="center"/>
    </xf>
    <xf numFmtId="176" fontId="27" fillId="6" borderId="51" xfId="6" applyNumberFormat="1" applyFont="1" applyFill="1" applyBorder="1" applyAlignment="1">
      <alignment horizontal="center" vertical="center"/>
    </xf>
    <xf numFmtId="9" fontId="27" fillId="6" borderId="19" xfId="6" applyNumberFormat="1" applyFont="1" applyFill="1" applyBorder="1" applyAlignment="1">
      <alignment horizontal="center" vertical="center"/>
    </xf>
    <xf numFmtId="9" fontId="27" fillId="6" borderId="18" xfId="6" applyNumberFormat="1" applyFont="1" applyFill="1" applyBorder="1" applyAlignment="1">
      <alignment horizontal="center" vertical="center" wrapText="1"/>
    </xf>
    <xf numFmtId="9" fontId="27" fillId="6" borderId="44" xfId="6" applyNumberFormat="1" applyFont="1" applyFill="1" applyBorder="1" applyAlignment="1">
      <alignment horizontal="center" vertical="center"/>
    </xf>
    <xf numFmtId="9" fontId="27" fillId="6" borderId="40" xfId="6" applyNumberFormat="1" applyFont="1" applyFill="1" applyBorder="1" applyAlignment="1">
      <alignment horizontal="center" vertical="center"/>
    </xf>
    <xf numFmtId="9" fontId="27" fillId="6" borderId="40" xfId="6" applyNumberFormat="1" applyFont="1" applyFill="1" applyBorder="1" applyAlignment="1">
      <alignment horizontal="center" vertical="center" wrapText="1"/>
    </xf>
    <xf numFmtId="9" fontId="27" fillId="6" borderId="41" xfId="6" applyNumberFormat="1" applyFont="1" applyFill="1" applyBorder="1" applyAlignment="1">
      <alignment horizontal="center" vertical="center"/>
    </xf>
    <xf numFmtId="177" fontId="27" fillId="6" borderId="13" xfId="6" applyNumberFormat="1" applyFont="1" applyFill="1" applyBorder="1" applyAlignment="1">
      <alignment horizontal="center" vertical="center"/>
    </xf>
    <xf numFmtId="0" fontId="55" fillId="0" borderId="74" xfId="5" applyFont="1" applyFill="1" applyBorder="1" applyAlignment="1">
      <alignment horizontal="center" vertical="center" wrapText="1"/>
    </xf>
    <xf numFmtId="0" fontId="54" fillId="6" borderId="3" xfId="5" applyFont="1" applyFill="1" applyBorder="1" applyAlignment="1">
      <alignment horizontal="center" vertical="center"/>
    </xf>
    <xf numFmtId="0" fontId="54" fillId="6" borderId="31" xfId="5" applyFont="1" applyFill="1" applyBorder="1" applyAlignment="1">
      <alignment horizontal="center" vertical="center"/>
    </xf>
    <xf numFmtId="9" fontId="54" fillId="6" borderId="3" xfId="5" applyNumberFormat="1" applyFont="1" applyFill="1" applyBorder="1" applyAlignment="1">
      <alignment horizontal="center" vertical="center"/>
    </xf>
    <xf numFmtId="0" fontId="54" fillId="0" borderId="3" xfId="5" applyFont="1" applyBorder="1" applyAlignment="1">
      <alignment horizontal="center" vertical="center"/>
    </xf>
    <xf numFmtId="9" fontId="54" fillId="6" borderId="49" xfId="5" applyNumberFormat="1" applyFont="1" applyFill="1" applyBorder="1" applyAlignment="1">
      <alignment horizontal="center" vertical="center"/>
    </xf>
    <xf numFmtId="0" fontId="54" fillId="0" borderId="35" xfId="5" applyFont="1" applyBorder="1" applyAlignment="1">
      <alignment horizontal="center" vertical="center"/>
    </xf>
    <xf numFmtId="9" fontId="54" fillId="6" borderId="66" xfId="5" applyNumberFormat="1" applyFont="1" applyFill="1" applyBorder="1" applyAlignment="1">
      <alignment horizontal="center" vertical="center"/>
    </xf>
    <xf numFmtId="9" fontId="54" fillId="6" borderId="14" xfId="5" applyNumberFormat="1" applyFont="1" applyFill="1" applyBorder="1" applyAlignment="1">
      <alignment horizontal="center" vertical="center"/>
    </xf>
    <xf numFmtId="0" fontId="54" fillId="0" borderId="14" xfId="5" applyFont="1" applyBorder="1" applyAlignment="1">
      <alignment horizontal="center" vertical="center"/>
    </xf>
    <xf numFmtId="177" fontId="26" fillId="6" borderId="63" xfId="5" applyNumberFormat="1" applyFont="1" applyFill="1" applyBorder="1" applyAlignment="1">
      <alignment horizontal="center" vertical="center" wrapText="1"/>
    </xf>
    <xf numFmtId="177" fontId="26" fillId="6" borderId="40" xfId="5" applyNumberFormat="1" applyFont="1" applyFill="1" applyBorder="1" applyAlignment="1">
      <alignment horizontal="center" vertical="center" wrapText="1"/>
    </xf>
    <xf numFmtId="177" fontId="26" fillId="6" borderId="41" xfId="5" applyNumberFormat="1" applyFont="1" applyFill="1" applyBorder="1" applyAlignment="1">
      <alignment horizontal="center" vertical="center" wrapText="1"/>
    </xf>
    <xf numFmtId="177" fontId="27" fillId="6" borderId="46" xfId="5" applyNumberFormat="1" applyFont="1" applyFill="1" applyBorder="1" applyAlignment="1">
      <alignment horizontal="center" vertical="center" wrapText="1"/>
    </xf>
    <xf numFmtId="177" fontId="27" fillId="6" borderId="51" xfId="5" applyNumberFormat="1" applyFont="1" applyFill="1" applyBorder="1" applyAlignment="1">
      <alignment horizontal="center" vertical="center"/>
    </xf>
    <xf numFmtId="0" fontId="27" fillId="6" borderId="11" xfId="5" applyNumberFormat="1" applyFont="1" applyFill="1" applyBorder="1" applyAlignment="1">
      <alignment horizontal="center" vertical="center"/>
    </xf>
    <xf numFmtId="9" fontId="27" fillId="6" borderId="12" xfId="2" applyFont="1" applyFill="1" applyBorder="1" applyAlignment="1">
      <alignment horizontal="center" vertical="center"/>
    </xf>
    <xf numFmtId="176" fontId="27" fillId="6" borderId="12" xfId="2" applyNumberFormat="1" applyFont="1" applyFill="1" applyBorder="1" applyAlignment="1">
      <alignment horizontal="center" vertical="center"/>
    </xf>
    <xf numFmtId="0" fontId="27" fillId="6" borderId="13" xfId="5" applyNumberFormat="1" applyFont="1" applyFill="1" applyBorder="1" applyAlignment="1">
      <alignment horizontal="center" vertical="center"/>
    </xf>
    <xf numFmtId="176" fontId="27" fillId="7" borderId="3" xfId="0" applyNumberFormat="1" applyFont="1" applyFill="1" applyBorder="1" applyAlignment="1">
      <alignment horizontal="center" vertical="center"/>
    </xf>
    <xf numFmtId="0" fontId="27" fillId="6" borderId="42" xfId="0" applyFont="1" applyFill="1" applyBorder="1" applyAlignment="1">
      <alignment horizontal="center" vertical="center"/>
    </xf>
    <xf numFmtId="176" fontId="27" fillId="7" borderId="42" xfId="0" applyNumberFormat="1" applyFont="1" applyFill="1" applyBorder="1" applyAlignment="1">
      <alignment horizontal="center" vertical="center"/>
    </xf>
    <xf numFmtId="177" fontId="27" fillId="6" borderId="70" xfId="0" applyNumberFormat="1" applyFont="1" applyFill="1" applyBorder="1" applyAlignment="1">
      <alignment horizontal="center" vertical="center" wrapText="1"/>
    </xf>
    <xf numFmtId="177" fontId="27" fillId="6" borderId="69" xfId="0" applyNumberFormat="1" applyFont="1" applyFill="1" applyBorder="1" applyAlignment="1">
      <alignment horizontal="center" vertical="center" wrapText="1"/>
    </xf>
    <xf numFmtId="177" fontId="27" fillId="6" borderId="43" xfId="0" applyNumberFormat="1" applyFont="1" applyFill="1" applyBorder="1" applyAlignment="1">
      <alignment horizontal="center" vertical="center" wrapText="1"/>
    </xf>
    <xf numFmtId="176" fontId="27" fillId="6" borderId="51" xfId="2" applyNumberFormat="1" applyFont="1" applyFill="1" applyBorder="1" applyAlignment="1">
      <alignment horizontal="center" vertical="center"/>
    </xf>
    <xf numFmtId="9" fontId="27" fillId="6" borderId="38" xfId="0" applyNumberFormat="1" applyFont="1" applyFill="1" applyBorder="1" applyAlignment="1">
      <alignment horizontal="center" vertical="center"/>
    </xf>
    <xf numFmtId="176" fontId="27" fillId="6" borderId="48" xfId="0" applyNumberFormat="1" applyFont="1" applyFill="1" applyBorder="1" applyAlignment="1">
      <alignment horizontal="center" vertical="center"/>
    </xf>
    <xf numFmtId="0" fontId="53" fillId="6" borderId="11" xfId="0" applyNumberFormat="1" applyFont="1" applyFill="1" applyBorder="1" applyAlignment="1">
      <alignment horizontal="center" vertical="center"/>
    </xf>
    <xf numFmtId="9" fontId="27" fillId="6" borderId="31" xfId="0" applyNumberFormat="1" applyFont="1" applyFill="1" applyBorder="1" applyAlignment="1">
      <alignment horizontal="center" vertical="center"/>
    </xf>
    <xf numFmtId="0" fontId="27" fillId="6" borderId="13" xfId="0" applyNumberFormat="1" applyFont="1" applyFill="1" applyBorder="1" applyAlignment="1">
      <alignment horizontal="center" vertical="center"/>
    </xf>
    <xf numFmtId="9" fontId="27" fillId="6" borderId="51" xfId="0" applyNumberFormat="1" applyFont="1" applyFill="1" applyBorder="1" applyAlignment="1">
      <alignment horizontal="center" vertical="center"/>
    </xf>
    <xf numFmtId="176" fontId="27" fillId="6" borderId="43" xfId="0" applyNumberFormat="1" applyFont="1" applyFill="1" applyBorder="1" applyAlignment="1">
      <alignment horizontal="center" vertical="center"/>
    </xf>
    <xf numFmtId="176" fontId="27" fillId="5" borderId="51" xfId="2" applyNumberFormat="1" applyFont="1" applyFill="1" applyBorder="1" applyAlignment="1">
      <alignment horizontal="center" vertical="center"/>
    </xf>
    <xf numFmtId="176" fontId="27" fillId="6" borderId="3" xfId="6" applyNumberFormat="1" applyFont="1" applyFill="1" applyBorder="1" applyAlignment="1">
      <alignment horizontal="center" vertical="center"/>
    </xf>
    <xf numFmtId="176" fontId="27" fillId="6" borderId="12" xfId="6" applyNumberFormat="1" applyFont="1" applyFill="1" applyBorder="1" applyAlignment="1">
      <alignment horizontal="center" vertical="center"/>
    </xf>
    <xf numFmtId="176" fontId="27" fillId="6" borderId="14" xfId="6" applyNumberFormat="1" applyFont="1" applyFill="1" applyBorder="1" applyAlignment="1">
      <alignment horizontal="center" vertical="center"/>
    </xf>
    <xf numFmtId="176" fontId="27" fillId="6" borderId="15" xfId="6" applyNumberFormat="1" applyFont="1" applyFill="1" applyBorder="1" applyAlignment="1">
      <alignment horizontal="center" vertical="center"/>
    </xf>
    <xf numFmtId="0" fontId="27" fillId="8" borderId="47" xfId="5" applyFont="1" applyFill="1" applyBorder="1" applyAlignment="1">
      <alignment horizontal="center" vertical="center"/>
    </xf>
    <xf numFmtId="0" fontId="27" fillId="8" borderId="13" xfId="5" applyFont="1" applyFill="1" applyBorder="1" applyAlignment="1">
      <alignment horizontal="center" vertical="center"/>
    </xf>
    <xf numFmtId="9" fontId="27" fillId="6" borderId="66" xfId="2" applyFont="1" applyFill="1" applyBorder="1" applyAlignment="1">
      <alignment horizontal="center" vertical="center"/>
    </xf>
    <xf numFmtId="176" fontId="27" fillId="6" borderId="66" xfId="2" applyNumberFormat="1" applyFont="1" applyFill="1" applyBorder="1" applyAlignment="1">
      <alignment horizontal="center" vertical="center"/>
    </xf>
    <xf numFmtId="9" fontId="27" fillId="0" borderId="11" xfId="7" applyNumberFormat="1" applyFont="1" applyFill="1" applyBorder="1" applyAlignment="1">
      <alignment horizontal="center" vertical="center"/>
    </xf>
    <xf numFmtId="9" fontId="27" fillId="6" borderId="42" xfId="6" applyNumberFormat="1" applyFont="1" applyFill="1" applyBorder="1" applyAlignment="1">
      <alignment horizontal="center" vertical="center"/>
    </xf>
    <xf numFmtId="0" fontId="27" fillId="0" borderId="0" xfId="5" applyFont="1" applyAlignment="1">
      <alignment horizontal="center" vertical="center"/>
    </xf>
    <xf numFmtId="0" fontId="27" fillId="0" borderId="0" xfId="5" applyFont="1" applyAlignment="1">
      <alignment vertical="center"/>
    </xf>
    <xf numFmtId="0" fontId="26" fillId="0" borderId="0" xfId="5" applyFont="1" applyAlignment="1">
      <alignment vertical="center"/>
    </xf>
    <xf numFmtId="0" fontId="34" fillId="0" borderId="0" xfId="5" applyFont="1" applyAlignment="1">
      <alignment vertical="center"/>
    </xf>
    <xf numFmtId="176" fontId="34" fillId="0" borderId="0" xfId="10" applyNumberFormat="1" applyFont="1" applyBorder="1" applyAlignment="1">
      <alignment horizontal="left" vertical="center"/>
    </xf>
    <xf numFmtId="176" fontId="27" fillId="0" borderId="11" xfId="5" applyNumberFormat="1" applyFont="1" applyBorder="1" applyAlignment="1">
      <alignment horizontal="center" vertical="center"/>
    </xf>
    <xf numFmtId="176" fontId="27" fillId="0" borderId="3" xfId="5" applyNumberFormat="1" applyFont="1" applyBorder="1" applyAlignment="1">
      <alignment horizontal="center" vertical="center"/>
    </xf>
    <xf numFmtId="176" fontId="27" fillId="0" borderId="49" xfId="5" applyNumberFormat="1" applyFont="1" applyBorder="1" applyAlignment="1">
      <alignment horizontal="center" vertical="center"/>
    </xf>
    <xf numFmtId="176" fontId="27" fillId="0" borderId="12" xfId="5" applyNumberFormat="1" applyFont="1" applyBorder="1" applyAlignment="1">
      <alignment horizontal="center" vertical="center"/>
    </xf>
    <xf numFmtId="177" fontId="27" fillId="2" borderId="3" xfId="5" applyNumberFormat="1" applyFont="1" applyFill="1" applyBorder="1" applyAlignment="1">
      <alignment horizontal="right" vertical="center"/>
    </xf>
    <xf numFmtId="0" fontId="10" fillId="0" borderId="0" xfId="0" applyFont="1" applyAlignment="1">
      <alignment horizontal="center" vertical="center"/>
    </xf>
    <xf numFmtId="41" fontId="0" fillId="0" borderId="0" xfId="9" applyFont="1" applyAlignment="1">
      <alignment horizontal="center" vertical="center"/>
    </xf>
    <xf numFmtId="9" fontId="0" fillId="0" borderId="0" xfId="10" applyFont="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28" fillId="0" borderId="0" xfId="0" applyFont="1">
      <alignment vertical="center"/>
    </xf>
    <xf numFmtId="181" fontId="24" fillId="11" borderId="3" xfId="0" applyNumberFormat="1" applyFont="1" applyFill="1" applyBorder="1" applyAlignment="1">
      <alignment horizontal="center" vertical="center"/>
    </xf>
    <xf numFmtId="176" fontId="25" fillId="0" borderId="3" xfId="10" applyNumberFormat="1" applyFont="1" applyBorder="1" applyAlignment="1">
      <alignment horizontal="center" vertical="center"/>
    </xf>
    <xf numFmtId="0" fontId="24" fillId="0" borderId="0" xfId="11" applyFont="1" applyAlignment="1">
      <alignment horizontal="center" vertical="center"/>
    </xf>
    <xf numFmtId="181" fontId="24" fillId="11" borderId="3" xfId="11" applyNumberFormat="1" applyFont="1" applyFill="1" applyBorder="1" applyAlignment="1">
      <alignment horizontal="center" vertical="center"/>
    </xf>
    <xf numFmtId="41" fontId="0" fillId="0" borderId="0" xfId="0" applyNumberFormat="1" applyAlignment="1">
      <alignment horizontal="center" vertical="center"/>
    </xf>
    <xf numFmtId="176" fontId="27" fillId="6" borderId="42" xfId="6" applyNumberFormat="1" applyFont="1" applyFill="1" applyBorder="1" applyAlignment="1">
      <alignment horizontal="center" vertical="center"/>
    </xf>
    <xf numFmtId="9" fontId="27" fillId="6" borderId="43" xfId="6" applyNumberFormat="1" applyFont="1" applyFill="1" applyBorder="1" applyAlignment="1">
      <alignment horizontal="center" vertical="center"/>
    </xf>
    <xf numFmtId="9" fontId="27" fillId="0" borderId="13" xfId="8" applyNumberFormat="1" applyFont="1" applyFill="1" applyBorder="1" applyAlignment="1">
      <alignment horizontal="center" vertical="center"/>
    </xf>
    <xf numFmtId="9" fontId="27" fillId="0" borderId="15" xfId="8" applyNumberFormat="1" applyFont="1" applyFill="1" applyBorder="1" applyAlignment="1">
      <alignment horizontal="center" vertical="center"/>
    </xf>
    <xf numFmtId="177" fontId="27" fillId="2" borderId="32" xfId="6" applyNumberFormat="1" applyFont="1" applyFill="1" applyBorder="1" applyAlignment="1">
      <alignment horizontal="right" vertical="center"/>
    </xf>
    <xf numFmtId="177" fontId="27" fillId="2" borderId="56" xfId="5" applyNumberFormat="1" applyFont="1" applyFill="1" applyBorder="1" applyAlignment="1">
      <alignment horizontal="right" vertical="center"/>
    </xf>
    <xf numFmtId="176" fontId="27" fillId="5" borderId="50" xfId="2" applyNumberFormat="1" applyFont="1" applyFill="1" applyBorder="1" applyAlignment="1">
      <alignment horizontal="center" vertical="center"/>
    </xf>
    <xf numFmtId="176" fontId="27" fillId="5" borderId="34" xfId="2" applyNumberFormat="1" applyFont="1" applyFill="1" applyBorder="1" applyAlignment="1">
      <alignment horizontal="center" vertical="center"/>
    </xf>
    <xf numFmtId="176" fontId="27" fillId="5" borderId="48" xfId="2" applyNumberFormat="1" applyFont="1" applyFill="1" applyBorder="1" applyAlignment="1">
      <alignment horizontal="center" vertical="center"/>
    </xf>
    <xf numFmtId="176" fontId="27" fillId="0" borderId="35" xfId="5" applyNumberFormat="1" applyFont="1" applyBorder="1" applyAlignment="1">
      <alignment horizontal="center" vertical="center"/>
    </xf>
    <xf numFmtId="0" fontId="34" fillId="0" borderId="0" xfId="5" applyFont="1" applyAlignment="1">
      <alignment horizontal="left" vertical="center"/>
    </xf>
    <xf numFmtId="0" fontId="34" fillId="0" borderId="0" xfId="5" applyFont="1" applyAlignment="1">
      <alignment horizontal="left" vertical="center" indent="1"/>
    </xf>
    <xf numFmtId="0" fontId="27" fillId="0" borderId="0" xfId="5" applyFont="1" applyFill="1" applyBorder="1" applyAlignment="1">
      <alignment horizontal="center" vertical="center" wrapText="1"/>
    </xf>
    <xf numFmtId="177" fontId="27" fillId="6" borderId="41" xfId="6" applyNumberFormat="1" applyFont="1" applyFill="1" applyBorder="1" applyAlignment="1">
      <alignment horizontal="center" vertical="center" wrapText="1"/>
    </xf>
    <xf numFmtId="0" fontId="16" fillId="0" borderId="0" xfId="5" applyFont="1" applyFill="1" applyAlignment="1">
      <alignment vertical="center"/>
    </xf>
    <xf numFmtId="0" fontId="15" fillId="0" borderId="0" xfId="5" applyFont="1" applyFill="1" applyBorder="1" applyAlignment="1">
      <alignment horizontal="center" vertical="center"/>
    </xf>
    <xf numFmtId="9" fontId="27" fillId="6" borderId="40" xfId="0" applyNumberFormat="1" applyFont="1" applyFill="1" applyBorder="1" applyAlignment="1">
      <alignment horizontal="center" vertical="center" wrapText="1"/>
    </xf>
    <xf numFmtId="9" fontId="27" fillId="6" borderId="41" xfId="0" applyNumberFormat="1" applyFont="1" applyFill="1" applyBorder="1" applyAlignment="1">
      <alignment horizontal="center" vertical="center"/>
    </xf>
    <xf numFmtId="9" fontId="27" fillId="6" borderId="42" xfId="2" applyFont="1" applyFill="1" applyBorder="1" applyAlignment="1">
      <alignment horizontal="center" vertical="center"/>
    </xf>
    <xf numFmtId="9" fontId="27" fillId="6" borderId="42" xfId="2" applyNumberFormat="1" applyFont="1" applyFill="1" applyBorder="1" applyAlignment="1">
      <alignment horizontal="center" vertical="center"/>
    </xf>
    <xf numFmtId="177" fontId="27" fillId="6" borderId="42" xfId="0" applyNumberFormat="1" applyFont="1" applyFill="1" applyBorder="1" applyAlignment="1">
      <alignment horizontal="center" vertical="center" wrapText="1"/>
    </xf>
    <xf numFmtId="0" fontId="27" fillId="6" borderId="32" xfId="0" applyNumberFormat="1" applyFont="1" applyFill="1" applyBorder="1" applyAlignment="1">
      <alignment horizontal="center" vertical="center"/>
    </xf>
    <xf numFmtId="9" fontId="27" fillId="5" borderId="11" xfId="2" applyNumberFormat="1" applyFont="1" applyFill="1" applyBorder="1" applyAlignment="1">
      <alignment horizontal="center" vertical="center"/>
    </xf>
    <xf numFmtId="9" fontId="27" fillId="0" borderId="3" xfId="2" applyNumberFormat="1" applyFont="1" applyFill="1" applyBorder="1" applyAlignment="1">
      <alignment horizontal="center" vertical="center"/>
    </xf>
    <xf numFmtId="9" fontId="27" fillId="5" borderId="12" xfId="2" applyNumberFormat="1" applyFont="1" applyFill="1" applyBorder="1" applyAlignment="1">
      <alignment horizontal="center" vertical="center"/>
    </xf>
    <xf numFmtId="9" fontId="27" fillId="0" borderId="11" xfId="0" applyNumberFormat="1" applyFont="1" applyBorder="1" applyAlignment="1">
      <alignment horizontal="center" vertical="center"/>
    </xf>
    <xf numFmtId="9" fontId="27" fillId="0" borderId="3" xfId="0" applyNumberFormat="1" applyFont="1" applyBorder="1" applyAlignment="1">
      <alignment horizontal="center" vertical="center"/>
    </xf>
    <xf numFmtId="9" fontId="27" fillId="0" borderId="12" xfId="0" applyNumberFormat="1" applyFont="1" applyBorder="1" applyAlignment="1">
      <alignment horizontal="center" vertical="center"/>
    </xf>
    <xf numFmtId="0" fontId="27" fillId="6" borderId="46" xfId="0" applyNumberFormat="1" applyFont="1" applyFill="1" applyBorder="1" applyAlignment="1">
      <alignment horizontal="center" vertical="center"/>
    </xf>
    <xf numFmtId="176" fontId="27" fillId="6" borderId="15" xfId="0" applyNumberFormat="1" applyFont="1" applyFill="1" applyBorder="1" applyAlignment="1">
      <alignment horizontal="center" vertical="center"/>
    </xf>
    <xf numFmtId="9" fontId="27" fillId="5" borderId="13" xfId="2" applyNumberFormat="1" applyFont="1" applyFill="1" applyBorder="1" applyAlignment="1">
      <alignment horizontal="center" vertical="center"/>
    </xf>
    <xf numFmtId="9" fontId="27" fillId="0" borderId="14" xfId="2" applyNumberFormat="1" applyFont="1" applyFill="1" applyBorder="1" applyAlignment="1">
      <alignment horizontal="center" vertical="center"/>
    </xf>
    <xf numFmtId="9" fontId="27" fillId="5" borderId="15" xfId="2" applyNumberFormat="1" applyFont="1" applyFill="1" applyBorder="1" applyAlignment="1">
      <alignment horizontal="center" vertical="center"/>
    </xf>
    <xf numFmtId="9" fontId="27" fillId="0" borderId="13" xfId="0" applyNumberFormat="1" applyFont="1" applyBorder="1" applyAlignment="1">
      <alignment horizontal="center" vertical="center"/>
    </xf>
    <xf numFmtId="9" fontId="27" fillId="0" borderId="14" xfId="0" applyNumberFormat="1" applyFont="1" applyBorder="1" applyAlignment="1">
      <alignment horizontal="center" vertical="center"/>
    </xf>
    <xf numFmtId="9" fontId="27" fillId="0" borderId="15" xfId="0" applyNumberFormat="1" applyFont="1" applyBorder="1" applyAlignment="1">
      <alignment horizontal="center" vertical="center"/>
    </xf>
    <xf numFmtId="9" fontId="27" fillId="0" borderId="46" xfId="0" applyNumberFormat="1" applyFont="1" applyBorder="1" applyAlignment="1">
      <alignment horizontal="center" vertical="center"/>
    </xf>
    <xf numFmtId="0" fontId="27" fillId="6" borderId="15" xfId="0" applyFont="1" applyFill="1" applyBorder="1" applyAlignment="1">
      <alignment horizontal="center" vertical="center"/>
    </xf>
    <xf numFmtId="176" fontId="27" fillId="6" borderId="12" xfId="0" applyNumberFormat="1" applyFont="1" applyFill="1" applyBorder="1" applyAlignment="1">
      <alignment horizontal="center" vertical="center"/>
    </xf>
    <xf numFmtId="176" fontId="27" fillId="6" borderId="15" xfId="2" applyNumberFormat="1" applyFont="1" applyFill="1" applyBorder="1" applyAlignment="1">
      <alignment horizontal="center" vertical="center"/>
    </xf>
    <xf numFmtId="176" fontId="27" fillId="6" borderId="14" xfId="2" applyNumberFormat="1" applyFont="1" applyFill="1" applyBorder="1" applyAlignment="1">
      <alignment horizontal="center" vertical="center"/>
    </xf>
    <xf numFmtId="0" fontId="54" fillId="6" borderId="81" xfId="5" applyFont="1" applyFill="1" applyBorder="1" applyAlignment="1">
      <alignment horizontal="center" vertical="center"/>
    </xf>
    <xf numFmtId="0" fontId="54" fillId="0" borderId="81" xfId="5" applyFont="1" applyFill="1" applyBorder="1" applyAlignment="1">
      <alignment horizontal="center" vertical="center"/>
    </xf>
    <xf numFmtId="0" fontId="54" fillId="0" borderId="81" xfId="5" applyFont="1" applyBorder="1" applyAlignment="1">
      <alignment horizontal="center" vertical="center"/>
    </xf>
    <xf numFmtId="0" fontId="54" fillId="0" borderId="82" xfId="5" applyFont="1" applyBorder="1" applyAlignment="1">
      <alignment horizontal="center" vertical="center"/>
    </xf>
    <xf numFmtId="0" fontId="62" fillId="0" borderId="0" xfId="5" applyFont="1" applyFill="1" applyBorder="1" applyAlignment="1">
      <alignment horizontal="left" vertical="center"/>
    </xf>
    <xf numFmtId="0" fontId="62" fillId="0" borderId="0" xfId="5" applyFont="1" applyFill="1" applyBorder="1" applyAlignment="1">
      <alignment horizontal="center" vertical="center"/>
    </xf>
    <xf numFmtId="0" fontId="62" fillId="0" borderId="0" xfId="5" applyFont="1" applyFill="1" applyBorder="1" applyAlignment="1">
      <alignment vertical="center"/>
    </xf>
    <xf numFmtId="0" fontId="54" fillId="0" borderId="51" xfId="5" applyFont="1" applyBorder="1" applyAlignment="1">
      <alignment horizontal="center" vertical="center"/>
    </xf>
    <xf numFmtId="0" fontId="54" fillId="0" borderId="31" xfId="5" applyFont="1" applyBorder="1" applyAlignment="1">
      <alignment horizontal="center" vertical="center"/>
    </xf>
    <xf numFmtId="9" fontId="27" fillId="6" borderId="19" xfId="5" applyNumberFormat="1" applyFont="1" applyFill="1" applyBorder="1" applyAlignment="1">
      <alignment horizontal="center" vertical="center"/>
    </xf>
    <xf numFmtId="9" fontId="27" fillId="6" borderId="17"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xf>
    <xf numFmtId="177" fontId="27" fillId="6" borderId="41"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wrapText="1"/>
    </xf>
    <xf numFmtId="177" fontId="27" fillId="6" borderId="15" xfId="0" applyNumberFormat="1" applyFont="1" applyFill="1" applyBorder="1" applyAlignment="1">
      <alignment horizontal="center" vertical="center"/>
    </xf>
    <xf numFmtId="177" fontId="27" fillId="6" borderId="46"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xf>
    <xf numFmtId="9" fontId="27" fillId="6" borderId="44" xfId="5" applyNumberFormat="1" applyFont="1" applyFill="1" applyBorder="1" applyAlignment="1">
      <alignment horizontal="center" vertical="center"/>
    </xf>
    <xf numFmtId="176" fontId="67" fillId="0" borderId="3" xfId="2" applyNumberFormat="1" applyFont="1" applyBorder="1" applyAlignment="1">
      <alignment horizontal="center" vertical="center"/>
    </xf>
    <xf numFmtId="177" fontId="64" fillId="11" borderId="3" xfId="1" applyNumberFormat="1" applyFont="1" applyFill="1" applyBorder="1" applyAlignment="1">
      <alignment horizontal="center" vertical="center"/>
    </xf>
    <xf numFmtId="181" fontId="24" fillId="11" borderId="3" xfId="9" applyNumberFormat="1" applyFont="1" applyFill="1" applyBorder="1" applyAlignment="1">
      <alignment horizontal="center" vertical="center" wrapText="1"/>
    </xf>
    <xf numFmtId="181" fontId="24" fillId="11" borderId="11" xfId="0" applyNumberFormat="1" applyFont="1" applyFill="1" applyBorder="1" applyAlignment="1">
      <alignment horizontal="center" vertical="center"/>
    </xf>
    <xf numFmtId="181" fontId="24" fillId="11" borderId="12" xfId="0" applyNumberFormat="1" applyFont="1" applyFill="1" applyBorder="1" applyAlignment="1">
      <alignment horizontal="center" vertical="center"/>
    </xf>
    <xf numFmtId="176" fontId="25" fillId="0" borderId="11" xfId="10" applyNumberFormat="1" applyFont="1" applyBorder="1" applyAlignment="1">
      <alignment horizontal="center" vertical="center"/>
    </xf>
    <xf numFmtId="176" fontId="25" fillId="0" borderId="12" xfId="10" applyNumberFormat="1" applyFont="1" applyBorder="1" applyAlignment="1">
      <alignment horizontal="center" vertical="center"/>
    </xf>
    <xf numFmtId="180" fontId="24" fillId="11" borderId="11" xfId="0" applyNumberFormat="1" applyFont="1" applyFill="1" applyBorder="1" applyAlignment="1">
      <alignment horizontal="center" vertical="center"/>
    </xf>
    <xf numFmtId="177" fontId="24" fillId="11" borderId="11" xfId="9" applyNumberFormat="1" applyFont="1" applyFill="1" applyBorder="1" applyAlignment="1">
      <alignment horizontal="center" vertical="center"/>
    </xf>
    <xf numFmtId="177" fontId="24" fillId="11" borderId="12" xfId="9" applyNumberFormat="1" applyFont="1" applyFill="1" applyBorder="1" applyAlignment="1">
      <alignment horizontal="center" vertical="center"/>
    </xf>
    <xf numFmtId="177" fontId="64" fillId="11" borderId="12" xfId="1" applyNumberFormat="1" applyFont="1" applyFill="1" applyBorder="1" applyAlignment="1">
      <alignment horizontal="center" vertical="center"/>
    </xf>
    <xf numFmtId="176" fontId="67" fillId="0" borderId="12" xfId="2" applyNumberFormat="1" applyFont="1" applyBorder="1" applyAlignment="1">
      <alignment horizontal="center" vertical="center"/>
    </xf>
    <xf numFmtId="181" fontId="24" fillId="11" borderId="11" xfId="9" applyNumberFormat="1" applyFont="1" applyFill="1" applyBorder="1" applyAlignment="1">
      <alignment horizontal="center" vertical="center" wrapText="1"/>
    </xf>
    <xf numFmtId="181" fontId="24" fillId="11" borderId="12" xfId="9" applyNumberFormat="1" applyFont="1" applyFill="1" applyBorder="1" applyAlignment="1">
      <alignment horizontal="center" vertical="center" wrapText="1"/>
    </xf>
    <xf numFmtId="181" fontId="24" fillId="11" borderId="11" xfId="11" applyNumberFormat="1" applyFont="1" applyFill="1" applyBorder="1" applyAlignment="1">
      <alignment horizontal="center" vertical="center"/>
    </xf>
    <xf numFmtId="181" fontId="24" fillId="11" borderId="12" xfId="11" applyNumberFormat="1" applyFont="1" applyFill="1" applyBorder="1" applyAlignment="1">
      <alignment horizontal="center" vertical="center"/>
    </xf>
    <xf numFmtId="9" fontId="25" fillId="0" borderId="13" xfId="10" applyFont="1" applyBorder="1" applyAlignment="1">
      <alignment horizontal="center" vertical="center"/>
    </xf>
    <xf numFmtId="9" fontId="25" fillId="0" borderId="14" xfId="10" applyFont="1" applyBorder="1" applyAlignment="1">
      <alignment horizontal="center" vertical="center"/>
    </xf>
    <xf numFmtId="9" fontId="25" fillId="0" borderId="15" xfId="10" applyFont="1" applyBorder="1" applyAlignment="1">
      <alignment horizontal="center" vertical="center"/>
    </xf>
    <xf numFmtId="181" fontId="24" fillId="11" borderId="37" xfId="0" applyNumberFormat="1" applyFont="1" applyFill="1" applyBorder="1" applyAlignment="1">
      <alignment horizontal="center" vertical="center"/>
    </xf>
    <xf numFmtId="176" fontId="25" fillId="0" borderId="37" xfId="10" applyNumberFormat="1" applyFont="1" applyBorder="1" applyAlignment="1">
      <alignment horizontal="center" vertical="center"/>
    </xf>
    <xf numFmtId="176" fontId="25" fillId="0" borderId="45" xfId="10" applyNumberFormat="1" applyFont="1" applyBorder="1" applyAlignment="1">
      <alignment horizontal="center" vertical="center"/>
    </xf>
    <xf numFmtId="181" fontId="24" fillId="11" borderId="85" xfId="0" applyNumberFormat="1" applyFont="1" applyFill="1" applyBorder="1" applyAlignment="1">
      <alignment horizontal="center" vertical="center"/>
    </xf>
    <xf numFmtId="176" fontId="25" fillId="0" borderId="85" xfId="10" applyNumberFormat="1" applyFont="1" applyBorder="1" applyAlignment="1">
      <alignment horizontal="center" vertical="center"/>
    </xf>
    <xf numFmtId="176" fontId="25" fillId="0" borderId="86" xfId="10" applyNumberFormat="1" applyFont="1" applyBorder="1" applyAlignment="1">
      <alignment horizontal="center" vertical="center"/>
    </xf>
    <xf numFmtId="181" fontId="24" fillId="11" borderId="33" xfId="0" applyNumberFormat="1" applyFont="1" applyFill="1" applyBorder="1" applyAlignment="1">
      <alignment horizontal="center" vertical="center"/>
    </xf>
    <xf numFmtId="181" fontId="24" fillId="11" borderId="84" xfId="0" applyNumberFormat="1" applyFont="1" applyFill="1" applyBorder="1" applyAlignment="1">
      <alignment horizontal="center" vertical="center"/>
    </xf>
    <xf numFmtId="9" fontId="63" fillId="10" borderId="14" xfId="2" applyFont="1" applyFill="1" applyBorder="1" applyAlignment="1">
      <alignment horizontal="center" vertical="center"/>
    </xf>
    <xf numFmtId="41" fontId="63" fillId="10" borderId="14" xfId="1" applyFont="1" applyFill="1" applyBorder="1" applyAlignment="1">
      <alignment horizontal="center" vertical="center"/>
    </xf>
    <xf numFmtId="0" fontId="21" fillId="10" borderId="13" xfId="0" applyFont="1" applyFill="1" applyBorder="1" applyAlignment="1">
      <alignment horizontal="center" vertical="center"/>
    </xf>
    <xf numFmtId="0" fontId="21" fillId="10" borderId="14" xfId="0" applyFont="1" applyFill="1" applyBorder="1" applyAlignment="1">
      <alignment horizontal="center" vertical="center"/>
    </xf>
    <xf numFmtId="0" fontId="63" fillId="10" borderId="14" xfId="0" applyFont="1" applyFill="1" applyBorder="1" applyAlignment="1">
      <alignment horizontal="center" vertical="center"/>
    </xf>
    <xf numFmtId="0" fontId="63" fillId="10" borderId="15" xfId="0" applyFont="1" applyFill="1" applyBorder="1" applyAlignment="1">
      <alignment horizontal="center" vertical="center"/>
    </xf>
    <xf numFmtId="0" fontId="69" fillId="0" borderId="0" xfId="5" applyFont="1" applyAlignment="1">
      <alignment horizontal="left" vertical="center" indent="1"/>
    </xf>
    <xf numFmtId="0" fontId="69" fillId="0" borderId="0" xfId="5" applyFont="1" applyAlignment="1">
      <alignment horizontal="left" vertical="center" indent="2"/>
    </xf>
    <xf numFmtId="9" fontId="27" fillId="6" borderId="57" xfId="2" applyFont="1" applyFill="1" applyBorder="1" applyAlignment="1">
      <alignment horizontal="center" vertical="center"/>
    </xf>
    <xf numFmtId="9" fontId="63" fillId="10" borderId="51" xfId="2" applyFont="1" applyFill="1" applyBorder="1" applyAlignment="1">
      <alignment horizontal="center" vertical="center"/>
    </xf>
    <xf numFmtId="0" fontId="70" fillId="0" borderId="0" xfId="5" applyFont="1" applyFill="1" applyBorder="1" applyAlignment="1">
      <alignment horizontal="center" vertical="center"/>
    </xf>
    <xf numFmtId="0" fontId="27" fillId="7" borderId="0" xfId="5" applyFont="1" applyFill="1" applyBorder="1" applyAlignment="1">
      <alignment vertical="center" wrapText="1"/>
    </xf>
    <xf numFmtId="0" fontId="27" fillId="7" borderId="30" xfId="5" applyFont="1" applyFill="1" applyBorder="1" applyAlignment="1">
      <alignment vertical="center" wrapText="1"/>
    </xf>
    <xf numFmtId="0" fontId="27" fillId="7" borderId="36" xfId="5" applyFont="1" applyFill="1" applyBorder="1" applyAlignment="1">
      <alignment vertical="center" wrapText="1"/>
    </xf>
    <xf numFmtId="0" fontId="27" fillId="7" borderId="39" xfId="5" applyFont="1" applyFill="1" applyBorder="1" applyAlignment="1">
      <alignment vertical="center" wrapText="1"/>
    </xf>
    <xf numFmtId="177" fontId="27" fillId="2" borderId="38" xfId="6" applyNumberFormat="1" applyFont="1" applyFill="1" applyBorder="1" applyAlignment="1">
      <alignment horizontal="right" vertical="center"/>
    </xf>
    <xf numFmtId="177" fontId="27" fillId="2" borderId="37" xfId="6" applyNumberFormat="1" applyFont="1" applyFill="1" applyBorder="1" applyAlignment="1">
      <alignment horizontal="right" vertical="center"/>
    </xf>
    <xf numFmtId="177" fontId="27" fillId="2" borderId="56" xfId="6" applyNumberFormat="1" applyFont="1" applyFill="1" applyBorder="1" applyAlignment="1">
      <alignment horizontal="right" vertical="center"/>
    </xf>
    <xf numFmtId="176" fontId="27" fillId="0" borderId="0" xfId="2" applyNumberFormat="1" applyFont="1" applyAlignment="1">
      <alignment vertical="center"/>
    </xf>
    <xf numFmtId="9" fontId="27" fillId="6" borderId="18" xfId="5" applyNumberFormat="1" applyFont="1" applyFill="1" applyBorder="1" applyAlignment="1">
      <alignment horizontal="center" vertical="center"/>
    </xf>
    <xf numFmtId="0" fontId="27" fillId="0" borderId="0" xfId="5" applyFont="1" applyFill="1" applyBorder="1" applyAlignment="1">
      <alignment horizontal="center" vertical="center"/>
    </xf>
    <xf numFmtId="9" fontId="27" fillId="6" borderId="19" xfId="5" applyNumberFormat="1" applyFont="1" applyFill="1" applyBorder="1" applyAlignment="1">
      <alignment horizontal="center" vertical="center"/>
    </xf>
    <xf numFmtId="177" fontId="27" fillId="6" borderId="63" xfId="7"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177" fontId="27" fillId="6" borderId="63" xfId="5" applyNumberFormat="1" applyFont="1" applyFill="1" applyBorder="1" applyAlignment="1">
      <alignment horizontal="center" vertical="center"/>
    </xf>
    <xf numFmtId="177" fontId="27" fillId="6" borderId="40"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0" fontId="27" fillId="8" borderId="18" xfId="5" applyFont="1" applyFill="1" applyBorder="1" applyAlignment="1">
      <alignment horizontal="center" vertical="center"/>
    </xf>
    <xf numFmtId="9" fontId="27" fillId="6" borderId="44" xfId="5" applyNumberFormat="1" applyFont="1" applyFill="1" applyBorder="1" applyAlignment="1">
      <alignment horizontal="center" vertical="center"/>
    </xf>
    <xf numFmtId="9" fontId="27" fillId="0" borderId="15" xfId="10" applyFont="1" applyFill="1" applyBorder="1" applyAlignment="1">
      <alignment horizontal="center" vertical="center"/>
    </xf>
    <xf numFmtId="176" fontId="27" fillId="0" borderId="15" xfId="10" applyNumberFormat="1" applyFont="1" applyFill="1" applyBorder="1" applyAlignment="1">
      <alignment horizontal="center" vertical="center"/>
    </xf>
    <xf numFmtId="182" fontId="24" fillId="0" borderId="0" xfId="5" applyNumberFormat="1" applyFont="1">
      <alignment vertical="center"/>
    </xf>
    <xf numFmtId="177" fontId="27" fillId="0" borderId="0" xfId="5" applyNumberFormat="1" applyFont="1" applyAlignment="1">
      <alignment vertical="center"/>
    </xf>
    <xf numFmtId="9" fontId="27" fillId="0" borderId="0" xfId="2" applyFont="1" applyAlignment="1">
      <alignment horizontal="center" vertical="center"/>
    </xf>
    <xf numFmtId="176" fontId="27" fillId="0" borderId="0" xfId="10" applyNumberFormat="1" applyFont="1" applyFill="1" applyBorder="1" applyAlignment="1">
      <alignment horizontal="center" vertical="center"/>
    </xf>
    <xf numFmtId="177" fontId="27" fillId="0" borderId="0" xfId="6" applyNumberFormat="1" applyFont="1" applyFill="1" applyBorder="1" applyAlignment="1">
      <alignment horizontal="center" vertical="center"/>
    </xf>
    <xf numFmtId="176" fontId="27" fillId="0" borderId="46" xfId="10" applyNumberFormat="1" applyFont="1" applyFill="1" applyBorder="1" applyAlignment="1">
      <alignment horizontal="center" vertical="center"/>
    </xf>
    <xf numFmtId="176" fontId="27" fillId="0" borderId="13" xfId="10" applyNumberFormat="1" applyFont="1" applyFill="1" applyBorder="1" applyAlignment="1">
      <alignment horizontal="center" vertical="center"/>
    </xf>
    <xf numFmtId="9" fontId="27" fillId="0" borderId="46" xfId="10" applyFont="1" applyFill="1" applyBorder="1" applyAlignment="1">
      <alignment horizontal="center" vertical="center"/>
    </xf>
    <xf numFmtId="9" fontId="27" fillId="0" borderId="13" xfId="10" applyFont="1" applyFill="1" applyBorder="1" applyAlignment="1">
      <alignment horizontal="center" vertical="center"/>
    </xf>
    <xf numFmtId="176" fontId="71" fillId="6" borderId="15" xfId="6" applyNumberFormat="1" applyFont="1" applyFill="1" applyBorder="1" applyAlignment="1">
      <alignment horizontal="center" vertical="center"/>
    </xf>
    <xf numFmtId="176" fontId="71" fillId="6" borderId="14" xfId="6" applyNumberFormat="1" applyFont="1" applyFill="1" applyBorder="1" applyAlignment="1">
      <alignment horizontal="center" vertical="center"/>
    </xf>
    <xf numFmtId="9" fontId="27" fillId="0" borderId="41" xfId="10" applyFont="1" applyFill="1" applyBorder="1" applyAlignment="1">
      <alignment horizontal="center" vertical="center"/>
    </xf>
    <xf numFmtId="9" fontId="27" fillId="0" borderId="23" xfId="10" applyFont="1" applyFill="1" applyBorder="1" applyAlignment="1">
      <alignment horizontal="center" vertical="center"/>
    </xf>
    <xf numFmtId="9" fontId="27" fillId="0" borderId="63" xfId="10" applyFont="1" applyFill="1" applyBorder="1" applyAlignment="1">
      <alignment horizontal="center" vertical="center"/>
    </xf>
    <xf numFmtId="9" fontId="27" fillId="6" borderId="15" xfId="6" applyNumberFormat="1" applyFont="1" applyFill="1" applyBorder="1" applyAlignment="1">
      <alignment horizontal="center" vertical="center"/>
    </xf>
    <xf numFmtId="9" fontId="27" fillId="0" borderId="12" xfId="10" applyFont="1" applyFill="1" applyBorder="1" applyAlignment="1">
      <alignment horizontal="center" vertical="center"/>
    </xf>
    <xf numFmtId="9" fontId="27" fillId="0" borderId="32" xfId="10" applyFont="1" applyFill="1" applyBorder="1" applyAlignment="1">
      <alignment horizontal="center" vertical="center"/>
    </xf>
    <xf numFmtId="9" fontId="27" fillId="0" borderId="11" xfId="10" applyFont="1" applyFill="1" applyBorder="1" applyAlignment="1">
      <alignment horizontal="center" vertical="center"/>
    </xf>
    <xf numFmtId="176" fontId="27" fillId="6" borderId="46" xfId="6" applyNumberFormat="1" applyFont="1" applyFill="1" applyBorder="1" applyAlignment="1">
      <alignment horizontal="center" vertical="center"/>
    </xf>
    <xf numFmtId="176" fontId="27" fillId="6" borderId="32" xfId="6" applyNumberFormat="1" applyFont="1" applyFill="1" applyBorder="1" applyAlignment="1">
      <alignment horizontal="center" vertical="center"/>
    </xf>
    <xf numFmtId="9" fontId="27" fillId="6" borderId="12" xfId="6" applyNumberFormat="1" applyFont="1" applyFill="1" applyBorder="1" applyAlignment="1">
      <alignment horizontal="center" vertical="center"/>
    </xf>
    <xf numFmtId="177" fontId="27" fillId="6" borderId="41" xfId="6" applyNumberFormat="1" applyFont="1" applyFill="1" applyBorder="1" applyAlignment="1">
      <alignment horizontal="center" vertical="center"/>
    </xf>
    <xf numFmtId="177" fontId="27" fillId="6" borderId="40" xfId="6" applyNumberFormat="1" applyFont="1" applyFill="1" applyBorder="1" applyAlignment="1">
      <alignment horizontal="center" vertical="center"/>
    </xf>
    <xf numFmtId="9" fontId="27" fillId="0" borderId="0" xfId="2" applyFont="1" applyFill="1">
      <alignment vertical="center"/>
    </xf>
    <xf numFmtId="9" fontId="27" fillId="0" borderId="0" xfId="2" applyFont="1" applyFill="1" applyAlignment="1">
      <alignment horizontal="left" vertical="center"/>
    </xf>
    <xf numFmtId="176" fontId="27" fillId="0" borderId="15" xfId="5" applyNumberFormat="1" applyFont="1" applyFill="1" applyBorder="1" applyAlignment="1">
      <alignment horizontal="center" vertical="center"/>
    </xf>
    <xf numFmtId="176" fontId="27" fillId="0" borderId="14" xfId="5" applyNumberFormat="1" applyFont="1" applyFill="1" applyBorder="1" applyAlignment="1">
      <alignment horizontal="center" vertical="center"/>
    </xf>
    <xf numFmtId="9" fontId="27" fillId="0" borderId="14" xfId="5" applyNumberFormat="1" applyFont="1" applyFill="1" applyBorder="1" applyAlignment="1">
      <alignment horizontal="center" vertical="center"/>
    </xf>
    <xf numFmtId="176" fontId="27" fillId="0" borderId="41" xfId="5" applyNumberFormat="1" applyFont="1" applyFill="1" applyBorder="1" applyAlignment="1">
      <alignment horizontal="center" vertical="center"/>
    </xf>
    <xf numFmtId="176" fontId="27" fillId="0" borderId="40" xfId="5" applyNumberFormat="1" applyFont="1" applyFill="1" applyBorder="1" applyAlignment="1">
      <alignment horizontal="center" vertical="center"/>
    </xf>
    <xf numFmtId="176" fontId="27" fillId="0" borderId="24" xfId="5" applyNumberFormat="1" applyFont="1" applyFill="1" applyBorder="1" applyAlignment="1">
      <alignment horizontal="center" vertical="center"/>
    </xf>
    <xf numFmtId="0" fontId="27" fillId="8" borderId="63" xfId="5" applyFont="1" applyFill="1" applyBorder="1" applyAlignment="1">
      <alignment horizontal="center" vertical="center"/>
    </xf>
    <xf numFmtId="0" fontId="27" fillId="8" borderId="12" xfId="5" applyFont="1" applyFill="1" applyBorder="1" applyAlignment="1">
      <alignment horizontal="center" vertical="center"/>
    </xf>
    <xf numFmtId="0" fontId="27" fillId="8" borderId="3" xfId="5" applyFont="1" applyFill="1" applyBorder="1" applyAlignment="1">
      <alignment horizontal="center" vertical="center"/>
    </xf>
    <xf numFmtId="0" fontId="27" fillId="8" borderId="31" xfId="5" applyFont="1" applyFill="1" applyBorder="1" applyAlignment="1">
      <alignment horizontal="center" vertical="center"/>
    </xf>
    <xf numFmtId="0" fontId="27" fillId="8" borderId="11" xfId="5" applyFont="1" applyFill="1" applyBorder="1" applyAlignment="1">
      <alignment horizontal="center" vertical="center"/>
    </xf>
    <xf numFmtId="177" fontId="16" fillId="0" borderId="0" xfId="6" applyNumberFormat="1" applyFont="1">
      <alignment vertical="center"/>
    </xf>
    <xf numFmtId="0" fontId="61" fillId="0" borderId="14" xfId="5" applyFont="1" applyFill="1" applyBorder="1" applyAlignment="1">
      <alignment horizontal="center" vertical="center"/>
    </xf>
    <xf numFmtId="176" fontId="27" fillId="6" borderId="67" xfId="2" applyNumberFormat="1" applyFont="1" applyFill="1" applyBorder="1" applyAlignment="1">
      <alignment horizontal="center" vertical="center"/>
    </xf>
    <xf numFmtId="177" fontId="27" fillId="6" borderId="41" xfId="0" applyNumberFormat="1" applyFont="1" applyFill="1" applyBorder="1" applyAlignment="1">
      <alignment horizontal="center" vertical="center"/>
    </xf>
    <xf numFmtId="177" fontId="27" fillId="6" borderId="63" xfId="5" applyNumberFormat="1" applyFont="1" applyFill="1" applyBorder="1" applyAlignment="1">
      <alignment horizontal="center" vertical="center"/>
    </xf>
    <xf numFmtId="177" fontId="27" fillId="6" borderId="40"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9" fontId="27" fillId="6" borderId="44" xfId="5" applyNumberFormat="1" applyFont="1" applyFill="1" applyBorder="1" applyAlignment="1">
      <alignment horizontal="center" vertical="center"/>
    </xf>
    <xf numFmtId="9" fontId="27" fillId="0" borderId="14" xfId="10" applyFont="1" applyFill="1" applyBorder="1" applyAlignment="1">
      <alignment horizontal="center" vertical="center"/>
    </xf>
    <xf numFmtId="9" fontId="27" fillId="0" borderId="15" xfId="10" applyFont="1" applyFill="1" applyBorder="1" applyAlignment="1">
      <alignment horizontal="center" vertical="center"/>
    </xf>
    <xf numFmtId="176" fontId="27" fillId="0" borderId="15" xfId="10" applyNumberFormat="1" applyFont="1" applyFill="1" applyBorder="1" applyAlignment="1">
      <alignment horizontal="center" vertical="center"/>
    </xf>
    <xf numFmtId="9" fontId="27" fillId="0" borderId="51" xfId="0" applyNumberFormat="1" applyFont="1" applyBorder="1" applyAlignment="1">
      <alignment horizontal="center" vertical="center"/>
    </xf>
    <xf numFmtId="177" fontId="27" fillId="2" borderId="35" xfId="6" applyNumberFormat="1" applyFont="1" applyFill="1" applyBorder="1" applyAlignment="1">
      <alignment vertical="center"/>
    </xf>
    <xf numFmtId="176" fontId="27" fillId="0" borderId="31" xfId="2" applyNumberFormat="1" applyFont="1" applyFill="1" applyBorder="1" applyAlignment="1">
      <alignment horizontal="center" vertical="center"/>
    </xf>
    <xf numFmtId="177" fontId="27" fillId="2" borderId="31" xfId="6" applyNumberFormat="1" applyFont="1" applyFill="1" applyBorder="1" applyAlignment="1">
      <alignment vertical="center"/>
    </xf>
    <xf numFmtId="176" fontId="27" fillId="0" borderId="51" xfId="2" applyNumberFormat="1" applyFont="1" applyFill="1" applyBorder="1" applyAlignment="1">
      <alignment horizontal="center" vertical="center"/>
    </xf>
    <xf numFmtId="176" fontId="27" fillId="0" borderId="32" xfId="2" applyNumberFormat="1" applyFont="1" applyFill="1" applyBorder="1" applyAlignment="1">
      <alignment horizontal="center" vertical="center"/>
    </xf>
    <xf numFmtId="177" fontId="27" fillId="2" borderId="32" xfId="6" applyNumberFormat="1" applyFont="1" applyFill="1" applyBorder="1" applyAlignment="1">
      <alignment vertical="center"/>
    </xf>
    <xf numFmtId="176" fontId="27" fillId="0" borderId="46" xfId="2" applyNumberFormat="1" applyFont="1" applyFill="1" applyBorder="1" applyAlignment="1">
      <alignment horizontal="center" vertical="center"/>
    </xf>
    <xf numFmtId="177" fontId="27" fillId="6" borderId="63" xfId="6" applyNumberFormat="1" applyFont="1" applyFill="1" applyBorder="1" applyAlignment="1">
      <alignment horizontal="center" vertical="center"/>
    </xf>
    <xf numFmtId="177" fontId="27" fillId="2" borderId="47" xfId="6" applyNumberFormat="1" applyFont="1" applyFill="1" applyBorder="1" applyAlignment="1">
      <alignment vertical="center"/>
    </xf>
    <xf numFmtId="177" fontId="27" fillId="2" borderId="18" xfId="6" applyNumberFormat="1" applyFont="1" applyFill="1" applyBorder="1" applyAlignment="1">
      <alignment vertical="center"/>
    </xf>
    <xf numFmtId="177" fontId="27" fillId="2" borderId="44" xfId="6" applyNumberFormat="1" applyFont="1" applyFill="1" applyBorder="1" applyAlignment="1">
      <alignment vertical="center"/>
    </xf>
    <xf numFmtId="177" fontId="27" fillId="2" borderId="47" xfId="7" applyNumberFormat="1" applyFont="1" applyFill="1" applyBorder="1" applyAlignment="1">
      <alignment horizontal="right" vertical="center"/>
    </xf>
    <xf numFmtId="177" fontId="27" fillId="2" borderId="44" xfId="7" applyNumberFormat="1" applyFont="1" applyFill="1" applyBorder="1" applyAlignment="1">
      <alignment horizontal="right" vertical="center"/>
    </xf>
    <xf numFmtId="9" fontId="27" fillId="0" borderId="51" xfId="10" applyFont="1" applyFill="1" applyBorder="1" applyAlignment="1">
      <alignment horizontal="center" vertical="center"/>
    </xf>
    <xf numFmtId="177" fontId="27" fillId="2" borderId="19" xfId="6" applyNumberFormat="1" applyFont="1" applyFill="1" applyBorder="1" applyAlignment="1">
      <alignment horizontal="right" vertical="center"/>
    </xf>
    <xf numFmtId="9" fontId="27" fillId="0" borderId="31" xfId="10" applyFont="1" applyFill="1" applyBorder="1" applyAlignment="1">
      <alignment horizontal="center" vertical="center"/>
    </xf>
    <xf numFmtId="177" fontId="27" fillId="2" borderId="31" xfId="6" applyNumberFormat="1" applyFont="1" applyFill="1" applyBorder="1" applyAlignment="1">
      <alignment horizontal="right" vertical="center"/>
    </xf>
    <xf numFmtId="9" fontId="27" fillId="0" borderId="3" xfId="10" applyFont="1" applyFill="1" applyBorder="1" applyAlignment="1">
      <alignment horizontal="center" vertical="center"/>
    </xf>
    <xf numFmtId="9" fontId="27" fillId="0" borderId="40" xfId="10" applyFont="1" applyFill="1" applyBorder="1" applyAlignment="1">
      <alignment horizontal="center" vertical="center"/>
    </xf>
    <xf numFmtId="0" fontId="27" fillId="0" borderId="0" xfId="5" applyFont="1" applyBorder="1" applyAlignment="1">
      <alignment horizontal="center" vertical="center"/>
    </xf>
    <xf numFmtId="9" fontId="27" fillId="6" borderId="19" xfId="5" applyNumberFormat="1" applyFont="1" applyFill="1" applyBorder="1" applyAlignment="1">
      <alignment horizontal="center" vertical="center"/>
    </xf>
    <xf numFmtId="0" fontId="53" fillId="6" borderId="15" xfId="5" applyNumberFormat="1" applyFont="1" applyFill="1" applyBorder="1" applyAlignment="1">
      <alignment horizontal="center" vertical="center"/>
    </xf>
    <xf numFmtId="0" fontId="29" fillId="0" borderId="0" xfId="5" applyFont="1" applyAlignment="1">
      <alignment horizontal="left" vertical="center"/>
    </xf>
    <xf numFmtId="0" fontId="29" fillId="0" borderId="0" xfId="5" applyFont="1" applyAlignment="1">
      <alignment horizontal="center" vertical="center"/>
    </xf>
    <xf numFmtId="9" fontId="29" fillId="6" borderId="19" xfId="5" applyNumberFormat="1" applyFont="1" applyFill="1" applyBorder="1" applyAlignment="1">
      <alignment horizontal="center" vertical="center"/>
    </xf>
    <xf numFmtId="177" fontId="27" fillId="6" borderId="63" xfId="6"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177" fontId="27" fillId="6" borderId="40"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0" fontId="27" fillId="0" borderId="0" xfId="5" applyFont="1" applyFill="1" applyBorder="1" applyAlignment="1">
      <alignment horizontal="center" vertical="center" wrapText="1"/>
    </xf>
    <xf numFmtId="0" fontId="27" fillId="0" borderId="0" xfId="5" applyFont="1" applyFill="1" applyBorder="1" applyAlignment="1">
      <alignment horizontal="center" vertical="center"/>
    </xf>
    <xf numFmtId="9" fontId="27" fillId="0" borderId="32" xfId="0" applyNumberFormat="1" applyFont="1" applyBorder="1" applyAlignment="1">
      <alignment horizontal="center" vertical="center"/>
    </xf>
    <xf numFmtId="9" fontId="27" fillId="0" borderId="31" xfId="0" applyNumberFormat="1" applyFont="1" applyBorder="1" applyAlignment="1">
      <alignment horizontal="center" vertical="center"/>
    </xf>
    <xf numFmtId="0" fontId="27" fillId="0" borderId="0" xfId="0" applyFont="1" applyBorder="1" applyAlignment="1">
      <alignment horizontal="center" vertical="center"/>
    </xf>
    <xf numFmtId="0" fontId="27" fillId="6" borderId="12" xfId="0" applyFont="1" applyFill="1" applyBorder="1" applyAlignment="1">
      <alignment horizontal="center" vertical="center"/>
    </xf>
    <xf numFmtId="177" fontId="27" fillId="6" borderId="43" xfId="0" applyNumberFormat="1" applyFont="1" applyFill="1" applyBorder="1" applyAlignment="1">
      <alignment horizontal="center" vertical="center"/>
    </xf>
    <xf numFmtId="41" fontId="24" fillId="11" borderId="3" xfId="1" applyFont="1" applyFill="1" applyBorder="1" applyAlignment="1">
      <alignment horizontal="center" vertical="center"/>
    </xf>
    <xf numFmtId="10" fontId="27" fillId="5" borderId="13" xfId="2" applyNumberFormat="1" applyFont="1" applyFill="1" applyBorder="1" applyAlignment="1">
      <alignment horizontal="center" vertical="center"/>
    </xf>
    <xf numFmtId="10" fontId="27" fillId="0" borderId="14" xfId="2" applyNumberFormat="1" applyFont="1" applyFill="1" applyBorder="1" applyAlignment="1">
      <alignment horizontal="center" vertical="center"/>
    </xf>
    <xf numFmtId="10" fontId="27" fillId="5" borderId="15" xfId="2" applyNumberFormat="1" applyFont="1" applyFill="1" applyBorder="1" applyAlignment="1">
      <alignment horizontal="center" vertical="center"/>
    </xf>
    <xf numFmtId="10" fontId="27" fillId="0" borderId="13" xfId="0" applyNumberFormat="1" applyFont="1" applyBorder="1" applyAlignment="1">
      <alignment horizontal="center" vertical="center"/>
    </xf>
    <xf numFmtId="10" fontId="27" fillId="0" borderId="14" xfId="0" applyNumberFormat="1" applyFont="1" applyBorder="1" applyAlignment="1">
      <alignment horizontal="center" vertical="center"/>
    </xf>
    <xf numFmtId="10" fontId="27" fillId="0" borderId="51" xfId="0" applyNumberFormat="1" applyFont="1" applyBorder="1" applyAlignment="1">
      <alignment horizontal="center" vertical="center"/>
    </xf>
    <xf numFmtId="10" fontId="27" fillId="0" borderId="15" xfId="0" applyNumberFormat="1" applyFont="1" applyBorder="1" applyAlignment="1">
      <alignment horizontal="center" vertical="center"/>
    </xf>
    <xf numFmtId="10" fontId="27" fillId="0" borderId="46" xfId="0" applyNumberFormat="1" applyFont="1" applyBorder="1" applyAlignment="1">
      <alignment horizontal="center" vertical="center"/>
    </xf>
    <xf numFmtId="0" fontId="27" fillId="6" borderId="3" xfId="0" applyFont="1" applyFill="1" applyBorder="1" applyAlignment="1">
      <alignment horizontal="center" vertical="center"/>
    </xf>
    <xf numFmtId="0" fontId="27" fillId="6" borderId="31" xfId="0" applyFont="1" applyFill="1" applyBorder="1" applyAlignment="1">
      <alignment horizontal="center" vertical="center"/>
    </xf>
    <xf numFmtId="9" fontId="27" fillId="6" borderId="19" xfId="0" applyNumberFormat="1" applyFont="1" applyFill="1" applyBorder="1" applyAlignment="1">
      <alignment horizontal="center" vertical="center"/>
    </xf>
    <xf numFmtId="177" fontId="27" fillId="6" borderId="15"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wrapText="1"/>
    </xf>
    <xf numFmtId="177" fontId="27" fillId="6" borderId="46" xfId="0" applyNumberFormat="1" applyFont="1" applyFill="1" applyBorder="1" applyAlignment="1">
      <alignment horizontal="center" vertical="center"/>
    </xf>
    <xf numFmtId="9" fontId="27" fillId="6" borderId="18" xfId="0" applyNumberFormat="1" applyFont="1" applyFill="1" applyBorder="1" applyAlignment="1">
      <alignment horizontal="center" vertical="center"/>
    </xf>
    <xf numFmtId="9" fontId="27" fillId="11" borderId="19" xfId="0" applyNumberFormat="1" applyFont="1" applyFill="1" applyBorder="1" applyAlignment="1">
      <alignment horizontal="center" vertical="center"/>
    </xf>
    <xf numFmtId="176" fontId="27" fillId="11" borderId="51" xfId="2" applyNumberFormat="1" applyFont="1" applyFill="1" applyBorder="1" applyAlignment="1">
      <alignment horizontal="center" vertical="center"/>
    </xf>
    <xf numFmtId="177" fontId="27" fillId="11" borderId="8" xfId="0" applyNumberFormat="1" applyFont="1" applyFill="1" applyBorder="1" applyAlignment="1">
      <alignment horizontal="center" vertical="center"/>
    </xf>
    <xf numFmtId="177" fontId="27" fillId="11" borderId="49" xfId="0" applyNumberFormat="1" applyFont="1" applyFill="1" applyBorder="1" applyAlignment="1">
      <alignment horizontal="center" vertical="center"/>
    </xf>
    <xf numFmtId="177" fontId="27" fillId="11" borderId="40" xfId="0" applyNumberFormat="1" applyFont="1" applyFill="1" applyBorder="1" applyAlignment="1">
      <alignment horizontal="center" vertical="center"/>
    </xf>
    <xf numFmtId="177" fontId="27" fillId="11" borderId="42" xfId="0" applyNumberFormat="1" applyFont="1" applyFill="1" applyBorder="1" applyAlignment="1">
      <alignment horizontal="center" vertical="center"/>
    </xf>
    <xf numFmtId="176" fontId="75" fillId="6" borderId="13" xfId="6" applyNumberFormat="1" applyFont="1" applyFill="1" applyBorder="1" applyAlignment="1">
      <alignment horizontal="center" vertical="center"/>
    </xf>
    <xf numFmtId="176" fontId="75" fillId="6" borderId="42" xfId="6" applyNumberFormat="1" applyFont="1" applyFill="1" applyBorder="1" applyAlignment="1">
      <alignment horizontal="center" vertical="center"/>
    </xf>
    <xf numFmtId="9" fontId="75" fillId="6" borderId="43" xfId="6" applyNumberFormat="1" applyFont="1" applyFill="1" applyBorder="1" applyAlignment="1">
      <alignment horizontal="center" vertical="center"/>
    </xf>
    <xf numFmtId="176" fontId="27" fillId="0" borderId="13" xfId="8" applyNumberFormat="1" applyFont="1" applyFill="1" applyBorder="1" applyAlignment="1">
      <alignment horizontal="center" vertical="center"/>
    </xf>
    <xf numFmtId="176" fontId="27" fillId="0" borderId="14" xfId="8" applyNumberFormat="1" applyFont="1" applyFill="1" applyBorder="1" applyAlignment="1">
      <alignment horizontal="center" vertical="center"/>
    </xf>
    <xf numFmtId="176" fontId="27" fillId="0" borderId="15" xfId="8" applyNumberFormat="1" applyFont="1" applyFill="1" applyBorder="1" applyAlignment="1">
      <alignment horizontal="center" vertical="center"/>
    </xf>
    <xf numFmtId="176" fontId="27" fillId="0" borderId="52" xfId="8" applyNumberFormat="1" applyFont="1" applyFill="1" applyBorder="1" applyAlignment="1">
      <alignment horizontal="center" vertical="center"/>
    </xf>
    <xf numFmtId="176" fontId="27" fillId="0" borderId="45" xfId="8" applyNumberFormat="1" applyFont="1" applyFill="1" applyBorder="1" applyAlignment="1">
      <alignment horizontal="center" vertical="center"/>
    </xf>
    <xf numFmtId="176" fontId="27" fillId="0" borderId="57" xfId="8" applyNumberFormat="1" applyFont="1" applyFill="1" applyBorder="1" applyAlignment="1">
      <alignment horizontal="center" vertical="center"/>
    </xf>
    <xf numFmtId="0" fontId="75" fillId="6" borderId="13" xfId="5" applyNumberFormat="1" applyFont="1" applyFill="1" applyBorder="1" applyAlignment="1">
      <alignment horizontal="center" vertical="center"/>
    </xf>
    <xf numFmtId="176" fontId="75" fillId="6" borderId="14" xfId="2" applyNumberFormat="1" applyFont="1" applyFill="1" applyBorder="1" applyAlignment="1">
      <alignment horizontal="center" vertical="center"/>
    </xf>
    <xf numFmtId="9" fontId="75" fillId="6" borderId="15" xfId="2" applyFont="1" applyFill="1" applyBorder="1" applyAlignment="1">
      <alignment horizontal="center" vertical="center"/>
    </xf>
    <xf numFmtId="0" fontId="25" fillId="4" borderId="20" xfId="5" applyFont="1" applyFill="1" applyBorder="1" applyAlignment="1">
      <alignment horizontal="center" vertical="center"/>
    </xf>
    <xf numFmtId="0" fontId="27" fillId="0" borderId="0" xfId="5" applyFont="1" applyBorder="1" applyAlignment="1">
      <alignment horizontal="center" vertical="center"/>
    </xf>
    <xf numFmtId="9" fontId="27" fillId="6" borderId="19" xfId="5" applyNumberFormat="1" applyFont="1" applyFill="1" applyBorder="1" applyAlignment="1">
      <alignment horizontal="center" vertical="center"/>
    </xf>
    <xf numFmtId="177" fontId="27" fillId="7" borderId="8" xfId="5" applyNumberFormat="1" applyFont="1" applyFill="1" applyBorder="1" applyAlignment="1">
      <alignment horizontal="center" vertical="center"/>
    </xf>
    <xf numFmtId="177" fontId="27" fillId="7" borderId="49" xfId="5" applyNumberFormat="1" applyFont="1" applyFill="1" applyBorder="1" applyAlignment="1">
      <alignment horizontal="center" vertical="center"/>
    </xf>
    <xf numFmtId="177" fontId="27" fillId="7" borderId="66" xfId="5" applyNumberFormat="1" applyFont="1" applyFill="1" applyBorder="1" applyAlignment="1">
      <alignment horizontal="center" vertical="center"/>
    </xf>
    <xf numFmtId="177" fontId="27" fillId="7" borderId="40" xfId="5" applyNumberFormat="1" applyFont="1" applyFill="1" applyBorder="1" applyAlignment="1">
      <alignment horizontal="center" vertical="center"/>
    </xf>
    <xf numFmtId="177" fontId="27" fillId="7" borderId="42" xfId="5" applyNumberFormat="1" applyFont="1" applyFill="1" applyBorder="1" applyAlignment="1">
      <alignment horizontal="center" vertical="center"/>
    </xf>
    <xf numFmtId="177" fontId="75" fillId="7" borderId="66" xfId="5" applyNumberFormat="1" applyFont="1" applyFill="1" applyBorder="1" applyAlignment="1">
      <alignment horizontal="center" vertical="center"/>
    </xf>
    <xf numFmtId="177" fontId="75" fillId="7" borderId="42" xfId="5" applyNumberFormat="1" applyFont="1" applyFill="1" applyBorder="1" applyAlignment="1">
      <alignment horizontal="center" vertical="center"/>
    </xf>
    <xf numFmtId="3" fontId="54" fillId="6" borderId="18" xfId="5" applyNumberFormat="1" applyFont="1" applyFill="1" applyBorder="1" applyAlignment="1">
      <alignment horizontal="center" vertical="center"/>
    </xf>
    <xf numFmtId="3" fontId="54" fillId="6" borderId="90" xfId="5" applyNumberFormat="1" applyFont="1" applyFill="1" applyBorder="1" applyAlignment="1">
      <alignment horizontal="center" vertical="center"/>
    </xf>
    <xf numFmtId="3" fontId="54" fillId="6" borderId="73" xfId="5" applyNumberFormat="1" applyFont="1" applyFill="1" applyBorder="1" applyAlignment="1">
      <alignment vertical="center"/>
    </xf>
    <xf numFmtId="0" fontId="54" fillId="6" borderId="18" xfId="5" applyFont="1" applyFill="1" applyBorder="1" applyAlignment="1">
      <alignment horizontal="center" vertical="center"/>
    </xf>
    <xf numFmtId="0" fontId="54" fillId="6" borderId="19" xfId="5" applyFont="1" applyFill="1" applyBorder="1" applyAlignment="1">
      <alignment horizontal="center" vertical="center"/>
    </xf>
    <xf numFmtId="0" fontId="54" fillId="6" borderId="91" xfId="5" applyFont="1" applyFill="1" applyBorder="1" applyAlignment="1">
      <alignment horizontal="center" vertical="center"/>
    </xf>
    <xf numFmtId="0" fontId="54" fillId="6" borderId="92" xfId="5" applyFont="1" applyFill="1" applyBorder="1" applyAlignment="1">
      <alignment horizontal="center" vertical="center"/>
    </xf>
    <xf numFmtId="180" fontId="54" fillId="0" borderId="14" xfId="5" applyNumberFormat="1" applyFont="1" applyFill="1" applyBorder="1" applyAlignment="1">
      <alignment horizontal="center" vertical="center"/>
    </xf>
    <xf numFmtId="0" fontId="54" fillId="0" borderId="93" xfId="5" applyFont="1" applyBorder="1" applyAlignment="1">
      <alignment horizontal="center" vertical="center"/>
    </xf>
    <xf numFmtId="0" fontId="54" fillId="6" borderId="94" xfId="5" applyFont="1" applyFill="1" applyBorder="1" applyAlignment="1">
      <alignment horizontal="center" vertical="center"/>
    </xf>
    <xf numFmtId="0" fontId="54" fillId="0" borderId="94" xfId="5" applyFont="1" applyBorder="1" applyAlignment="1">
      <alignment horizontal="center" vertical="center"/>
    </xf>
    <xf numFmtId="0" fontId="54" fillId="0" borderId="95" xfId="5" applyFont="1" applyBorder="1" applyAlignment="1">
      <alignment horizontal="center" vertical="center"/>
    </xf>
    <xf numFmtId="176" fontId="27" fillId="0" borderId="0" xfId="5" applyNumberFormat="1" applyFont="1" applyAlignment="1">
      <alignment vertical="center"/>
    </xf>
    <xf numFmtId="177" fontId="26" fillId="6" borderId="13" xfId="5" applyNumberFormat="1" applyFont="1" applyFill="1" applyBorder="1" applyAlignment="1">
      <alignment horizontal="center" vertical="center" wrapText="1"/>
    </xf>
    <xf numFmtId="177" fontId="26" fillId="6" borderId="14" xfId="5" applyNumberFormat="1" applyFont="1" applyFill="1" applyBorder="1" applyAlignment="1">
      <alignment horizontal="center" vertical="center" wrapText="1"/>
    </xf>
    <xf numFmtId="177" fontId="26" fillId="6" borderId="15" xfId="5" applyNumberFormat="1" applyFont="1" applyFill="1" applyBorder="1" applyAlignment="1">
      <alignment horizontal="center" vertical="center" wrapText="1"/>
    </xf>
    <xf numFmtId="0" fontId="56" fillId="14" borderId="11" xfId="5" applyNumberFormat="1" applyFont="1" applyFill="1" applyBorder="1" applyAlignment="1">
      <alignment horizontal="center" vertical="center"/>
    </xf>
    <xf numFmtId="9" fontId="27" fillId="14" borderId="3" xfId="2" applyFont="1" applyFill="1" applyBorder="1" applyAlignment="1">
      <alignment horizontal="center" vertical="center"/>
    </xf>
    <xf numFmtId="9" fontId="27" fillId="14" borderId="56" xfId="2" applyFont="1" applyFill="1" applyBorder="1" applyAlignment="1">
      <alignment horizontal="center" vertical="center"/>
    </xf>
    <xf numFmtId="0" fontId="58" fillId="0" borderId="0" xfId="5" applyNumberFormat="1" applyFont="1" applyFill="1" applyBorder="1" applyAlignment="1">
      <alignment horizontal="left"/>
    </xf>
    <xf numFmtId="0" fontId="58" fillId="0" borderId="0" xfId="5" applyNumberFormat="1" applyFont="1" applyFill="1" applyBorder="1" applyAlignment="1">
      <alignment horizontal="left" vertical="center"/>
    </xf>
    <xf numFmtId="0" fontId="23" fillId="0" borderId="0" xfId="5" applyBorder="1" applyAlignment="1"/>
    <xf numFmtId="0" fontId="56" fillId="0" borderId="0" xfId="5" applyFont="1" applyFill="1" applyBorder="1" applyAlignment="1">
      <alignment vertical="center"/>
    </xf>
    <xf numFmtId="0" fontId="27" fillId="0" borderId="0" xfId="5" applyNumberFormat="1" applyFont="1" applyAlignment="1">
      <alignment horizontal="left" vertical="center"/>
    </xf>
    <xf numFmtId="0" fontId="25" fillId="0" borderId="0" xfId="5" applyFont="1" applyFill="1" applyBorder="1" applyAlignment="1">
      <alignment horizontal="center" vertical="center"/>
    </xf>
    <xf numFmtId="0" fontId="58" fillId="0" borderId="54" xfId="5" applyNumberFormat="1" applyFont="1" applyFill="1" applyBorder="1" applyAlignment="1">
      <alignment horizontal="left"/>
    </xf>
    <xf numFmtId="177" fontId="27" fillId="6" borderId="19" xfId="7" applyNumberFormat="1" applyFont="1" applyFill="1" applyBorder="1" applyAlignment="1">
      <alignment horizontal="center" vertical="center" wrapText="1"/>
    </xf>
    <xf numFmtId="9" fontId="27" fillId="6" borderId="19" xfId="5" applyNumberFormat="1" applyFont="1" applyFill="1" applyBorder="1" applyAlignment="1">
      <alignment horizontal="center" vertical="center"/>
    </xf>
    <xf numFmtId="0" fontId="27" fillId="0" borderId="0" xfId="5" applyFont="1" applyBorder="1" applyAlignment="1">
      <alignment horizontal="left" vertical="center"/>
    </xf>
    <xf numFmtId="0" fontId="6" fillId="2" borderId="1" xfId="4" applyFont="1" applyFill="1" applyBorder="1" applyAlignment="1">
      <alignment horizontal="center" vertical="center"/>
    </xf>
    <xf numFmtId="0" fontId="12" fillId="0" borderId="0" xfId="3" applyFont="1" applyAlignment="1">
      <alignment horizontal="center" vertical="center"/>
    </xf>
    <xf numFmtId="0" fontId="14" fillId="0" borderId="2" xfId="3" applyFont="1" applyFill="1" applyBorder="1" applyAlignment="1">
      <alignment horizontal="center" vertical="center"/>
    </xf>
    <xf numFmtId="0" fontId="10" fillId="0" borderId="0" xfId="0" applyFont="1" applyAlignment="1">
      <alignment vertical="center" wrapText="1"/>
    </xf>
    <xf numFmtId="0" fontId="15" fillId="2" borderId="1" xfId="4" applyFont="1" applyFill="1" applyBorder="1" applyAlignment="1">
      <alignment horizontal="center" vertical="center"/>
    </xf>
    <xf numFmtId="0" fontId="10" fillId="0" borderId="0" xfId="0" applyFont="1" applyBorder="1" applyAlignment="1">
      <alignment vertical="center" wrapText="1"/>
    </xf>
    <xf numFmtId="0" fontId="61" fillId="0" borderId="51" xfId="5" applyFont="1" applyFill="1" applyBorder="1" applyAlignment="1">
      <alignment horizontal="center" vertical="center"/>
    </xf>
    <xf numFmtId="0" fontId="61" fillId="0" borderId="52" xfId="5" applyFont="1" applyFill="1" applyBorder="1" applyAlignment="1">
      <alignment horizontal="center" vertical="center"/>
    </xf>
    <xf numFmtId="0" fontId="61" fillId="0" borderId="57" xfId="5" applyFont="1" applyFill="1" applyBorder="1" applyAlignment="1">
      <alignment horizontal="center" vertical="center"/>
    </xf>
    <xf numFmtId="0" fontId="15" fillId="2" borderId="4" xfId="5" applyFont="1" applyFill="1" applyBorder="1" applyAlignment="1">
      <alignment horizontal="center" vertical="center"/>
    </xf>
    <xf numFmtId="0" fontId="25" fillId="4" borderId="16" xfId="5" applyFont="1" applyFill="1" applyBorder="1" applyAlignment="1">
      <alignment horizontal="center" vertical="center"/>
    </xf>
    <xf numFmtId="0" fontId="25" fillId="4" borderId="20" xfId="5" applyFont="1" applyFill="1" applyBorder="1" applyAlignment="1">
      <alignment horizontal="center" vertical="center"/>
    </xf>
    <xf numFmtId="0" fontId="25" fillId="4" borderId="17" xfId="5" applyFont="1" applyFill="1" applyBorder="1" applyAlignment="1">
      <alignment horizontal="center" vertical="center"/>
    </xf>
    <xf numFmtId="0" fontId="25" fillId="4" borderId="18" xfId="5" applyFont="1" applyFill="1" applyBorder="1" applyAlignment="1">
      <alignment horizontal="center" vertical="center"/>
    </xf>
    <xf numFmtId="0" fontId="25" fillId="4" borderId="19" xfId="5" applyFont="1" applyFill="1" applyBorder="1" applyAlignment="1">
      <alignment horizontal="center" vertical="center"/>
    </xf>
    <xf numFmtId="0" fontId="25" fillId="4" borderId="21" xfId="5" applyFont="1" applyFill="1" applyBorder="1" applyAlignment="1">
      <alignment horizontal="center" vertical="center"/>
    </xf>
    <xf numFmtId="0" fontId="61" fillId="12" borderId="22" xfId="5" applyFont="1" applyFill="1" applyBorder="1" applyAlignment="1">
      <alignment horizontal="center" vertical="center"/>
    </xf>
    <xf numFmtId="0" fontId="61" fillId="12" borderId="25" xfId="5" applyFont="1" applyFill="1" applyBorder="1" applyAlignment="1">
      <alignment horizontal="center" vertical="center"/>
    </xf>
    <xf numFmtId="0" fontId="61" fillId="12" borderId="23" xfId="5" applyFont="1" applyFill="1" applyBorder="1" applyAlignment="1">
      <alignment horizontal="center" vertical="center"/>
    </xf>
    <xf numFmtId="0" fontId="61" fillId="12" borderId="70" xfId="5" applyFont="1" applyFill="1" applyBorder="1" applyAlignment="1">
      <alignment horizontal="center" vertical="center"/>
    </xf>
    <xf numFmtId="0" fontId="61" fillId="12" borderId="58" xfId="5" applyFont="1" applyFill="1" applyBorder="1" applyAlignment="1">
      <alignment horizontal="center" vertical="center"/>
    </xf>
    <xf numFmtId="0" fontId="61" fillId="12" borderId="67" xfId="5" applyFont="1" applyFill="1" applyBorder="1" applyAlignment="1">
      <alignment horizontal="center" vertical="center"/>
    </xf>
    <xf numFmtId="0" fontId="61" fillId="0" borderId="31" xfId="5" applyFont="1" applyFill="1" applyBorder="1" applyAlignment="1">
      <alignment horizontal="center" vertical="center"/>
    </xf>
    <xf numFmtId="0" fontId="61" fillId="0" borderId="38" xfId="5" applyFont="1" applyFill="1" applyBorder="1" applyAlignment="1">
      <alignment horizontal="center" vertical="center"/>
    </xf>
    <xf numFmtId="0" fontId="61" fillId="0" borderId="56" xfId="5" applyFont="1" applyFill="1" applyBorder="1" applyAlignment="1">
      <alignment horizontal="center" vertical="center"/>
    </xf>
    <xf numFmtId="0" fontId="61" fillId="0" borderId="24" xfId="5" applyFont="1" applyBorder="1" applyAlignment="1">
      <alignment horizontal="center" vertical="center" wrapText="1"/>
    </xf>
    <xf numFmtId="0" fontId="61" fillId="0" borderId="23" xfId="5" applyFont="1" applyBorder="1" applyAlignment="1">
      <alignment horizontal="center" vertical="center"/>
    </xf>
    <xf numFmtId="0" fontId="61" fillId="0" borderId="69" xfId="5" applyFont="1" applyBorder="1" applyAlignment="1">
      <alignment horizontal="center" vertical="center"/>
    </xf>
    <xf numFmtId="0" fontId="61" fillId="0" borderId="67" xfId="5" applyFont="1" applyBorder="1" applyAlignment="1">
      <alignment horizontal="center" vertical="center"/>
    </xf>
    <xf numFmtId="177" fontId="26" fillId="8" borderId="37" xfId="7" applyNumberFormat="1" applyFont="1" applyFill="1" applyBorder="1" applyAlignment="1">
      <alignment horizontal="center" vertical="center"/>
    </xf>
    <xf numFmtId="177" fontId="26" fillId="8" borderId="38" xfId="7" applyNumberFormat="1" applyFont="1" applyFill="1" applyBorder="1" applyAlignment="1">
      <alignment horizontal="center" vertical="center"/>
    </xf>
    <xf numFmtId="177" fontId="27" fillId="5" borderId="11" xfId="7" applyNumberFormat="1" applyFont="1" applyFill="1" applyBorder="1" applyAlignment="1">
      <alignment horizontal="center" vertical="center"/>
    </xf>
    <xf numFmtId="177" fontId="27" fillId="5" borderId="3" xfId="7" applyNumberFormat="1" applyFont="1" applyFill="1" applyBorder="1" applyAlignment="1">
      <alignment horizontal="center" vertical="center"/>
    </xf>
    <xf numFmtId="177" fontId="27" fillId="0" borderId="3" xfId="7" applyNumberFormat="1" applyFont="1" applyBorder="1" applyAlignment="1">
      <alignment horizontal="center" vertical="center"/>
    </xf>
    <xf numFmtId="177" fontId="27" fillId="0" borderId="12" xfId="7" applyNumberFormat="1" applyFont="1" applyBorder="1" applyAlignment="1">
      <alignment horizontal="center" vertical="center"/>
    </xf>
    <xf numFmtId="177" fontId="27" fillId="6" borderId="20" xfId="5" applyNumberFormat="1" applyFont="1" applyFill="1" applyBorder="1" applyAlignment="1">
      <alignment horizontal="center" vertical="center"/>
    </xf>
    <xf numFmtId="177" fontId="27" fillId="6" borderId="17" xfId="5" applyNumberFormat="1" applyFont="1" applyFill="1" applyBorder="1" applyAlignment="1">
      <alignment horizontal="center" vertical="center"/>
    </xf>
    <xf numFmtId="9" fontId="27" fillId="6" borderId="16" xfId="5" applyNumberFormat="1" applyFont="1" applyFill="1" applyBorder="1" applyAlignment="1">
      <alignment horizontal="center" vertical="center"/>
    </xf>
    <xf numFmtId="9" fontId="27" fillId="6" borderId="17" xfId="5" applyNumberFormat="1" applyFont="1" applyFill="1" applyBorder="1" applyAlignment="1">
      <alignment horizontal="center" vertical="center"/>
    </xf>
    <xf numFmtId="177" fontId="26" fillId="8" borderId="16" xfId="7" applyNumberFormat="1" applyFont="1" applyFill="1" applyBorder="1" applyAlignment="1">
      <alignment horizontal="center" vertical="center"/>
    </xf>
    <xf numFmtId="177" fontId="26" fillId="8" borderId="20" xfId="7" applyNumberFormat="1" applyFont="1" applyFill="1" applyBorder="1" applyAlignment="1">
      <alignment horizontal="center" vertical="center"/>
    </xf>
    <xf numFmtId="177" fontId="27" fillId="5" borderId="47" xfId="7" applyNumberFormat="1" applyFont="1" applyFill="1" applyBorder="1" applyAlignment="1">
      <alignment horizontal="center" vertical="center"/>
    </xf>
    <xf numFmtId="177" fontId="27" fillId="5" borderId="18" xfId="7" applyNumberFormat="1" applyFont="1" applyFill="1" applyBorder="1" applyAlignment="1">
      <alignment horizontal="center" vertical="center"/>
    </xf>
    <xf numFmtId="177" fontId="27" fillId="0" borderId="18" xfId="7" applyNumberFormat="1" applyFont="1" applyBorder="1" applyAlignment="1">
      <alignment horizontal="center" vertical="center"/>
    </xf>
    <xf numFmtId="177" fontId="27" fillId="0" borderId="44" xfId="7" applyNumberFormat="1" applyFont="1" applyBorder="1" applyAlignment="1">
      <alignment horizontal="center" vertical="center"/>
    </xf>
    <xf numFmtId="177" fontId="27" fillId="6" borderId="47" xfId="5" applyNumberFormat="1" applyFont="1" applyFill="1" applyBorder="1" applyAlignment="1">
      <alignment horizontal="center" vertical="center"/>
    </xf>
    <xf numFmtId="177" fontId="27" fillId="6" borderId="18" xfId="5" applyNumberFormat="1" applyFont="1" applyFill="1" applyBorder="1" applyAlignment="1">
      <alignment horizontal="center" vertical="center"/>
    </xf>
    <xf numFmtId="0" fontId="27" fillId="6" borderId="16" xfId="5" applyFont="1" applyFill="1" applyBorder="1" applyAlignment="1">
      <alignment horizontal="center" vertical="center"/>
    </xf>
    <xf numFmtId="0" fontId="27" fillId="6" borderId="20" xfId="5" applyFont="1" applyFill="1" applyBorder="1" applyAlignment="1">
      <alignment horizontal="center" vertical="center"/>
    </xf>
    <xf numFmtId="0" fontId="27" fillId="6" borderId="47" xfId="5" applyFont="1" applyFill="1" applyBorder="1" applyAlignment="1">
      <alignment horizontal="center" vertical="center"/>
    </xf>
    <xf numFmtId="0" fontId="27" fillId="6" borderId="18" xfId="5" applyFont="1" applyFill="1" applyBorder="1" applyAlignment="1">
      <alignment horizontal="center" vertical="center"/>
    </xf>
    <xf numFmtId="0" fontId="27" fillId="6" borderId="44" xfId="5" applyFont="1" applyFill="1" applyBorder="1" applyAlignment="1">
      <alignment horizontal="center" vertical="center"/>
    </xf>
    <xf numFmtId="0" fontId="27" fillId="6" borderId="21" xfId="5" applyFont="1" applyFill="1" applyBorder="1" applyAlignment="1">
      <alignment horizontal="center" vertical="center"/>
    </xf>
    <xf numFmtId="0" fontId="27" fillId="6" borderId="22" xfId="5" applyFont="1" applyFill="1" applyBorder="1" applyAlignment="1">
      <alignment horizontal="center" vertical="center"/>
    </xf>
    <xf numFmtId="0" fontId="27" fillId="6" borderId="25" xfId="5" applyFont="1" applyFill="1" applyBorder="1" applyAlignment="1">
      <alignment horizontal="center" vertical="center"/>
    </xf>
    <xf numFmtId="0" fontId="27" fillId="6" borderId="27" xfId="5" applyFont="1" applyFill="1" applyBorder="1" applyAlignment="1">
      <alignment horizontal="center" vertical="center"/>
    </xf>
    <xf numFmtId="0" fontId="27" fillId="6" borderId="0" xfId="5" applyFont="1" applyFill="1" applyBorder="1" applyAlignment="1">
      <alignment horizontal="center" vertical="center"/>
    </xf>
    <xf numFmtId="177" fontId="27" fillId="0" borderId="63" xfId="6" applyNumberFormat="1" applyFont="1" applyBorder="1" applyAlignment="1">
      <alignment horizontal="center" vertical="center"/>
    </xf>
    <xf numFmtId="177" fontId="27" fillId="0" borderId="40" xfId="6" applyNumberFormat="1" applyFont="1" applyBorder="1" applyAlignment="1">
      <alignment horizontal="center" vertical="center"/>
    </xf>
    <xf numFmtId="177" fontId="27" fillId="0" borderId="41" xfId="6" applyNumberFormat="1" applyFont="1" applyBorder="1" applyAlignment="1">
      <alignment horizontal="center" vertical="center"/>
    </xf>
    <xf numFmtId="0" fontId="27" fillId="0" borderId="25" xfId="5" applyFont="1" applyBorder="1" applyAlignment="1">
      <alignment horizontal="center" vertical="center"/>
    </xf>
    <xf numFmtId="0" fontId="27" fillId="0" borderId="26" xfId="5" applyFont="1" applyBorder="1" applyAlignment="1">
      <alignment horizontal="center" vertical="center"/>
    </xf>
    <xf numFmtId="0" fontId="27" fillId="0" borderId="0" xfId="5" applyFont="1" applyBorder="1" applyAlignment="1">
      <alignment horizontal="center" vertical="center"/>
    </xf>
    <xf numFmtId="0" fontId="27" fillId="0" borderId="30" xfId="5" applyFont="1" applyBorder="1" applyAlignment="1">
      <alignment horizontal="center" vertical="center"/>
    </xf>
    <xf numFmtId="0" fontId="27" fillId="0" borderId="36" xfId="5" applyFont="1" applyBorder="1" applyAlignment="1">
      <alignment horizontal="center" vertical="center"/>
    </xf>
    <xf numFmtId="0" fontId="27" fillId="0" borderId="39" xfId="5" applyFont="1" applyBorder="1" applyAlignment="1">
      <alignment horizontal="center" vertical="center"/>
    </xf>
    <xf numFmtId="177" fontId="27" fillId="0" borderId="72" xfId="6" applyNumberFormat="1" applyFont="1" applyBorder="1" applyAlignment="1">
      <alignment horizontal="center" vertical="center"/>
    </xf>
    <xf numFmtId="177" fontId="27" fillId="0" borderId="66" xfId="6" applyNumberFormat="1" applyFont="1" applyBorder="1" applyAlignment="1">
      <alignment horizontal="center" vertical="center"/>
    </xf>
    <xf numFmtId="177" fontId="27" fillId="0" borderId="80" xfId="6" applyNumberFormat="1" applyFont="1" applyBorder="1" applyAlignment="1">
      <alignment horizontal="center" vertical="center"/>
    </xf>
    <xf numFmtId="0" fontId="27" fillId="6" borderId="37" xfId="5" applyFont="1" applyFill="1" applyBorder="1" applyAlignment="1">
      <alignment horizontal="center" vertical="center"/>
    </xf>
    <xf numFmtId="0" fontId="27" fillId="6" borderId="38" xfId="5" applyFont="1" applyFill="1" applyBorder="1" applyAlignment="1">
      <alignment horizontal="center" vertical="center"/>
    </xf>
    <xf numFmtId="0" fontId="27" fillId="7" borderId="22" xfId="5" applyFont="1" applyFill="1" applyBorder="1" applyAlignment="1">
      <alignment horizontal="center" vertical="center" wrapText="1"/>
    </xf>
    <xf numFmtId="0" fontId="27" fillId="7" borderId="25" xfId="5" applyFont="1" applyFill="1" applyBorder="1" applyAlignment="1">
      <alignment horizontal="center" vertical="center" wrapText="1"/>
    </xf>
    <xf numFmtId="0" fontId="27" fillId="7" borderId="26" xfId="5" applyFont="1" applyFill="1" applyBorder="1" applyAlignment="1">
      <alignment horizontal="center" vertical="center" wrapText="1"/>
    </xf>
    <xf numFmtId="0" fontId="27" fillId="7" borderId="33" xfId="5" applyFont="1" applyFill="1" applyBorder="1" applyAlignment="1">
      <alignment horizontal="center" vertical="center"/>
    </xf>
    <xf numFmtId="0" fontId="27" fillId="7" borderId="36" xfId="5" applyFont="1" applyFill="1" applyBorder="1" applyAlignment="1">
      <alignment horizontal="center" vertical="center"/>
    </xf>
    <xf numFmtId="0" fontId="27" fillId="7" borderId="39" xfId="5" applyFont="1" applyFill="1" applyBorder="1" applyAlignment="1">
      <alignment horizontal="center" vertical="center"/>
    </xf>
    <xf numFmtId="0" fontId="27" fillId="6" borderId="11" xfId="5" applyFont="1" applyFill="1" applyBorder="1" applyAlignment="1">
      <alignment horizontal="center" vertical="center"/>
    </xf>
    <xf numFmtId="0" fontId="27" fillId="6" borderId="31" xfId="5" applyFont="1" applyFill="1" applyBorder="1" applyAlignment="1">
      <alignment horizontal="center" vertical="center"/>
    </xf>
    <xf numFmtId="0" fontId="27" fillId="6" borderId="13" xfId="5" applyFont="1" applyFill="1" applyBorder="1" applyAlignment="1">
      <alignment horizontal="center" vertical="center"/>
    </xf>
    <xf numFmtId="0" fontId="27" fillId="6" borderId="51" xfId="5" applyFont="1" applyFill="1" applyBorder="1" applyAlignment="1">
      <alignment horizontal="center" vertical="center"/>
    </xf>
    <xf numFmtId="0" fontId="27" fillId="7" borderId="63" xfId="5" applyFont="1" applyFill="1" applyBorder="1" applyAlignment="1">
      <alignment horizontal="center" vertical="center"/>
    </xf>
    <xf numFmtId="0" fontId="27" fillId="7" borderId="40" xfId="5" applyFont="1" applyFill="1" applyBorder="1" applyAlignment="1">
      <alignment horizontal="center" vertical="center"/>
    </xf>
    <xf numFmtId="0" fontId="27" fillId="7" borderId="41" xfId="5" applyFont="1" applyFill="1" applyBorder="1" applyAlignment="1">
      <alignment horizontal="center" vertical="center"/>
    </xf>
    <xf numFmtId="0" fontId="34" fillId="7" borderId="23" xfId="5" applyFont="1" applyFill="1" applyBorder="1" applyAlignment="1">
      <alignment horizontal="center" vertical="center"/>
    </xf>
    <xf numFmtId="0" fontId="34" fillId="7" borderId="40" xfId="5" applyFont="1" applyFill="1" applyBorder="1" applyAlignment="1">
      <alignment horizontal="center" vertical="center"/>
    </xf>
    <xf numFmtId="0" fontId="34" fillId="7" borderId="41" xfId="5" applyFont="1" applyFill="1" applyBorder="1" applyAlignment="1">
      <alignment horizontal="center" vertical="center"/>
    </xf>
    <xf numFmtId="0" fontId="34" fillId="7" borderId="67" xfId="5" applyFont="1" applyFill="1" applyBorder="1" applyAlignment="1">
      <alignment horizontal="center" vertical="center"/>
    </xf>
    <xf numFmtId="0" fontId="34" fillId="7" borderId="42" xfId="5" applyFont="1" applyFill="1" applyBorder="1" applyAlignment="1">
      <alignment horizontal="center" vertical="center"/>
    </xf>
    <xf numFmtId="0" fontId="34" fillId="7" borderId="43" xfId="5" applyFont="1" applyFill="1" applyBorder="1" applyAlignment="1">
      <alignment horizontal="center" vertical="center"/>
    </xf>
    <xf numFmtId="0" fontId="27" fillId="7" borderId="65" xfId="5" applyFont="1" applyFill="1" applyBorder="1" applyAlignment="1">
      <alignment horizontal="center" vertical="center"/>
    </xf>
    <xf numFmtId="0" fontId="27" fillId="7" borderId="42" xfId="5" applyFont="1" applyFill="1" applyBorder="1" applyAlignment="1">
      <alignment horizontal="center" vertical="center"/>
    </xf>
    <xf numFmtId="0" fontId="27" fillId="7" borderId="43" xfId="5" applyFont="1" applyFill="1" applyBorder="1" applyAlignment="1">
      <alignment horizontal="center" vertical="center"/>
    </xf>
    <xf numFmtId="177" fontId="26" fillId="6" borderId="16" xfId="7" applyNumberFormat="1" applyFont="1" applyFill="1" applyBorder="1" applyAlignment="1">
      <alignment horizontal="center" vertical="center" wrapText="1"/>
    </xf>
    <xf numFmtId="177" fontId="26" fillId="6" borderId="20" xfId="7" applyNumberFormat="1" applyFont="1" applyFill="1" applyBorder="1" applyAlignment="1">
      <alignment horizontal="center" vertical="center" wrapText="1"/>
    </xf>
    <xf numFmtId="177" fontId="26" fillId="6" borderId="21" xfId="7" applyNumberFormat="1" applyFont="1" applyFill="1" applyBorder="1" applyAlignment="1">
      <alignment horizontal="center" vertical="center" wrapText="1"/>
    </xf>
    <xf numFmtId="177" fontId="27" fillId="6" borderId="20" xfId="7" applyNumberFormat="1" applyFont="1" applyFill="1" applyBorder="1" applyAlignment="1">
      <alignment horizontal="center" vertical="center" wrapText="1"/>
    </xf>
    <xf numFmtId="177" fontId="27" fillId="6" borderId="17" xfId="7" applyNumberFormat="1" applyFont="1" applyFill="1" applyBorder="1" applyAlignment="1">
      <alignment horizontal="center" vertical="center" wrapText="1"/>
    </xf>
    <xf numFmtId="177" fontId="27" fillId="6" borderId="18" xfId="7" applyNumberFormat="1" applyFont="1" applyFill="1" applyBorder="1" applyAlignment="1">
      <alignment horizontal="center" vertical="center" wrapText="1"/>
    </xf>
    <xf numFmtId="177" fontId="27" fillId="6" borderId="19" xfId="7" applyNumberFormat="1" applyFont="1" applyFill="1" applyBorder="1" applyAlignment="1">
      <alignment horizontal="center" vertical="center" wrapText="1"/>
    </xf>
    <xf numFmtId="9" fontId="27" fillId="6" borderId="20" xfId="5" applyNumberFormat="1" applyFont="1" applyFill="1" applyBorder="1" applyAlignment="1">
      <alignment horizontal="center" vertical="center"/>
    </xf>
    <xf numFmtId="9" fontId="27" fillId="6" borderId="21" xfId="5" applyNumberFormat="1" applyFont="1" applyFill="1" applyBorder="1" applyAlignment="1">
      <alignment horizontal="center" vertical="center"/>
    </xf>
    <xf numFmtId="177" fontId="26" fillId="8" borderId="56" xfId="7" applyNumberFormat="1" applyFont="1" applyFill="1" applyBorder="1" applyAlignment="1">
      <alignment horizontal="center" vertical="center"/>
    </xf>
    <xf numFmtId="177" fontId="27" fillId="5" borderId="63" xfId="7" applyNumberFormat="1" applyFont="1" applyFill="1" applyBorder="1" applyAlignment="1">
      <alignment horizontal="center" vertical="center"/>
    </xf>
    <xf numFmtId="177" fontId="27" fillId="5" borderId="50" xfId="7" applyNumberFormat="1" applyFont="1" applyFill="1" applyBorder="1" applyAlignment="1">
      <alignment horizontal="center" vertical="center"/>
    </xf>
    <xf numFmtId="177" fontId="27" fillId="5" borderId="40" xfId="7" applyNumberFormat="1" applyFont="1" applyFill="1" applyBorder="1" applyAlignment="1">
      <alignment horizontal="center" vertical="center"/>
    </xf>
    <xf numFmtId="177" fontId="27" fillId="5" borderId="49" xfId="7" applyNumberFormat="1" applyFont="1" applyFill="1" applyBorder="1" applyAlignment="1">
      <alignment horizontal="center" vertical="center"/>
    </xf>
    <xf numFmtId="177" fontId="27" fillId="0" borderId="40" xfId="7" applyNumberFormat="1" applyFont="1" applyBorder="1" applyAlignment="1">
      <alignment horizontal="center" vertical="center"/>
    </xf>
    <xf numFmtId="177" fontId="27" fillId="0" borderId="49" xfId="7" applyNumberFormat="1" applyFont="1" applyBorder="1" applyAlignment="1">
      <alignment horizontal="center" vertical="center"/>
    </xf>
    <xf numFmtId="177" fontId="27" fillId="0" borderId="41" xfId="7" applyNumberFormat="1" applyFont="1" applyBorder="1" applyAlignment="1">
      <alignment horizontal="center" vertical="center"/>
    </xf>
    <xf numFmtId="177" fontId="27" fillId="0" borderId="48" xfId="7" applyNumberFormat="1" applyFont="1" applyBorder="1" applyAlignment="1">
      <alignment horizontal="center" vertical="center"/>
    </xf>
    <xf numFmtId="177" fontId="26" fillId="8" borderId="33" xfId="7" applyNumberFormat="1" applyFont="1" applyFill="1" applyBorder="1" applyAlignment="1">
      <alignment horizontal="center" vertical="center"/>
    </xf>
    <xf numFmtId="177" fontId="26" fillId="8" borderId="36" xfId="7" applyNumberFormat="1" applyFont="1" applyFill="1" applyBorder="1" applyAlignment="1">
      <alignment horizontal="center" vertical="center"/>
    </xf>
    <xf numFmtId="177" fontId="27" fillId="5" borderId="13" xfId="7" applyNumberFormat="1" applyFont="1" applyFill="1" applyBorder="1" applyAlignment="1">
      <alignment horizontal="center" vertical="center"/>
    </xf>
    <xf numFmtId="177" fontId="27" fillId="5" borderId="14" xfId="7" applyNumberFormat="1" applyFont="1" applyFill="1" applyBorder="1" applyAlignment="1">
      <alignment horizontal="center" vertical="center"/>
    </xf>
    <xf numFmtId="177" fontId="27" fillId="0" borderId="14" xfId="7" applyNumberFormat="1" applyFont="1" applyBorder="1" applyAlignment="1">
      <alignment horizontal="center" vertical="center"/>
    </xf>
    <xf numFmtId="177" fontId="27" fillId="0" borderId="15" xfId="7" applyNumberFormat="1" applyFont="1" applyBorder="1" applyAlignment="1">
      <alignment horizontal="center" vertical="center"/>
    </xf>
    <xf numFmtId="177" fontId="27" fillId="5" borderId="31" xfId="5" applyNumberFormat="1" applyFont="1" applyFill="1" applyBorder="1" applyAlignment="1">
      <alignment horizontal="center" vertical="center"/>
    </xf>
    <xf numFmtId="177" fontId="27" fillId="8" borderId="50" xfId="5" applyNumberFormat="1" applyFont="1" applyFill="1" applyBorder="1" applyAlignment="1">
      <alignment horizontal="center" vertical="center"/>
    </xf>
    <xf numFmtId="177" fontId="27" fillId="8" borderId="48" xfId="5" applyNumberFormat="1" applyFont="1" applyFill="1" applyBorder="1" applyAlignment="1">
      <alignment horizontal="center" vertical="center"/>
    </xf>
    <xf numFmtId="177" fontId="27" fillId="5" borderId="50" xfId="5" applyNumberFormat="1" applyFont="1" applyFill="1" applyBorder="1" applyAlignment="1">
      <alignment horizontal="center" vertical="center"/>
    </xf>
    <xf numFmtId="177" fontId="27" fillId="5" borderId="13" xfId="5" applyNumberFormat="1" applyFont="1" applyFill="1" applyBorder="1" applyAlignment="1">
      <alignment horizontal="center" vertical="center"/>
    </xf>
    <xf numFmtId="177" fontId="27" fillId="5" borderId="49" xfId="5" applyNumberFormat="1" applyFont="1" applyFill="1" applyBorder="1" applyAlignment="1">
      <alignment horizontal="center" vertical="center"/>
    </xf>
    <xf numFmtId="177" fontId="27" fillId="5" borderId="14" xfId="5" applyNumberFormat="1" applyFont="1" applyFill="1" applyBorder="1" applyAlignment="1">
      <alignment horizontal="center" vertical="center"/>
    </xf>
    <xf numFmtId="178" fontId="27" fillId="5" borderId="3" xfId="5" applyNumberFormat="1" applyFont="1" applyFill="1" applyBorder="1" applyAlignment="1">
      <alignment horizontal="center" vertical="center"/>
    </xf>
    <xf numFmtId="178" fontId="27" fillId="5" borderId="14" xfId="5" applyNumberFormat="1" applyFont="1" applyFill="1" applyBorder="1" applyAlignment="1">
      <alignment horizontal="center" vertical="center"/>
    </xf>
    <xf numFmtId="177" fontId="27" fillId="5" borderId="35" xfId="5" applyNumberFormat="1" applyFont="1" applyFill="1" applyBorder="1" applyAlignment="1">
      <alignment horizontal="center" vertical="center"/>
    </xf>
    <xf numFmtId="177" fontId="27" fillId="5" borderId="51" xfId="5" applyNumberFormat="1" applyFont="1" applyFill="1" applyBorder="1" applyAlignment="1">
      <alignment horizontal="center" vertical="center"/>
    </xf>
    <xf numFmtId="177" fontId="26" fillId="8" borderId="11" xfId="5" applyNumberFormat="1" applyFont="1" applyFill="1" applyBorder="1" applyAlignment="1">
      <alignment horizontal="center" vertical="center"/>
    </xf>
    <xf numFmtId="177" fontId="26" fillId="8" borderId="12" xfId="5" applyNumberFormat="1" applyFont="1" applyFill="1" applyBorder="1" applyAlignment="1">
      <alignment horizontal="center" vertical="center"/>
    </xf>
    <xf numFmtId="177" fontId="27" fillId="5" borderId="11" xfId="5" applyNumberFormat="1" applyFont="1" applyFill="1" applyBorder="1" applyAlignment="1">
      <alignment horizontal="center" vertical="center"/>
    </xf>
    <xf numFmtId="177" fontId="27" fillId="5" borderId="3" xfId="5" applyNumberFormat="1" applyFont="1" applyFill="1" applyBorder="1" applyAlignment="1">
      <alignment horizontal="center" vertical="center"/>
    </xf>
    <xf numFmtId="178" fontId="27" fillId="5" borderId="31" xfId="5" applyNumberFormat="1" applyFont="1" applyFill="1" applyBorder="1" applyAlignment="1">
      <alignment horizontal="center" vertical="center"/>
    </xf>
    <xf numFmtId="177" fontId="27" fillId="8" borderId="11" xfId="5" applyNumberFormat="1" applyFont="1" applyFill="1" applyBorder="1" applyAlignment="1">
      <alignment horizontal="center" vertical="center" wrapText="1"/>
    </xf>
    <xf numFmtId="177" fontId="27" fillId="8" borderId="12" xfId="5" applyNumberFormat="1" applyFont="1" applyFill="1" applyBorder="1" applyAlignment="1">
      <alignment horizontal="center" vertical="center"/>
    </xf>
    <xf numFmtId="177" fontId="26" fillId="8" borderId="50" xfId="5" applyNumberFormat="1" applyFont="1" applyFill="1" applyBorder="1" applyAlignment="1">
      <alignment horizontal="center" vertical="center"/>
    </xf>
    <xf numFmtId="177" fontId="26" fillId="8" borderId="48" xfId="5" applyNumberFormat="1" applyFont="1" applyFill="1" applyBorder="1" applyAlignment="1">
      <alignment horizontal="center" vertical="center"/>
    </xf>
    <xf numFmtId="0" fontId="27" fillId="6" borderId="19" xfId="5" applyFont="1" applyFill="1" applyBorder="1" applyAlignment="1">
      <alignment horizontal="center" vertical="center"/>
    </xf>
    <xf numFmtId="0" fontId="29" fillId="6" borderId="33" xfId="5" applyFont="1" applyFill="1" applyBorder="1" applyAlignment="1">
      <alignment horizontal="center" vertical="center"/>
    </xf>
    <xf numFmtId="0" fontId="29" fillId="6" borderId="36" xfId="5" applyFont="1" applyFill="1" applyBorder="1" applyAlignment="1">
      <alignment horizontal="center" vertical="center"/>
    </xf>
    <xf numFmtId="0" fontId="29" fillId="6" borderId="37" xfId="5" applyFont="1" applyFill="1" applyBorder="1" applyAlignment="1">
      <alignment horizontal="center" vertical="center"/>
    </xf>
    <xf numFmtId="0" fontId="29" fillId="6" borderId="38" xfId="5" applyFont="1" applyFill="1" applyBorder="1" applyAlignment="1">
      <alignment horizontal="center" vertical="center"/>
    </xf>
    <xf numFmtId="0" fontId="27" fillId="0" borderId="29" xfId="5" applyFont="1" applyBorder="1" applyAlignment="1">
      <alignment horizontal="center" vertical="center" wrapText="1"/>
    </xf>
    <xf numFmtId="0" fontId="27" fillId="0" borderId="0" xfId="5" applyFont="1" applyBorder="1" applyAlignment="1">
      <alignment horizontal="center" vertical="center" wrapText="1"/>
    </xf>
    <xf numFmtId="0" fontId="27" fillId="0" borderId="30" xfId="5" applyFont="1" applyBorder="1" applyAlignment="1">
      <alignment horizontal="center" vertical="center" wrapText="1"/>
    </xf>
    <xf numFmtId="0" fontId="27" fillId="0" borderId="69" xfId="5" applyFont="1" applyBorder="1" applyAlignment="1">
      <alignment horizontal="center" vertical="center" wrapText="1"/>
    </xf>
    <xf numFmtId="0" fontId="27" fillId="0" borderId="58" xfId="5" applyFont="1" applyBorder="1" applyAlignment="1">
      <alignment horizontal="center" vertical="center" wrapText="1"/>
    </xf>
    <xf numFmtId="0" fontId="27" fillId="0" borderId="68" xfId="5" applyFont="1" applyBorder="1" applyAlignment="1">
      <alignment horizontal="center" vertical="center" wrapText="1"/>
    </xf>
    <xf numFmtId="177" fontId="27" fillId="6" borderId="16" xfId="5" applyNumberFormat="1" applyFont="1" applyFill="1" applyBorder="1" applyAlignment="1">
      <alignment horizontal="center" vertical="center" wrapText="1"/>
    </xf>
    <xf numFmtId="177" fontId="27" fillId="6" borderId="17" xfId="5" applyNumberFormat="1" applyFont="1" applyFill="1" applyBorder="1" applyAlignment="1">
      <alignment horizontal="center" vertical="center" wrapText="1"/>
    </xf>
    <xf numFmtId="9" fontId="27" fillId="6" borderId="19" xfId="5" applyNumberFormat="1" applyFont="1" applyFill="1" applyBorder="1" applyAlignment="1">
      <alignment horizontal="center" vertical="center"/>
    </xf>
    <xf numFmtId="0" fontId="27" fillId="5" borderId="35" xfId="5" applyFont="1" applyFill="1" applyBorder="1" applyAlignment="1">
      <alignment horizontal="left" vertical="center" wrapText="1" indent="4"/>
    </xf>
    <xf numFmtId="0" fontId="27" fillId="5" borderId="36" xfId="5" applyFont="1" applyFill="1" applyBorder="1" applyAlignment="1">
      <alignment horizontal="left" vertical="center" wrapText="1" indent="4"/>
    </xf>
    <xf numFmtId="0" fontId="27" fillId="5" borderId="34" xfId="5" applyFont="1" applyFill="1" applyBorder="1" applyAlignment="1">
      <alignment horizontal="left" vertical="center" wrapText="1" indent="4"/>
    </xf>
    <xf numFmtId="0" fontId="27" fillId="5" borderId="24" xfId="5" applyFont="1" applyFill="1" applyBorder="1" applyAlignment="1">
      <alignment horizontal="left" vertical="center" wrapText="1" indent="1"/>
    </xf>
    <xf numFmtId="0" fontId="27" fillId="5" borderId="25" xfId="5" applyFont="1" applyFill="1" applyBorder="1" applyAlignment="1">
      <alignment horizontal="left" vertical="center" wrapText="1" indent="1"/>
    </xf>
    <xf numFmtId="0" fontId="27" fillId="5" borderId="23" xfId="5" applyFont="1" applyFill="1" applyBorder="1" applyAlignment="1">
      <alignment horizontal="left" vertical="center" wrapText="1" indent="1"/>
    </xf>
    <xf numFmtId="0" fontId="27" fillId="5" borderId="51" xfId="5" applyFont="1" applyFill="1" applyBorder="1" applyAlignment="1">
      <alignment vertical="center"/>
    </xf>
    <xf numFmtId="0" fontId="27" fillId="5" borderId="52" xfId="5" applyFont="1" applyFill="1" applyBorder="1" applyAlignment="1">
      <alignment vertical="center"/>
    </xf>
    <xf numFmtId="0" fontId="27" fillId="5" borderId="46" xfId="5" applyFont="1" applyFill="1" applyBorder="1" applyAlignment="1">
      <alignment vertical="center"/>
    </xf>
    <xf numFmtId="0" fontId="29" fillId="6" borderId="45" xfId="5" applyFont="1" applyFill="1" applyBorder="1" applyAlignment="1">
      <alignment horizontal="center" vertical="center"/>
    </xf>
    <xf numFmtId="0" fontId="29" fillId="6" borderId="52" xfId="5" applyFont="1" applyFill="1" applyBorder="1" applyAlignment="1">
      <alignment horizontal="center" vertical="center"/>
    </xf>
    <xf numFmtId="0" fontId="27" fillId="5" borderId="29" xfId="5" applyFont="1" applyFill="1" applyBorder="1" applyAlignment="1">
      <alignment horizontal="left" vertical="center" wrapText="1" indent="1"/>
    </xf>
    <xf numFmtId="0" fontId="27" fillId="5" borderId="0" xfId="5" applyFont="1" applyFill="1" applyBorder="1" applyAlignment="1">
      <alignment horizontal="left" vertical="center" wrapText="1" indent="1"/>
    </xf>
    <xf numFmtId="0" fontId="27" fillId="5" borderId="28" xfId="5" applyFont="1" applyFill="1" applyBorder="1" applyAlignment="1">
      <alignment horizontal="left" vertical="center" wrapText="1" indent="1"/>
    </xf>
    <xf numFmtId="0" fontId="27" fillId="5" borderId="29" xfId="5" applyFont="1" applyFill="1" applyBorder="1" applyAlignment="1">
      <alignment horizontal="left" vertical="center" indent="1"/>
    </xf>
    <xf numFmtId="0" fontId="27" fillId="5" borderId="0" xfId="5" applyFont="1" applyFill="1" applyBorder="1" applyAlignment="1">
      <alignment horizontal="left" vertical="center" indent="1"/>
    </xf>
    <xf numFmtId="0" fontId="27" fillId="5" borderId="28" xfId="5" applyFont="1" applyFill="1" applyBorder="1" applyAlignment="1">
      <alignment horizontal="left" vertical="center" indent="1"/>
    </xf>
    <xf numFmtId="0" fontId="27" fillId="5" borderId="29" xfId="5" applyFont="1" applyFill="1" applyBorder="1" applyAlignment="1">
      <alignment horizontal="left" vertical="center" wrapText="1" indent="4"/>
    </xf>
    <xf numFmtId="0" fontId="27" fillId="5" borderId="0" xfId="5" applyFont="1" applyFill="1" applyBorder="1" applyAlignment="1">
      <alignment horizontal="left" vertical="center" wrapText="1" indent="4"/>
    </xf>
    <xf numFmtId="0" fontId="27" fillId="5" borderId="28" xfId="5" applyFont="1" applyFill="1" applyBorder="1" applyAlignment="1">
      <alignment horizontal="left" vertical="center" wrapText="1" indent="4"/>
    </xf>
    <xf numFmtId="0" fontId="27" fillId="6" borderId="17" xfId="5" applyFont="1" applyFill="1" applyBorder="1" applyAlignment="1">
      <alignment horizontal="center" vertical="center"/>
    </xf>
    <xf numFmtId="177" fontId="27" fillId="5" borderId="24" xfId="0" applyNumberFormat="1" applyFont="1" applyFill="1" applyBorder="1" applyAlignment="1">
      <alignment horizontal="center" vertical="center"/>
    </xf>
    <xf numFmtId="177" fontId="27" fillId="5" borderId="35" xfId="0" applyNumberFormat="1" applyFont="1" applyFill="1" applyBorder="1" applyAlignment="1">
      <alignment horizontal="center" vertical="center"/>
    </xf>
    <xf numFmtId="177" fontId="26" fillId="8" borderId="37" xfId="0" applyNumberFormat="1" applyFont="1" applyFill="1" applyBorder="1" applyAlignment="1">
      <alignment horizontal="center" vertical="center"/>
    </xf>
    <xf numFmtId="177" fontId="26" fillId="8" borderId="38" xfId="0" applyNumberFormat="1" applyFont="1" applyFill="1" applyBorder="1" applyAlignment="1">
      <alignment horizontal="center" vertical="center"/>
    </xf>
    <xf numFmtId="177" fontId="26" fillId="8" borderId="56" xfId="0" applyNumberFormat="1" applyFont="1" applyFill="1" applyBorder="1" applyAlignment="1">
      <alignment horizontal="center" vertical="center"/>
    </xf>
    <xf numFmtId="177" fontId="27" fillId="5" borderId="32" xfId="0" applyNumberFormat="1" applyFont="1" applyFill="1" applyBorder="1" applyAlignment="1">
      <alignment horizontal="center" vertical="center"/>
    </xf>
    <xf numFmtId="177" fontId="27" fillId="5" borderId="3" xfId="0" applyNumberFormat="1" applyFont="1" applyFill="1" applyBorder="1" applyAlignment="1">
      <alignment horizontal="center" vertical="center"/>
    </xf>
    <xf numFmtId="177" fontId="27" fillId="5" borderId="40" xfId="0" applyNumberFormat="1" applyFont="1" applyFill="1" applyBorder="1" applyAlignment="1">
      <alignment horizontal="center" vertical="center"/>
    </xf>
    <xf numFmtId="177" fontId="27" fillId="5" borderId="49" xfId="0" applyNumberFormat="1" applyFont="1" applyFill="1" applyBorder="1" applyAlignment="1">
      <alignment horizontal="center" vertical="center"/>
    </xf>
    <xf numFmtId="0" fontId="27" fillId="6" borderId="59" xfId="0" applyFont="1" applyFill="1" applyBorder="1" applyAlignment="1">
      <alignment horizontal="center" vertical="center"/>
    </xf>
    <xf numFmtId="0" fontId="27" fillId="6" borderId="60" xfId="0" applyFont="1" applyFill="1" applyBorder="1" applyAlignment="1">
      <alignment horizontal="center" vertical="center"/>
    </xf>
    <xf numFmtId="0" fontId="27" fillId="6" borderId="61" xfId="0" applyFont="1" applyFill="1" applyBorder="1" applyAlignment="1">
      <alignment horizontal="center" vertical="center"/>
    </xf>
    <xf numFmtId="0" fontId="27" fillId="6" borderId="62" xfId="0" applyFont="1" applyFill="1" applyBorder="1" applyAlignment="1">
      <alignment horizontal="center" vertical="center"/>
    </xf>
    <xf numFmtId="0" fontId="27" fillId="6" borderId="53" xfId="0" applyFont="1" applyFill="1" applyBorder="1" applyAlignment="1">
      <alignment horizontal="center" vertical="center"/>
    </xf>
    <xf numFmtId="0" fontId="27" fillId="6" borderId="54" xfId="0" applyFont="1" applyFill="1" applyBorder="1" applyAlignment="1">
      <alignment horizontal="center" vertical="center"/>
    </xf>
    <xf numFmtId="0" fontId="27" fillId="6" borderId="55" xfId="0" applyFont="1" applyFill="1" applyBorder="1" applyAlignment="1">
      <alignment horizontal="center" vertical="center"/>
    </xf>
    <xf numFmtId="0" fontId="27" fillId="0" borderId="33" xfId="0" applyFont="1" applyBorder="1" applyAlignment="1">
      <alignment horizontal="center" vertical="center"/>
    </xf>
    <xf numFmtId="0" fontId="27" fillId="0" borderId="36" xfId="0" applyFont="1" applyBorder="1" applyAlignment="1">
      <alignment horizontal="center" vertical="center"/>
    </xf>
    <xf numFmtId="0" fontId="27" fillId="0" borderId="39"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27" fillId="6" borderId="36"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41" fillId="2" borderId="4" xfId="0" applyFont="1" applyFill="1" applyBorder="1" applyAlignment="1">
      <alignment horizontal="center" vertical="center"/>
    </xf>
    <xf numFmtId="0" fontId="27" fillId="6" borderId="1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6" borderId="31" xfId="0" applyFont="1" applyFill="1" applyBorder="1" applyAlignment="1">
      <alignment horizontal="center" vertical="center" wrapText="1"/>
    </xf>
    <xf numFmtId="177" fontId="27" fillId="0" borderId="22" xfId="6" applyNumberFormat="1" applyFont="1" applyBorder="1" applyAlignment="1">
      <alignment horizontal="center" vertical="center"/>
    </xf>
    <xf numFmtId="177" fontId="27" fillId="0" borderId="25" xfId="6" applyNumberFormat="1" applyFont="1" applyBorder="1" applyAlignment="1">
      <alignment horizontal="center" vertical="center"/>
    </xf>
    <xf numFmtId="177" fontId="27" fillId="0" borderId="26" xfId="6" applyNumberFormat="1" applyFont="1" applyBorder="1" applyAlignment="1">
      <alignment horizontal="center" vertical="center"/>
    </xf>
    <xf numFmtId="177" fontId="27" fillId="0" borderId="27" xfId="6" applyNumberFormat="1" applyFont="1" applyBorder="1" applyAlignment="1">
      <alignment horizontal="center" vertical="center"/>
    </xf>
    <xf numFmtId="177" fontId="27" fillId="0" borderId="0" xfId="6" applyNumberFormat="1" applyFont="1" applyBorder="1" applyAlignment="1">
      <alignment horizontal="center" vertical="center"/>
    </xf>
    <xf numFmtId="177" fontId="27" fillId="0" borderId="30" xfId="6" applyNumberFormat="1" applyFont="1" applyBorder="1" applyAlignment="1">
      <alignment horizontal="center" vertical="center"/>
    </xf>
    <xf numFmtId="177" fontId="27" fillId="0" borderId="33" xfId="6" applyNumberFormat="1" applyFont="1" applyBorder="1" applyAlignment="1">
      <alignment horizontal="center" vertical="center"/>
    </xf>
    <xf numFmtId="177" fontId="27" fillId="0" borderId="36" xfId="6" applyNumberFormat="1" applyFont="1" applyBorder="1" applyAlignment="1">
      <alignment horizontal="center" vertical="center"/>
    </xf>
    <xf numFmtId="177" fontId="27" fillId="0" borderId="39" xfId="6" applyNumberFormat="1" applyFont="1" applyBorder="1" applyAlignment="1">
      <alignment horizontal="center" vertical="center"/>
    </xf>
    <xf numFmtId="0" fontId="27" fillId="8" borderId="11" xfId="0" applyFont="1" applyFill="1" applyBorder="1" applyAlignment="1">
      <alignment horizontal="center" vertical="center"/>
    </xf>
    <xf numFmtId="0" fontId="27" fillId="8" borderId="3" xfId="0" applyFont="1" applyFill="1" applyBorder="1" applyAlignment="1">
      <alignment horizontal="center" vertical="center"/>
    </xf>
    <xf numFmtId="0" fontId="27" fillId="8" borderId="31" xfId="0" applyFont="1" applyFill="1" applyBorder="1" applyAlignment="1">
      <alignment horizontal="center" vertical="center"/>
    </xf>
    <xf numFmtId="0" fontId="27" fillId="8" borderId="75" xfId="0" applyFont="1" applyFill="1" applyBorder="1" applyAlignment="1">
      <alignment horizontal="center" vertical="center"/>
    </xf>
    <xf numFmtId="0" fontId="27" fillId="8" borderId="76" xfId="0" applyFont="1" applyFill="1" applyBorder="1" applyAlignment="1">
      <alignment horizontal="center" vertical="center"/>
    </xf>
    <xf numFmtId="3" fontId="27" fillId="8" borderId="77" xfId="0" applyNumberFormat="1" applyFont="1" applyFill="1" applyBorder="1" applyAlignment="1">
      <alignment horizontal="center" vertical="center"/>
    </xf>
    <xf numFmtId="3" fontId="27" fillId="8" borderId="32" xfId="0" applyNumberFormat="1" applyFont="1" applyFill="1" applyBorder="1" applyAlignment="1">
      <alignment horizontal="center" vertical="center"/>
    </xf>
    <xf numFmtId="0" fontId="27" fillId="8" borderId="32" xfId="0" applyFont="1" applyFill="1" applyBorder="1" applyAlignment="1">
      <alignment horizontal="center" vertical="center"/>
    </xf>
    <xf numFmtId="0" fontId="27" fillId="8" borderId="56" xfId="0" applyFont="1" applyFill="1" applyBorder="1" applyAlignment="1">
      <alignment horizontal="center" vertical="center"/>
    </xf>
    <xf numFmtId="9" fontId="27" fillId="0" borderId="78" xfId="9" applyNumberFormat="1" applyFont="1" applyFill="1" applyBorder="1" applyAlignment="1">
      <alignment horizontal="center" vertical="center"/>
    </xf>
    <xf numFmtId="9" fontId="27" fillId="0" borderId="79" xfId="9" applyNumberFormat="1" applyFont="1" applyFill="1" applyBorder="1" applyAlignment="1">
      <alignment horizontal="center" vertical="center"/>
    </xf>
    <xf numFmtId="9" fontId="27" fillId="0" borderId="77" xfId="0" applyNumberFormat="1" applyFont="1" applyBorder="1" applyAlignment="1">
      <alignment horizontal="center" vertical="center"/>
    </xf>
    <xf numFmtId="9" fontId="27" fillId="0" borderId="32" xfId="0" applyNumberFormat="1" applyFont="1" applyBorder="1" applyAlignment="1">
      <alignment horizontal="center" vertical="center"/>
    </xf>
    <xf numFmtId="9" fontId="27" fillId="0" borderId="31" xfId="0" applyNumberFormat="1" applyFont="1" applyBorder="1" applyAlignment="1">
      <alignment horizontal="center" vertical="center"/>
    </xf>
    <xf numFmtId="9" fontId="27" fillId="0" borderId="56" xfId="0" applyNumberFormat="1" applyFont="1" applyBorder="1" applyAlignment="1">
      <alignment horizontal="center" vertical="center"/>
    </xf>
    <xf numFmtId="0" fontId="27" fillId="0" borderId="22"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9"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31" xfId="0" applyFont="1" applyFill="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51" xfId="0" applyFont="1" applyFill="1" applyBorder="1" applyAlignment="1">
      <alignment horizontal="center" vertical="center"/>
    </xf>
    <xf numFmtId="0" fontId="27" fillId="0" borderId="45" xfId="0" applyFont="1" applyBorder="1" applyAlignment="1">
      <alignment horizontal="center" vertical="center"/>
    </xf>
    <xf numFmtId="0" fontId="27" fillId="0" borderId="52" xfId="0" applyFont="1" applyBorder="1" applyAlignment="1">
      <alignment horizontal="center" vertical="center"/>
    </xf>
    <xf numFmtId="0" fontId="27" fillId="0" borderId="45"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7"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72" xfId="0" applyFont="1" applyFill="1" applyBorder="1" applyAlignment="1">
      <alignment horizontal="center" vertical="center"/>
    </xf>
    <xf numFmtId="0" fontId="27" fillId="6" borderId="50" xfId="0" applyFont="1" applyFill="1" applyBorder="1" applyAlignment="1">
      <alignment horizontal="center" vertical="center"/>
    </xf>
    <xf numFmtId="0" fontId="27" fillId="0" borderId="27" xfId="0" applyFont="1" applyBorder="1" applyAlignment="1">
      <alignment horizontal="center" vertical="center"/>
    </xf>
    <xf numFmtId="0" fontId="27" fillId="0" borderId="0" xfId="0" applyFont="1" applyBorder="1" applyAlignment="1">
      <alignment horizontal="center" vertical="center"/>
    </xf>
    <xf numFmtId="0" fontId="27" fillId="0" borderId="30" xfId="0" applyFont="1" applyBorder="1" applyAlignment="1">
      <alignment horizontal="center" vertical="center"/>
    </xf>
    <xf numFmtId="0" fontId="27" fillId="6" borderId="24" xfId="0" applyFont="1" applyFill="1" applyBorder="1" applyAlignment="1">
      <alignment horizontal="center" vertical="center"/>
    </xf>
    <xf numFmtId="0" fontId="27" fillId="6" borderId="25" xfId="0" applyFont="1" applyFill="1" applyBorder="1" applyAlignment="1">
      <alignment horizontal="center" vertical="center"/>
    </xf>
    <xf numFmtId="0" fontId="27" fillId="6" borderId="26" xfId="0" applyFont="1" applyFill="1" applyBorder="1" applyAlignment="1">
      <alignment horizontal="center" vertical="center"/>
    </xf>
    <xf numFmtId="0" fontId="27" fillId="6" borderId="35" xfId="0" applyFont="1" applyFill="1" applyBorder="1" applyAlignment="1">
      <alignment horizontal="center" vertical="center"/>
    </xf>
    <xf numFmtId="0" fontId="27" fillId="6" borderId="36" xfId="0" applyFont="1" applyFill="1" applyBorder="1" applyAlignment="1">
      <alignment horizontal="center" vertical="center"/>
    </xf>
    <xf numFmtId="0" fontId="27" fillId="6" borderId="39" xfId="0" applyFont="1" applyFill="1" applyBorder="1" applyAlignment="1">
      <alignment horizontal="center" vertical="center"/>
    </xf>
    <xf numFmtId="177" fontId="26" fillId="8" borderId="16" xfId="0" applyNumberFormat="1" applyFont="1" applyFill="1" applyBorder="1" applyAlignment="1">
      <alignment horizontal="center" vertical="center"/>
    </xf>
    <xf numFmtId="177" fontId="26" fillId="8" borderId="20" xfId="0" applyNumberFormat="1" applyFont="1" applyFill="1" applyBorder="1" applyAlignment="1">
      <alignment horizontal="center" vertical="center"/>
    </xf>
    <xf numFmtId="177" fontId="26" fillId="8" borderId="21" xfId="0" applyNumberFormat="1" applyFont="1" applyFill="1" applyBorder="1" applyAlignment="1">
      <alignment horizontal="center" vertical="center"/>
    </xf>
    <xf numFmtId="177" fontId="27" fillId="5" borderId="0" xfId="0" applyNumberFormat="1" applyFont="1" applyFill="1" applyBorder="1" applyAlignment="1">
      <alignment horizontal="center" vertical="center"/>
    </xf>
    <xf numFmtId="177" fontId="27" fillId="5" borderId="36" xfId="0" applyNumberFormat="1" applyFont="1" applyFill="1" applyBorder="1" applyAlignment="1">
      <alignment horizontal="center" vertical="center"/>
    </xf>
    <xf numFmtId="177" fontId="27" fillId="5" borderId="8" xfId="0" applyNumberFormat="1" applyFont="1" applyFill="1" applyBorder="1" applyAlignment="1">
      <alignment horizontal="center" vertical="center"/>
    </xf>
    <xf numFmtId="177" fontId="27" fillId="5" borderId="66" xfId="0" applyNumberFormat="1" applyFont="1" applyFill="1" applyBorder="1" applyAlignment="1">
      <alignment horizontal="center" vertical="center"/>
    </xf>
    <xf numFmtId="177" fontId="27" fillId="5" borderId="34" xfId="0" applyNumberFormat="1" applyFont="1" applyFill="1" applyBorder="1" applyAlignment="1">
      <alignment horizontal="center" vertical="center"/>
    </xf>
    <xf numFmtId="177" fontId="26" fillId="6" borderId="16" xfId="0" applyNumberFormat="1" applyFont="1" applyFill="1" applyBorder="1" applyAlignment="1">
      <alignment horizontal="center" vertical="center" wrapText="1"/>
    </xf>
    <xf numFmtId="177" fontId="26" fillId="6" borderId="20" xfId="0" applyNumberFormat="1" applyFont="1" applyFill="1" applyBorder="1" applyAlignment="1">
      <alignment horizontal="center" vertical="center" wrapText="1"/>
    </xf>
    <xf numFmtId="177" fontId="26" fillId="6" borderId="21" xfId="0" applyNumberFormat="1" applyFont="1" applyFill="1" applyBorder="1" applyAlignment="1">
      <alignment horizontal="center" vertical="center" wrapText="1"/>
    </xf>
    <xf numFmtId="177" fontId="27" fillId="6" borderId="64" xfId="0" applyNumberFormat="1" applyFont="1" applyFill="1" applyBorder="1" applyAlignment="1">
      <alignment horizontal="center" vertical="center" wrapText="1"/>
    </xf>
    <xf numFmtId="177" fontId="27" fillId="6" borderId="65" xfId="0" applyNumberFormat="1" applyFont="1" applyFill="1" applyBorder="1" applyAlignment="1">
      <alignment horizontal="center" vertical="center"/>
    </xf>
    <xf numFmtId="177" fontId="27" fillId="6" borderId="19" xfId="0" applyNumberFormat="1" applyFont="1" applyFill="1" applyBorder="1" applyAlignment="1">
      <alignment horizontal="center" vertical="center" wrapText="1"/>
    </xf>
    <xf numFmtId="177" fontId="27" fillId="6" borderId="20" xfId="0" applyNumberFormat="1" applyFont="1" applyFill="1" applyBorder="1" applyAlignment="1">
      <alignment horizontal="center" vertical="center" wrapText="1"/>
    </xf>
    <xf numFmtId="177" fontId="27" fillId="6" borderId="17" xfId="0" applyNumberFormat="1" applyFont="1" applyFill="1" applyBorder="1" applyAlignment="1">
      <alignment horizontal="center" vertical="center" wrapText="1"/>
    </xf>
    <xf numFmtId="177" fontId="27" fillId="6" borderId="16" xfId="0" applyNumberFormat="1" applyFont="1" applyFill="1" applyBorder="1" applyAlignment="1">
      <alignment horizontal="center" vertical="center"/>
    </xf>
    <xf numFmtId="177" fontId="27" fillId="6" borderId="17" xfId="0" applyNumberFormat="1" applyFont="1" applyFill="1" applyBorder="1" applyAlignment="1">
      <alignment horizontal="center" vertical="center"/>
    </xf>
    <xf numFmtId="9" fontId="27" fillId="6" borderId="20" xfId="0" applyNumberFormat="1" applyFont="1" applyFill="1" applyBorder="1" applyAlignment="1">
      <alignment horizontal="center" vertical="center"/>
    </xf>
    <xf numFmtId="9" fontId="27" fillId="6" borderId="17"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xf>
    <xf numFmtId="9" fontId="27" fillId="6" borderId="16" xfId="0" applyNumberFormat="1" applyFont="1" applyFill="1" applyBorder="1" applyAlignment="1">
      <alignment horizontal="center" vertical="center"/>
    </xf>
    <xf numFmtId="9" fontId="27" fillId="6" borderId="21" xfId="0" applyNumberFormat="1" applyFont="1" applyFill="1" applyBorder="1" applyAlignment="1">
      <alignment horizontal="center" vertical="center"/>
    </xf>
    <xf numFmtId="177" fontId="27" fillId="6" borderId="20" xfId="0" applyNumberFormat="1" applyFont="1" applyFill="1" applyBorder="1" applyAlignment="1">
      <alignment horizontal="center" vertical="center"/>
    </xf>
    <xf numFmtId="177" fontId="27" fillId="5" borderId="29" xfId="0" applyNumberFormat="1" applyFont="1" applyFill="1" applyBorder="1" applyAlignment="1">
      <alignment horizontal="center" vertical="center"/>
    </xf>
    <xf numFmtId="177" fontId="27" fillId="5" borderId="69" xfId="0" applyNumberFormat="1" applyFont="1" applyFill="1" applyBorder="1" applyAlignment="1">
      <alignment horizontal="center" vertical="center"/>
    </xf>
    <xf numFmtId="177" fontId="27" fillId="5" borderId="25" xfId="0" applyNumberFormat="1" applyFont="1" applyFill="1" applyBorder="1" applyAlignment="1">
      <alignment horizontal="center" vertical="center"/>
    </xf>
    <xf numFmtId="177" fontId="27" fillId="5" borderId="58" xfId="0" applyNumberFormat="1" applyFont="1" applyFill="1" applyBorder="1" applyAlignment="1">
      <alignment horizontal="center" vertical="center"/>
    </xf>
    <xf numFmtId="177" fontId="27" fillId="5" borderId="14" xfId="0" applyNumberFormat="1" applyFont="1" applyFill="1" applyBorder="1" applyAlignment="1">
      <alignment horizontal="center" vertical="center"/>
    </xf>
    <xf numFmtId="177" fontId="27" fillId="5" borderId="42" xfId="0" applyNumberFormat="1" applyFont="1" applyFill="1" applyBorder="1" applyAlignment="1">
      <alignment horizontal="center" vertical="center"/>
    </xf>
    <xf numFmtId="177" fontId="27" fillId="5" borderId="46" xfId="0" applyNumberFormat="1" applyFont="1" applyFill="1" applyBorder="1" applyAlignment="1">
      <alignment horizontal="center" vertical="center"/>
    </xf>
    <xf numFmtId="177" fontId="27" fillId="5" borderId="18" xfId="0" applyNumberFormat="1" applyFont="1" applyFill="1" applyBorder="1" applyAlignment="1">
      <alignment horizontal="center" vertical="center"/>
    </xf>
    <xf numFmtId="177" fontId="27" fillId="5" borderId="44" xfId="0" applyNumberFormat="1" applyFont="1" applyFill="1" applyBorder="1" applyAlignment="1">
      <alignment horizontal="center" vertical="center"/>
    </xf>
    <xf numFmtId="177" fontId="27" fillId="5" borderId="15" xfId="0" applyNumberFormat="1" applyFont="1" applyFill="1" applyBorder="1" applyAlignment="1">
      <alignment horizontal="center" vertical="center"/>
    </xf>
    <xf numFmtId="177" fontId="27" fillId="6" borderId="64" xfId="7" applyNumberFormat="1" applyFont="1" applyFill="1" applyBorder="1" applyAlignment="1">
      <alignment horizontal="center" vertical="center" wrapText="1"/>
    </xf>
    <xf numFmtId="177" fontId="27" fillId="6" borderId="72" xfId="7" applyNumberFormat="1" applyFont="1" applyFill="1" applyBorder="1" applyAlignment="1">
      <alignment horizontal="center" vertical="center" wrapText="1"/>
    </xf>
    <xf numFmtId="177" fontId="27" fillId="6" borderId="65" xfId="7" applyNumberFormat="1" applyFont="1" applyFill="1" applyBorder="1" applyAlignment="1">
      <alignment horizontal="center" vertical="center" wrapText="1"/>
    </xf>
    <xf numFmtId="177" fontId="27" fillId="5" borderId="47" xfId="0" applyNumberFormat="1" applyFont="1" applyFill="1" applyBorder="1" applyAlignment="1">
      <alignment horizontal="center" vertical="center"/>
    </xf>
    <xf numFmtId="177" fontId="27" fillId="5" borderId="13" xfId="0" applyNumberFormat="1" applyFont="1" applyFill="1" applyBorder="1" applyAlignment="1">
      <alignment horizontal="center" vertical="center"/>
    </xf>
    <xf numFmtId="177" fontId="27" fillId="5" borderId="11" xfId="0" applyNumberFormat="1" applyFont="1" applyFill="1" applyBorder="1" applyAlignment="1">
      <alignment horizontal="center" vertical="center"/>
    </xf>
    <xf numFmtId="177" fontId="27" fillId="5" borderId="12" xfId="0" applyNumberFormat="1" applyFont="1" applyFill="1" applyBorder="1" applyAlignment="1">
      <alignment horizontal="center" vertical="center"/>
    </xf>
    <xf numFmtId="177" fontId="26" fillId="8" borderId="38" xfId="0" applyNumberFormat="1" applyFont="1" applyFill="1" applyBorder="1" applyAlignment="1">
      <alignment horizontal="center" vertical="center" wrapText="1"/>
    </xf>
    <xf numFmtId="177" fontId="26" fillId="8" borderId="56" xfId="0" applyNumberFormat="1" applyFont="1" applyFill="1" applyBorder="1" applyAlignment="1">
      <alignment horizontal="center" vertical="center" wrapText="1"/>
    </xf>
    <xf numFmtId="177" fontId="27" fillId="6" borderId="12" xfId="0" applyNumberFormat="1" applyFont="1" applyFill="1" applyBorder="1" applyAlignment="1">
      <alignment horizontal="center" vertical="center"/>
    </xf>
    <xf numFmtId="177" fontId="27" fillId="6" borderId="15" xfId="0" applyNumberFormat="1" applyFont="1" applyFill="1" applyBorder="1" applyAlignment="1">
      <alignment horizontal="center" vertical="center"/>
    </xf>
    <xf numFmtId="177" fontId="27" fillId="6" borderId="11" xfId="0" applyNumberFormat="1" applyFont="1" applyFill="1" applyBorder="1" applyAlignment="1">
      <alignment horizontal="center" vertical="center"/>
    </xf>
    <xf numFmtId="177" fontId="27" fillId="6" borderId="13" xfId="0" applyNumberFormat="1" applyFont="1" applyFill="1" applyBorder="1" applyAlignment="1">
      <alignment horizontal="center" vertical="center"/>
    </xf>
    <xf numFmtId="177" fontId="27" fillId="6" borderId="3" xfId="0" applyNumberFormat="1" applyFont="1" applyFill="1" applyBorder="1" applyAlignment="1">
      <alignment horizontal="center" vertical="center" wrapText="1"/>
    </xf>
    <xf numFmtId="177" fontId="27" fillId="6" borderId="14" xfId="0" applyNumberFormat="1" applyFont="1" applyFill="1" applyBorder="1" applyAlignment="1">
      <alignment horizontal="center" vertical="center" wrapText="1"/>
    </xf>
    <xf numFmtId="177" fontId="27" fillId="6" borderId="32" xfId="0" applyNumberFormat="1" applyFont="1" applyFill="1" applyBorder="1" applyAlignment="1">
      <alignment horizontal="center" vertical="center"/>
    </xf>
    <xf numFmtId="177" fontId="27" fillId="6" borderId="46" xfId="0" applyNumberFormat="1" applyFont="1" applyFill="1" applyBorder="1" applyAlignment="1">
      <alignment horizontal="center" vertical="center"/>
    </xf>
    <xf numFmtId="177" fontId="27" fillId="6" borderId="63" xfId="0" applyNumberFormat="1" applyFont="1" applyFill="1" applyBorder="1" applyAlignment="1">
      <alignment horizontal="center" vertical="center"/>
    </xf>
    <xf numFmtId="0" fontId="27" fillId="6" borderId="47"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44"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17" xfId="0" applyFont="1" applyFill="1" applyBorder="1" applyAlignment="1">
      <alignment horizontal="center" vertical="center"/>
    </xf>
    <xf numFmtId="0" fontId="27" fillId="5" borderId="0" xfId="0" applyFont="1" applyFill="1" applyBorder="1" applyAlignment="1">
      <alignment horizontal="center" vertical="center"/>
    </xf>
    <xf numFmtId="0" fontId="27" fillId="6" borderId="22" xfId="0" applyFont="1" applyFill="1" applyBorder="1" applyAlignment="1">
      <alignment horizontal="center" vertical="center"/>
    </xf>
    <xf numFmtId="0" fontId="27" fillId="6" borderId="33" xfId="0" applyFont="1" applyFill="1" applyBorder="1" applyAlignment="1">
      <alignment horizontal="center" vertical="center"/>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9" xfId="0" applyFont="1" applyBorder="1" applyAlignment="1">
      <alignment horizontal="center" vertical="center" wrapText="1"/>
    </xf>
    <xf numFmtId="0" fontId="27" fillId="5" borderId="33" xfId="0" applyFont="1" applyFill="1" applyBorder="1" applyAlignment="1">
      <alignment horizontal="center" vertical="center"/>
    </xf>
    <xf numFmtId="0" fontId="27" fillId="5" borderId="36" xfId="0" applyFont="1" applyFill="1" applyBorder="1" applyAlignment="1">
      <alignment horizontal="center" vertical="center"/>
    </xf>
    <xf numFmtId="0" fontId="27" fillId="5" borderId="34" xfId="0" applyFont="1" applyFill="1" applyBorder="1" applyAlignment="1">
      <alignment horizontal="center" vertical="center"/>
    </xf>
    <xf numFmtId="0" fontId="27" fillId="5" borderId="25" xfId="0" applyFont="1" applyFill="1" applyBorder="1" applyAlignment="1">
      <alignment horizontal="center" vertical="center"/>
    </xf>
    <xf numFmtId="9" fontId="27" fillId="6" borderId="8" xfId="0" applyNumberFormat="1" applyFont="1" applyFill="1" applyBorder="1" applyAlignment="1">
      <alignment horizontal="center" vertical="center"/>
    </xf>
    <xf numFmtId="9" fontId="27" fillId="6" borderId="66" xfId="0" applyNumberFormat="1" applyFont="1" applyFill="1" applyBorder="1" applyAlignment="1">
      <alignment horizontal="center" vertical="center"/>
    </xf>
    <xf numFmtId="9" fontId="27" fillId="6" borderId="19" xfId="0" applyNumberFormat="1" applyFont="1" applyFill="1" applyBorder="1" applyAlignment="1">
      <alignment horizontal="center" vertical="center" wrapText="1"/>
    </xf>
    <xf numFmtId="9" fontId="27" fillId="6" borderId="20" xfId="0" applyNumberFormat="1" applyFont="1" applyFill="1" applyBorder="1" applyAlignment="1">
      <alignment horizontal="center" vertical="center" wrapText="1"/>
    </xf>
    <xf numFmtId="9" fontId="27" fillId="6" borderId="17" xfId="0" applyNumberFormat="1" applyFont="1" applyFill="1" applyBorder="1" applyAlignment="1">
      <alignment horizontal="center" vertical="center" wrapText="1"/>
    </xf>
    <xf numFmtId="177" fontId="27" fillId="6" borderId="47" xfId="0" applyNumberFormat="1" applyFont="1" applyFill="1" applyBorder="1" applyAlignment="1">
      <alignment horizontal="center" vertical="center"/>
    </xf>
    <xf numFmtId="177" fontId="27" fillId="6" borderId="18" xfId="0" applyNumberFormat="1" applyFont="1" applyFill="1" applyBorder="1" applyAlignment="1">
      <alignment horizontal="center" vertical="center"/>
    </xf>
    <xf numFmtId="177" fontId="27" fillId="6" borderId="40" xfId="0" applyNumberFormat="1" applyFont="1" applyFill="1" applyBorder="1" applyAlignment="1">
      <alignment horizontal="center" vertical="center" wrapText="1"/>
    </xf>
    <xf numFmtId="177" fontId="27" fillId="6" borderId="41" xfId="0" applyNumberFormat="1" applyFont="1" applyFill="1" applyBorder="1" applyAlignment="1">
      <alignment horizontal="center" vertical="center"/>
    </xf>
    <xf numFmtId="177" fontId="27" fillId="5" borderId="71" xfId="0" applyNumberFormat="1" applyFont="1" applyFill="1" applyBorder="1" applyAlignment="1">
      <alignment horizontal="center" vertical="center"/>
    </xf>
    <xf numFmtId="177" fontId="27" fillId="5" borderId="43" xfId="0" applyNumberFormat="1" applyFont="1" applyFill="1" applyBorder="1" applyAlignment="1">
      <alignment horizontal="center" vertical="center"/>
    </xf>
    <xf numFmtId="177" fontId="27" fillId="6" borderId="64" xfId="7" applyNumberFormat="1" applyFont="1" applyFill="1" applyBorder="1" applyAlignment="1">
      <alignment horizontal="center" vertical="center"/>
    </xf>
    <xf numFmtId="177" fontId="27" fillId="6" borderId="72" xfId="7" applyNumberFormat="1" applyFont="1" applyFill="1" applyBorder="1" applyAlignment="1">
      <alignment horizontal="center" vertical="center"/>
    </xf>
    <xf numFmtId="177" fontId="27" fillId="6" borderId="65" xfId="7" applyNumberFormat="1" applyFont="1" applyFill="1" applyBorder="1" applyAlignment="1">
      <alignment horizontal="center" vertical="center"/>
    </xf>
    <xf numFmtId="0" fontId="15" fillId="2" borderId="4" xfId="0" applyFont="1" applyFill="1" applyBorder="1" applyAlignment="1">
      <alignment horizontal="center" vertical="center"/>
    </xf>
    <xf numFmtId="9" fontId="27" fillId="6" borderId="18" xfId="0" applyNumberFormat="1" applyFont="1" applyFill="1" applyBorder="1" applyAlignment="1">
      <alignment horizontal="center" vertical="center"/>
    </xf>
    <xf numFmtId="0" fontId="27" fillId="5" borderId="22"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23" xfId="0" applyFont="1" applyFill="1" applyBorder="1" applyAlignment="1">
      <alignment horizontal="center" vertical="center" wrapText="1"/>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0" borderId="3" xfId="0" applyFont="1" applyBorder="1" applyAlignment="1">
      <alignment horizontal="center" vertical="center" wrapText="1"/>
    </xf>
    <xf numFmtId="0" fontId="27" fillId="0" borderId="12" xfId="0" applyFont="1" applyBorder="1" applyAlignment="1">
      <alignment horizontal="center" vertical="center" wrapText="1"/>
    </xf>
    <xf numFmtId="0" fontId="27" fillId="6" borderId="70" xfId="0" applyFont="1" applyFill="1" applyBorder="1" applyAlignment="1">
      <alignment horizontal="center" vertical="center"/>
    </xf>
    <xf numFmtId="0" fontId="27" fillId="6" borderId="58" xfId="0" applyFont="1" applyFill="1" applyBorder="1" applyAlignment="1">
      <alignment horizontal="center" vertical="center"/>
    </xf>
    <xf numFmtId="0" fontId="27" fillId="6" borderId="68" xfId="0" applyFont="1" applyFill="1" applyBorder="1" applyAlignment="1">
      <alignment horizontal="center" vertical="center"/>
    </xf>
    <xf numFmtId="0" fontId="27" fillId="0" borderId="69"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8" xfId="0" applyFont="1" applyBorder="1" applyAlignment="1">
      <alignment horizontal="center" vertical="center" wrapText="1"/>
    </xf>
    <xf numFmtId="0" fontId="27" fillId="5" borderId="70"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67" xfId="0" applyFont="1" applyFill="1" applyBorder="1" applyAlignment="1">
      <alignment horizontal="center" vertical="center"/>
    </xf>
    <xf numFmtId="177" fontId="27" fillId="6" borderId="47" xfId="0" applyNumberFormat="1" applyFont="1" applyFill="1" applyBorder="1" applyAlignment="1">
      <alignment horizontal="center" vertical="center" wrapText="1"/>
    </xf>
    <xf numFmtId="177" fontId="27" fillId="6" borderId="18" xfId="0" applyNumberFormat="1" applyFont="1" applyFill="1" applyBorder="1" applyAlignment="1">
      <alignment horizontal="center" vertical="center" wrapText="1"/>
    </xf>
    <xf numFmtId="177" fontId="27" fillId="6" borderId="44" xfId="0" applyNumberFormat="1" applyFont="1" applyFill="1" applyBorder="1" applyAlignment="1">
      <alignment horizontal="center" vertical="center" wrapText="1"/>
    </xf>
    <xf numFmtId="177" fontId="27" fillId="6" borderId="63" xfId="7" applyNumberFormat="1" applyFont="1" applyFill="1" applyBorder="1" applyAlignment="1">
      <alignment horizontal="center" vertical="center" wrapText="1"/>
    </xf>
    <xf numFmtId="177" fontId="27" fillId="6" borderId="23" xfId="0" applyNumberFormat="1" applyFont="1" applyFill="1" applyBorder="1" applyAlignment="1">
      <alignment horizontal="center" vertical="center" wrapText="1"/>
    </xf>
    <xf numFmtId="177" fontId="27" fillId="6" borderId="67" xfId="0" applyNumberFormat="1" applyFont="1" applyFill="1" applyBorder="1" applyAlignment="1">
      <alignment horizontal="center" vertical="center" wrapText="1"/>
    </xf>
    <xf numFmtId="177" fontId="27" fillId="6" borderId="40" xfId="0" applyNumberFormat="1" applyFont="1" applyFill="1" applyBorder="1" applyAlignment="1">
      <alignment horizontal="center" vertical="center"/>
    </xf>
    <xf numFmtId="177" fontId="27" fillId="6" borderId="42" xfId="0" applyNumberFormat="1" applyFont="1" applyFill="1" applyBorder="1" applyAlignment="1">
      <alignment horizontal="center" vertical="center"/>
    </xf>
    <xf numFmtId="177" fontId="27" fillId="6" borderId="43" xfId="0" applyNumberFormat="1" applyFont="1" applyFill="1" applyBorder="1" applyAlignment="1">
      <alignment horizontal="center" vertical="center"/>
    </xf>
    <xf numFmtId="177" fontId="27" fillId="6" borderId="11" xfId="0" applyNumberFormat="1" applyFont="1" applyFill="1" applyBorder="1" applyAlignment="1">
      <alignment horizontal="center" vertical="center" wrapText="1"/>
    </xf>
    <xf numFmtId="177" fontId="27" fillId="6" borderId="13" xfId="0" applyNumberFormat="1" applyFont="1" applyFill="1" applyBorder="1" applyAlignment="1">
      <alignment horizontal="center" vertical="center" wrapText="1"/>
    </xf>
    <xf numFmtId="177" fontId="27" fillId="6" borderId="3" xfId="0" applyNumberFormat="1" applyFont="1" applyFill="1" applyBorder="1" applyAlignment="1">
      <alignment horizontal="center" vertical="center"/>
    </xf>
    <xf numFmtId="177" fontId="27" fillId="6" borderId="14" xfId="0" applyNumberFormat="1" applyFont="1" applyFill="1" applyBorder="1" applyAlignment="1">
      <alignment horizontal="center" vertical="center"/>
    </xf>
    <xf numFmtId="177" fontId="27" fillId="0" borderId="3" xfId="6" applyNumberFormat="1" applyFont="1" applyBorder="1" applyAlignment="1">
      <alignment horizontal="center" vertical="center"/>
    </xf>
    <xf numFmtId="180" fontId="27" fillId="0" borderId="3" xfId="9" applyNumberFormat="1" applyFont="1" applyFill="1" applyBorder="1" applyAlignment="1">
      <alignment horizontal="center" vertical="center"/>
    </xf>
    <xf numFmtId="180" fontId="27" fillId="0" borderId="12" xfId="9" applyNumberFormat="1" applyFont="1" applyFill="1" applyBorder="1" applyAlignment="1">
      <alignment horizontal="center" vertical="center"/>
    </xf>
    <xf numFmtId="177" fontId="27" fillId="8" borderId="50" xfId="6" applyNumberFormat="1" applyFont="1" applyFill="1" applyBorder="1" applyAlignment="1">
      <alignment horizontal="center" vertical="center"/>
    </xf>
    <xf numFmtId="177" fontId="27" fillId="8" borderId="49" xfId="6" applyNumberFormat="1" applyFont="1" applyFill="1" applyBorder="1" applyAlignment="1">
      <alignment horizontal="center" vertical="center"/>
    </xf>
    <xf numFmtId="177" fontId="27" fillId="8" borderId="35" xfId="6" applyNumberFormat="1" applyFont="1" applyFill="1" applyBorder="1" applyAlignment="1">
      <alignment horizontal="center" vertical="center"/>
    </xf>
    <xf numFmtId="177" fontId="27" fillId="0" borderId="11" xfId="6" applyNumberFormat="1" applyFont="1" applyBorder="1" applyAlignment="1">
      <alignment horizontal="center" vertical="center"/>
    </xf>
    <xf numFmtId="177" fontId="27" fillId="0" borderId="3" xfId="6" applyNumberFormat="1" applyFont="1" applyFill="1" applyBorder="1" applyAlignment="1">
      <alignment horizontal="center" vertical="center"/>
    </xf>
    <xf numFmtId="0" fontId="27" fillId="6" borderId="26" xfId="5" applyFont="1" applyFill="1" applyBorder="1" applyAlignment="1">
      <alignment horizontal="center" vertical="center"/>
    </xf>
    <xf numFmtId="0" fontId="27" fillId="6" borderId="33" xfId="5" applyFont="1" applyFill="1" applyBorder="1" applyAlignment="1">
      <alignment horizontal="center" vertical="center"/>
    </xf>
    <xf numFmtId="0" fontId="27" fillId="6" borderId="39" xfId="5" applyFont="1" applyFill="1" applyBorder="1" applyAlignment="1">
      <alignment horizontal="center" vertical="center"/>
    </xf>
    <xf numFmtId="0" fontId="27" fillId="0" borderId="22" xfId="5" applyFont="1" applyFill="1" applyBorder="1" applyAlignment="1">
      <alignment horizontal="center" vertical="center"/>
    </xf>
    <xf numFmtId="0" fontId="27" fillId="0" borderId="25" xfId="5" applyFont="1" applyFill="1" applyBorder="1" applyAlignment="1">
      <alignment horizontal="center" vertical="center"/>
    </xf>
    <xf numFmtId="0" fontId="27" fillId="0" borderId="26" xfId="5" applyFont="1" applyFill="1" applyBorder="1" applyAlignment="1">
      <alignment horizontal="center" vertical="center"/>
    </xf>
    <xf numFmtId="0" fontId="27" fillId="0" borderId="33" xfId="5" applyFont="1" applyFill="1" applyBorder="1" applyAlignment="1">
      <alignment horizontal="center" vertical="center"/>
    </xf>
    <xf numFmtId="0" fontId="27" fillId="0" borderId="36" xfId="5" applyFont="1" applyFill="1" applyBorder="1" applyAlignment="1">
      <alignment horizontal="center" vertical="center"/>
    </xf>
    <xf numFmtId="0" fontId="27" fillId="0" borderId="39" xfId="5" applyFont="1" applyFill="1" applyBorder="1" applyAlignment="1">
      <alignment horizontal="center" vertical="center"/>
    </xf>
    <xf numFmtId="177" fontId="27" fillId="0" borderId="50" xfId="6" applyNumberFormat="1" applyFont="1" applyBorder="1" applyAlignment="1">
      <alignment horizontal="center" vertical="center"/>
    </xf>
    <xf numFmtId="177" fontId="27" fillId="0" borderId="49" xfId="6" applyNumberFormat="1" applyFont="1" applyBorder="1" applyAlignment="1">
      <alignment horizontal="center" vertical="center"/>
    </xf>
    <xf numFmtId="177" fontId="27" fillId="0" borderId="48" xfId="6" applyNumberFormat="1" applyFont="1" applyBorder="1" applyAlignment="1">
      <alignment horizontal="center" vertical="center"/>
    </xf>
    <xf numFmtId="0" fontId="27" fillId="6" borderId="27" xfId="5" applyFont="1" applyFill="1" applyBorder="1" applyAlignment="1">
      <alignment horizontal="center" vertical="center" wrapText="1"/>
    </xf>
    <xf numFmtId="0" fontId="27" fillId="6" borderId="0" xfId="5" applyFont="1" applyFill="1" applyBorder="1" applyAlignment="1">
      <alignment horizontal="center" vertical="center" wrapText="1"/>
    </xf>
    <xf numFmtId="0" fontId="27" fillId="6" borderId="70" xfId="5" applyFont="1" applyFill="1" applyBorder="1" applyAlignment="1">
      <alignment horizontal="center" vertical="center" wrapText="1"/>
    </xf>
    <xf numFmtId="0" fontId="27" fillId="6" borderId="58" xfId="5" applyFont="1" applyFill="1" applyBorder="1" applyAlignment="1">
      <alignment horizontal="center" vertical="center" wrapText="1"/>
    </xf>
    <xf numFmtId="0" fontId="27" fillId="0" borderId="11" xfId="5" applyFont="1" applyFill="1" applyBorder="1" applyAlignment="1">
      <alignment horizontal="center" vertical="center" wrapText="1"/>
    </xf>
    <xf numFmtId="0" fontId="27" fillId="0" borderId="3" xfId="5" applyFont="1" applyFill="1" applyBorder="1" applyAlignment="1">
      <alignment horizontal="center" vertical="center" wrapText="1"/>
    </xf>
    <xf numFmtId="0" fontId="27" fillId="0" borderId="12" xfId="5" applyFont="1" applyFill="1" applyBorder="1" applyAlignment="1">
      <alignment horizontal="center" vertical="center" wrapText="1"/>
    </xf>
    <xf numFmtId="0" fontId="27" fillId="0" borderId="13" xfId="5" applyFont="1" applyFill="1" applyBorder="1" applyAlignment="1">
      <alignment horizontal="center" vertical="center" wrapText="1"/>
    </xf>
    <xf numFmtId="0" fontId="27" fillId="0" borderId="14" xfId="5" applyFont="1" applyFill="1" applyBorder="1" applyAlignment="1">
      <alignment horizontal="center" vertical="center" wrapText="1"/>
    </xf>
    <xf numFmtId="0" fontId="27" fillId="0" borderId="15" xfId="5" applyFont="1" applyFill="1" applyBorder="1" applyAlignment="1">
      <alignment horizontal="center" vertical="center" wrapText="1"/>
    </xf>
    <xf numFmtId="177" fontId="27" fillId="0" borderId="18" xfId="6" applyNumberFormat="1" applyFont="1" applyBorder="1" applyAlignment="1">
      <alignment horizontal="center" vertical="center"/>
    </xf>
    <xf numFmtId="180" fontId="27" fillId="0" borderId="18" xfId="9" applyNumberFormat="1" applyFont="1" applyBorder="1" applyAlignment="1">
      <alignment horizontal="center" vertical="center"/>
    </xf>
    <xf numFmtId="180" fontId="27" fillId="0" borderId="3" xfId="9" applyNumberFormat="1" applyFont="1" applyBorder="1" applyAlignment="1">
      <alignment horizontal="center" vertical="center"/>
    </xf>
    <xf numFmtId="180" fontId="27" fillId="0" borderId="44" xfId="9" applyNumberFormat="1" applyFont="1" applyBorder="1" applyAlignment="1">
      <alignment horizontal="center" vertical="center"/>
    </xf>
    <xf numFmtId="180" fontId="27" fillId="0" borderId="12" xfId="9" applyNumberFormat="1" applyFont="1" applyBorder="1" applyAlignment="1">
      <alignment horizontal="center" vertical="center"/>
    </xf>
    <xf numFmtId="177" fontId="27" fillId="6" borderId="16" xfId="6" applyNumberFormat="1" applyFont="1" applyFill="1" applyBorder="1" applyAlignment="1">
      <alignment horizontal="center" vertical="center" wrapText="1"/>
    </xf>
    <xf numFmtId="177" fontId="27" fillId="6" borderId="20" xfId="6" applyNumberFormat="1" applyFont="1" applyFill="1" applyBorder="1" applyAlignment="1">
      <alignment horizontal="center" vertical="center" wrapText="1"/>
    </xf>
    <xf numFmtId="177" fontId="27" fillId="6" borderId="21" xfId="6" applyNumberFormat="1" applyFont="1" applyFill="1" applyBorder="1" applyAlignment="1">
      <alignment horizontal="center" vertical="center" wrapText="1"/>
    </xf>
    <xf numFmtId="177" fontId="27" fillId="6" borderId="47" xfId="6" applyNumberFormat="1" applyFont="1" applyFill="1" applyBorder="1" applyAlignment="1">
      <alignment horizontal="center" vertical="center" wrapText="1"/>
    </xf>
    <xf numFmtId="177" fontId="27" fillId="6" borderId="63" xfId="6" applyNumberFormat="1" applyFont="1" applyFill="1" applyBorder="1" applyAlignment="1">
      <alignment horizontal="center" vertical="center" wrapText="1"/>
    </xf>
    <xf numFmtId="177" fontId="27" fillId="6" borderId="18" xfId="6" applyNumberFormat="1" applyFont="1" applyFill="1" applyBorder="1" applyAlignment="1">
      <alignment horizontal="center" vertical="center" wrapText="1"/>
    </xf>
    <xf numFmtId="177" fontId="27" fillId="6" borderId="40" xfId="6" applyNumberFormat="1" applyFont="1" applyFill="1" applyBorder="1" applyAlignment="1">
      <alignment horizontal="center" vertical="center" wrapText="1"/>
    </xf>
    <xf numFmtId="9" fontId="27" fillId="6" borderId="19" xfId="6" applyNumberFormat="1" applyFont="1" applyFill="1" applyBorder="1" applyAlignment="1">
      <alignment horizontal="center" vertical="center" wrapText="1"/>
    </xf>
    <xf numFmtId="9" fontId="27" fillId="6" borderId="21" xfId="6" applyNumberFormat="1" applyFont="1" applyFill="1" applyBorder="1" applyAlignment="1">
      <alignment horizontal="center" vertical="center" wrapText="1"/>
    </xf>
    <xf numFmtId="0" fontId="27" fillId="0" borderId="51" xfId="5" applyFont="1" applyFill="1" applyBorder="1" applyAlignment="1">
      <alignment horizontal="center" vertical="center" wrapText="1"/>
    </xf>
    <xf numFmtId="0" fontId="27" fillId="0" borderId="52" xfId="5" applyFont="1" applyFill="1" applyBorder="1" applyAlignment="1">
      <alignment horizontal="center" vertical="center" wrapText="1"/>
    </xf>
    <xf numFmtId="0" fontId="27" fillId="0" borderId="46" xfId="5" applyFont="1" applyFill="1" applyBorder="1" applyAlignment="1">
      <alignment horizontal="center" vertical="center" wrapText="1"/>
    </xf>
    <xf numFmtId="0" fontId="27" fillId="0" borderId="57" xfId="5" applyFont="1" applyFill="1" applyBorder="1" applyAlignment="1">
      <alignment horizontal="center" vertical="center" wrapText="1"/>
    </xf>
    <xf numFmtId="176" fontId="27" fillId="8" borderId="11" xfId="6" applyNumberFormat="1" applyFont="1" applyFill="1" applyBorder="1" applyAlignment="1">
      <alignment horizontal="center" vertical="center"/>
    </xf>
    <xf numFmtId="176" fontId="27" fillId="8" borderId="3" xfId="6" applyNumberFormat="1" applyFont="1" applyFill="1" applyBorder="1" applyAlignment="1">
      <alignment horizontal="center" vertical="center"/>
    </xf>
    <xf numFmtId="176" fontId="27" fillId="8" borderId="31" xfId="6" applyNumberFormat="1" applyFont="1" applyFill="1" applyBorder="1" applyAlignment="1">
      <alignment horizontal="center" vertical="center"/>
    </xf>
    <xf numFmtId="177" fontId="27" fillId="0" borderId="11" xfId="6" applyNumberFormat="1" applyFont="1" applyFill="1" applyBorder="1" applyAlignment="1">
      <alignment horizontal="center" vertical="center"/>
    </xf>
    <xf numFmtId="177" fontId="27" fillId="8" borderId="11" xfId="6" applyNumberFormat="1" applyFont="1" applyFill="1" applyBorder="1" applyAlignment="1">
      <alignment horizontal="center" vertical="center"/>
    </xf>
    <xf numFmtId="177" fontId="27" fillId="8" borderId="3" xfId="6" applyNumberFormat="1" applyFont="1" applyFill="1" applyBorder="1" applyAlignment="1">
      <alignment horizontal="center" vertical="center"/>
    </xf>
    <xf numFmtId="177" fontId="27" fillId="8" borderId="31" xfId="6" applyNumberFormat="1" applyFont="1" applyFill="1" applyBorder="1" applyAlignment="1">
      <alignment horizontal="center" vertical="center"/>
    </xf>
    <xf numFmtId="177" fontId="27" fillId="0" borderId="50" xfId="6" applyNumberFormat="1" applyFont="1" applyFill="1" applyBorder="1" applyAlignment="1">
      <alignment horizontal="center" vertical="center"/>
    </xf>
    <xf numFmtId="177" fontId="27" fillId="0" borderId="49" xfId="6" applyNumberFormat="1" applyFont="1" applyFill="1" applyBorder="1" applyAlignment="1">
      <alignment horizontal="center" vertical="center"/>
    </xf>
    <xf numFmtId="180" fontId="27" fillId="0" borderId="49" xfId="6" applyNumberFormat="1" applyFont="1" applyFill="1" applyBorder="1" applyAlignment="1">
      <alignment horizontal="center" vertical="center"/>
    </xf>
    <xf numFmtId="180" fontId="27" fillId="0" borderId="3" xfId="6" applyNumberFormat="1" applyFont="1" applyFill="1" applyBorder="1" applyAlignment="1">
      <alignment horizontal="center" vertical="center"/>
    </xf>
    <xf numFmtId="180" fontId="27" fillId="0" borderId="48" xfId="6" applyNumberFormat="1" applyFont="1" applyFill="1" applyBorder="1" applyAlignment="1">
      <alignment horizontal="center" vertical="center"/>
    </xf>
    <xf numFmtId="180" fontId="27" fillId="0" borderId="12" xfId="6" applyNumberFormat="1" applyFont="1" applyFill="1" applyBorder="1" applyAlignment="1">
      <alignment horizontal="center" vertical="center"/>
    </xf>
    <xf numFmtId="0" fontId="26" fillId="6" borderId="47" xfId="5" applyFont="1" applyFill="1" applyBorder="1" applyAlignment="1">
      <alignment horizontal="center" vertical="center"/>
    </xf>
    <xf numFmtId="0" fontId="26" fillId="6" borderId="19" xfId="5" applyFont="1" applyFill="1" applyBorder="1" applyAlignment="1">
      <alignment horizontal="center" vertical="center"/>
    </xf>
    <xf numFmtId="0" fontId="26" fillId="6" borderId="64" xfId="5" applyFont="1" applyFill="1" applyBorder="1" applyAlignment="1">
      <alignment horizontal="center" vertical="center"/>
    </xf>
    <xf numFmtId="0" fontId="26" fillId="6" borderId="8" xfId="5" applyFont="1" applyFill="1" applyBorder="1" applyAlignment="1">
      <alignment horizontal="center" vertical="center"/>
    </xf>
    <xf numFmtId="0" fontId="26" fillId="6" borderId="71" xfId="5" applyFont="1" applyFill="1" applyBorder="1" applyAlignment="1">
      <alignment horizontal="center" vertical="center"/>
    </xf>
    <xf numFmtId="0" fontId="26" fillId="6" borderId="18" xfId="5" applyFont="1" applyFill="1" applyBorder="1" applyAlignment="1">
      <alignment horizontal="center" vertical="center"/>
    </xf>
    <xf numFmtId="0" fontId="26" fillId="6" borderId="44" xfId="5" applyFont="1" applyFill="1" applyBorder="1" applyAlignment="1">
      <alignment horizontal="center" vertical="center"/>
    </xf>
    <xf numFmtId="0" fontId="27" fillId="0" borderId="22" xfId="5" applyFont="1" applyFill="1" applyBorder="1" applyAlignment="1">
      <alignment horizontal="center" vertical="center" wrapText="1"/>
    </xf>
    <xf numFmtId="0" fontId="27" fillId="0" borderId="25" xfId="5" applyFont="1" applyFill="1" applyBorder="1" applyAlignment="1">
      <alignment horizontal="center" vertical="center" wrapText="1"/>
    </xf>
    <xf numFmtId="0" fontId="27" fillId="0" borderId="26" xfId="5" applyFont="1" applyFill="1" applyBorder="1" applyAlignment="1">
      <alignment horizontal="center" vertical="center" wrapText="1"/>
    </xf>
    <xf numFmtId="0" fontId="27" fillId="0" borderId="33" xfId="5" applyFont="1" applyFill="1" applyBorder="1" applyAlignment="1">
      <alignment horizontal="center" vertical="center" wrapText="1"/>
    </xf>
    <xf numFmtId="0" fontId="27" fillId="0" borderId="36" xfId="5" applyFont="1" applyFill="1" applyBorder="1" applyAlignment="1">
      <alignment horizontal="center" vertical="center" wrapText="1"/>
    </xf>
    <xf numFmtId="0" fontId="27" fillId="0" borderId="39" xfId="5" applyFont="1" applyFill="1" applyBorder="1" applyAlignment="1">
      <alignment horizontal="center" vertical="center" wrapText="1"/>
    </xf>
    <xf numFmtId="0" fontId="27" fillId="8" borderId="31" xfId="5" applyFont="1" applyFill="1" applyBorder="1" applyAlignment="1">
      <alignment horizontal="center" vertical="center" wrapText="1"/>
    </xf>
    <xf numFmtId="0" fontId="27" fillId="8" borderId="38" xfId="5" applyFont="1" applyFill="1" applyBorder="1" applyAlignment="1">
      <alignment horizontal="center" vertical="center" wrapText="1"/>
    </xf>
    <xf numFmtId="0" fontId="27" fillId="8" borderId="32" xfId="5" applyFont="1" applyFill="1" applyBorder="1" applyAlignment="1">
      <alignment horizontal="center" vertical="center" wrapText="1"/>
    </xf>
    <xf numFmtId="0" fontId="27" fillId="8" borderId="56" xfId="5" applyFont="1" applyFill="1" applyBorder="1" applyAlignment="1">
      <alignment horizontal="center" vertical="center" wrapText="1"/>
    </xf>
    <xf numFmtId="176" fontId="27" fillId="0" borderId="31" xfId="5" applyNumberFormat="1" applyFont="1" applyFill="1" applyBorder="1" applyAlignment="1">
      <alignment horizontal="center" vertical="center" wrapText="1"/>
    </xf>
    <xf numFmtId="176" fontId="27" fillId="0" borderId="38" xfId="5" applyNumberFormat="1" applyFont="1" applyFill="1" applyBorder="1" applyAlignment="1">
      <alignment horizontal="center" vertical="center" wrapText="1"/>
    </xf>
    <xf numFmtId="176" fontId="27" fillId="0" borderId="32" xfId="5" applyNumberFormat="1" applyFont="1" applyFill="1" applyBorder="1" applyAlignment="1">
      <alignment horizontal="center" vertical="center" wrapText="1"/>
    </xf>
    <xf numFmtId="9" fontId="27" fillId="0" borderId="31" xfId="5" applyNumberFormat="1" applyFont="1" applyFill="1" applyBorder="1" applyAlignment="1">
      <alignment horizontal="center" vertical="center" wrapText="1"/>
    </xf>
    <xf numFmtId="9" fontId="27" fillId="0" borderId="38" xfId="5" applyNumberFormat="1" applyFont="1" applyFill="1" applyBorder="1" applyAlignment="1">
      <alignment horizontal="center" vertical="center" wrapText="1"/>
    </xf>
    <xf numFmtId="9" fontId="27" fillId="0" borderId="56" xfId="5" applyNumberFormat="1" applyFont="1" applyFill="1" applyBorder="1" applyAlignment="1">
      <alignment horizontal="center" vertical="center" wrapText="1"/>
    </xf>
    <xf numFmtId="0" fontId="27" fillId="0" borderId="50" xfId="5" applyFont="1" applyFill="1" applyBorder="1" applyAlignment="1">
      <alignment horizontal="center" vertical="center" wrapText="1"/>
    </xf>
    <xf numFmtId="0" fontId="27" fillId="0" borderId="49" xfId="5" applyFont="1" applyFill="1" applyBorder="1" applyAlignment="1">
      <alignment horizontal="center" vertical="center" wrapText="1"/>
    </xf>
    <xf numFmtId="0" fontId="27" fillId="0" borderId="48" xfId="5" applyFont="1" applyFill="1" applyBorder="1" applyAlignment="1">
      <alignment horizontal="center" vertical="center" wrapText="1"/>
    </xf>
    <xf numFmtId="180" fontId="27" fillId="0" borderId="14" xfId="6" applyNumberFormat="1" applyFont="1" applyFill="1" applyBorder="1" applyAlignment="1">
      <alignment horizontal="center" vertical="center"/>
    </xf>
    <xf numFmtId="180" fontId="27" fillId="0" borderId="15" xfId="6" applyNumberFormat="1" applyFont="1" applyFill="1" applyBorder="1" applyAlignment="1">
      <alignment horizontal="center" vertical="center"/>
    </xf>
    <xf numFmtId="177" fontId="27" fillId="0" borderId="13" xfId="6" applyNumberFormat="1" applyFont="1" applyFill="1" applyBorder="1" applyAlignment="1">
      <alignment horizontal="center" vertical="center"/>
    </xf>
    <xf numFmtId="177" fontId="27" fillId="0" borderId="14" xfId="6" applyNumberFormat="1" applyFont="1" applyFill="1" applyBorder="1" applyAlignment="1">
      <alignment horizontal="center" vertical="center"/>
    </xf>
    <xf numFmtId="177" fontId="27" fillId="0" borderId="14" xfId="6" applyNumberFormat="1" applyFont="1" applyBorder="1" applyAlignment="1">
      <alignment horizontal="center" vertical="center"/>
    </xf>
    <xf numFmtId="177" fontId="27" fillId="6" borderId="16" xfId="6" applyNumberFormat="1" applyFont="1" applyFill="1" applyBorder="1" applyAlignment="1">
      <alignment horizontal="center" vertical="center"/>
    </xf>
    <xf numFmtId="177" fontId="27" fillId="6" borderId="17" xfId="6" applyNumberFormat="1" applyFont="1" applyFill="1" applyBorder="1" applyAlignment="1">
      <alignment horizontal="center" vertical="center"/>
    </xf>
    <xf numFmtId="177" fontId="15" fillId="2" borderId="4" xfId="6" applyNumberFormat="1" applyFont="1" applyFill="1" applyBorder="1" applyAlignment="1">
      <alignment horizontal="center" vertical="center"/>
    </xf>
    <xf numFmtId="9" fontId="27" fillId="6" borderId="16" xfId="6" applyNumberFormat="1" applyFont="1" applyFill="1" applyBorder="1" applyAlignment="1">
      <alignment horizontal="center" vertical="center"/>
    </xf>
    <xf numFmtId="9" fontId="27" fillId="6" borderId="17" xfId="6" applyNumberFormat="1" applyFont="1" applyFill="1" applyBorder="1" applyAlignment="1">
      <alignment horizontal="center" vertical="center"/>
    </xf>
    <xf numFmtId="177" fontId="27" fillId="8" borderId="47" xfId="6" applyNumberFormat="1" applyFont="1" applyFill="1" applyBorder="1" applyAlignment="1">
      <alignment horizontal="center" vertical="center"/>
    </xf>
    <xf numFmtId="177" fontId="27" fillId="8" borderId="18" xfId="6" applyNumberFormat="1" applyFont="1" applyFill="1" applyBorder="1" applyAlignment="1">
      <alignment horizontal="center" vertical="center"/>
    </xf>
    <xf numFmtId="177" fontId="27" fillId="8" borderId="19" xfId="6" applyNumberFormat="1" applyFont="1" applyFill="1" applyBorder="1" applyAlignment="1">
      <alignment horizontal="center" vertical="center"/>
    </xf>
    <xf numFmtId="177" fontId="27" fillId="0" borderId="47" xfId="6" applyNumberFormat="1" applyFont="1" applyBorder="1" applyAlignment="1">
      <alignment horizontal="center" vertical="center"/>
    </xf>
    <xf numFmtId="177" fontId="27" fillId="0" borderId="18" xfId="6" applyNumberFormat="1" applyFont="1" applyFill="1" applyBorder="1" applyAlignment="1">
      <alignment horizontal="center" vertical="center"/>
    </xf>
    <xf numFmtId="177" fontId="75" fillId="7" borderId="29" xfId="5" applyNumberFormat="1" applyFont="1" applyFill="1" applyBorder="1" applyAlignment="1">
      <alignment horizontal="center" vertical="center"/>
    </xf>
    <xf numFmtId="177" fontId="75" fillId="7" borderId="69" xfId="5" applyNumberFormat="1" applyFont="1" applyFill="1" applyBorder="1" applyAlignment="1">
      <alignment horizontal="center" vertical="center"/>
    </xf>
    <xf numFmtId="0" fontId="27" fillId="0" borderId="0" xfId="5" applyFont="1" applyBorder="1" applyAlignment="1">
      <alignment horizontal="left" vertical="center"/>
    </xf>
    <xf numFmtId="177" fontId="53" fillId="8" borderId="33" xfId="5" applyNumberFormat="1" applyFont="1" applyFill="1" applyBorder="1" applyAlignment="1">
      <alignment horizontal="center" vertical="center"/>
    </xf>
    <xf numFmtId="177" fontId="53" fillId="8" borderId="36" xfId="5" applyNumberFormat="1" applyFont="1" applyFill="1" applyBorder="1" applyAlignment="1">
      <alignment horizontal="center" vertical="center"/>
    </xf>
    <xf numFmtId="177" fontId="53" fillId="8" borderId="39" xfId="5" applyNumberFormat="1" applyFont="1" applyFill="1" applyBorder="1" applyAlignment="1">
      <alignment horizontal="center" vertical="center"/>
    </xf>
    <xf numFmtId="177" fontId="75" fillId="7" borderId="28" xfId="5" applyNumberFormat="1" applyFont="1" applyFill="1" applyBorder="1" applyAlignment="1">
      <alignment horizontal="center" vertical="center"/>
    </xf>
    <xf numFmtId="177" fontId="75" fillId="7" borderId="67" xfId="5" applyNumberFormat="1" applyFont="1" applyFill="1" applyBorder="1" applyAlignment="1">
      <alignment horizontal="center" vertical="center"/>
    </xf>
    <xf numFmtId="177" fontId="75" fillId="7" borderId="49" xfId="5" applyNumberFormat="1" applyFont="1" applyFill="1" applyBorder="1" applyAlignment="1">
      <alignment horizontal="center" vertical="center"/>
    </xf>
    <xf numFmtId="177" fontId="75" fillId="7" borderId="14" xfId="5" applyNumberFormat="1" applyFont="1" applyFill="1" applyBorder="1" applyAlignment="1">
      <alignment horizontal="center" vertical="center"/>
    </xf>
    <xf numFmtId="177" fontId="75" fillId="7" borderId="66" xfId="5" applyNumberFormat="1" applyFont="1" applyFill="1" applyBorder="1" applyAlignment="1">
      <alignment horizontal="center" vertical="center"/>
    </xf>
    <xf numFmtId="177" fontId="75" fillId="7" borderId="42" xfId="5" applyNumberFormat="1" applyFont="1" applyFill="1" applyBorder="1" applyAlignment="1">
      <alignment horizontal="center" vertical="center"/>
    </xf>
    <xf numFmtId="177" fontId="27" fillId="7" borderId="24" xfId="5" applyNumberFormat="1" applyFont="1" applyFill="1" applyBorder="1" applyAlignment="1">
      <alignment horizontal="center" vertical="center"/>
    </xf>
    <xf numFmtId="177" fontId="27" fillId="7" borderId="69" xfId="5" applyNumberFormat="1" applyFont="1" applyFill="1" applyBorder="1" applyAlignment="1">
      <alignment horizontal="center" vertical="center"/>
    </xf>
    <xf numFmtId="177" fontId="26" fillId="8" borderId="33" xfId="5" applyNumberFormat="1" applyFont="1" applyFill="1" applyBorder="1" applyAlignment="1">
      <alignment horizontal="center" vertical="center"/>
    </xf>
    <xf numFmtId="177" fontId="26" fillId="8" borderId="36" xfId="5" applyNumberFormat="1" applyFont="1" applyFill="1" applyBorder="1" applyAlignment="1">
      <alignment horizontal="center" vertical="center"/>
    </xf>
    <xf numFmtId="177" fontId="26" fillId="8" borderId="39" xfId="5" applyNumberFormat="1" applyFont="1" applyFill="1" applyBorder="1" applyAlignment="1">
      <alignment horizontal="center" vertical="center"/>
    </xf>
    <xf numFmtId="177" fontId="27" fillId="7" borderId="28" xfId="5" applyNumberFormat="1" applyFont="1" applyFill="1" applyBorder="1" applyAlignment="1">
      <alignment horizontal="center" vertical="center"/>
    </xf>
    <xf numFmtId="177" fontId="27" fillId="7" borderId="67" xfId="5" applyNumberFormat="1" applyFont="1" applyFill="1" applyBorder="1" applyAlignment="1">
      <alignment horizontal="center" vertical="center"/>
    </xf>
    <xf numFmtId="177" fontId="27" fillId="7" borderId="49" xfId="5" applyNumberFormat="1" applyFont="1" applyFill="1" applyBorder="1" applyAlignment="1">
      <alignment horizontal="center" vertical="center"/>
    </xf>
    <xf numFmtId="177" fontId="27" fillId="7" borderId="14" xfId="5" applyNumberFormat="1" applyFont="1" applyFill="1" applyBorder="1" applyAlignment="1">
      <alignment horizontal="center" vertical="center"/>
    </xf>
    <xf numFmtId="177" fontId="27" fillId="7" borderId="66" xfId="5" applyNumberFormat="1" applyFont="1" applyFill="1" applyBorder="1" applyAlignment="1">
      <alignment horizontal="center" vertical="center"/>
    </xf>
    <xf numFmtId="177" fontId="27" fillId="7" borderId="42" xfId="5" applyNumberFormat="1" applyFont="1" applyFill="1" applyBorder="1" applyAlignment="1">
      <alignment horizontal="center" vertical="center"/>
    </xf>
    <xf numFmtId="177" fontId="27" fillId="7" borderId="29" xfId="5" applyNumberFormat="1" applyFont="1" applyFill="1" applyBorder="1" applyAlignment="1">
      <alignment horizontal="center" vertical="center"/>
    </xf>
    <xf numFmtId="177" fontId="26" fillId="8" borderId="37" xfId="5" applyNumberFormat="1" applyFont="1" applyFill="1" applyBorder="1" applyAlignment="1">
      <alignment horizontal="center" vertical="center"/>
    </xf>
    <xf numFmtId="177" fontId="26" fillId="8" borderId="38" xfId="5" applyNumberFormat="1" applyFont="1" applyFill="1" applyBorder="1" applyAlignment="1">
      <alignment horizontal="center" vertical="center"/>
    </xf>
    <xf numFmtId="177" fontId="26" fillId="8" borderId="56" xfId="5" applyNumberFormat="1" applyFont="1" applyFill="1" applyBorder="1" applyAlignment="1">
      <alignment horizontal="center" vertical="center"/>
    </xf>
    <xf numFmtId="177" fontId="27" fillId="7" borderId="23" xfId="5" applyNumberFormat="1" applyFont="1" applyFill="1" applyBorder="1" applyAlignment="1">
      <alignment horizontal="center" vertical="center"/>
    </xf>
    <xf numFmtId="177" fontId="27" fillId="7" borderId="3" xfId="5" applyNumberFormat="1" applyFont="1" applyFill="1" applyBorder="1" applyAlignment="1">
      <alignment horizontal="center" vertical="center"/>
    </xf>
    <xf numFmtId="177" fontId="27" fillId="7" borderId="40" xfId="5" applyNumberFormat="1" applyFont="1" applyFill="1" applyBorder="1" applyAlignment="1">
      <alignment horizontal="center" vertical="center"/>
    </xf>
    <xf numFmtId="177" fontId="27" fillId="7" borderId="35" xfId="5" applyNumberFormat="1" applyFont="1" applyFill="1" applyBorder="1" applyAlignment="1">
      <alignment horizontal="center" vertical="center"/>
    </xf>
    <xf numFmtId="177" fontId="27" fillId="7" borderId="9" xfId="5" applyNumberFormat="1" applyFont="1" applyFill="1" applyBorder="1" applyAlignment="1">
      <alignment horizontal="center" vertical="center"/>
    </xf>
    <xf numFmtId="177" fontId="26" fillId="8" borderId="16" xfId="5" applyNumberFormat="1" applyFont="1" applyFill="1" applyBorder="1" applyAlignment="1">
      <alignment horizontal="center" vertical="center"/>
    </xf>
    <xf numFmtId="177" fontId="26" fillId="8" borderId="20" xfId="5" applyNumberFormat="1" applyFont="1" applyFill="1" applyBorder="1" applyAlignment="1">
      <alignment horizontal="center" vertical="center"/>
    </xf>
    <xf numFmtId="177" fontId="26" fillId="8" borderId="21" xfId="5" applyNumberFormat="1" applyFont="1" applyFill="1" applyBorder="1" applyAlignment="1">
      <alignment horizontal="center" vertical="center"/>
    </xf>
    <xf numFmtId="177" fontId="27" fillId="7" borderId="7" xfId="5" applyNumberFormat="1" applyFont="1" applyFill="1" applyBorder="1" applyAlignment="1">
      <alignment horizontal="center" vertical="center"/>
    </xf>
    <xf numFmtId="177" fontId="27" fillId="7" borderId="34" xfId="5" applyNumberFormat="1" applyFont="1" applyFill="1" applyBorder="1" applyAlignment="1">
      <alignment horizontal="center" vertical="center"/>
    </xf>
    <xf numFmtId="177" fontId="27" fillId="7" borderId="18" xfId="5" applyNumberFormat="1" applyFont="1" applyFill="1" applyBorder="1" applyAlignment="1">
      <alignment horizontal="center" vertical="center"/>
    </xf>
    <xf numFmtId="177" fontId="27" fillId="7" borderId="8" xfId="5" applyNumberFormat="1" applyFont="1" applyFill="1" applyBorder="1" applyAlignment="1">
      <alignment horizontal="center" vertical="center"/>
    </xf>
    <xf numFmtId="177" fontId="27" fillId="0" borderId="18" xfId="5" applyNumberFormat="1" applyFont="1" applyFill="1" applyBorder="1" applyAlignment="1">
      <alignment horizontal="center" vertical="center"/>
    </xf>
    <xf numFmtId="177" fontId="27" fillId="0" borderId="3" xfId="5" applyNumberFormat="1" applyFont="1" applyFill="1" applyBorder="1" applyAlignment="1">
      <alignment horizontal="center" vertical="center"/>
    </xf>
    <xf numFmtId="177" fontId="27" fillId="0" borderId="9" xfId="5" applyNumberFormat="1" applyFont="1" applyFill="1" applyBorder="1" applyAlignment="1">
      <alignment horizontal="center" vertical="center"/>
    </xf>
    <xf numFmtId="177" fontId="27" fillId="0" borderId="35" xfId="5" applyNumberFormat="1" applyFont="1" applyFill="1" applyBorder="1" applyAlignment="1">
      <alignment horizontal="center" vertical="center"/>
    </xf>
    <xf numFmtId="177" fontId="27" fillId="0" borderId="8" xfId="5" applyNumberFormat="1" applyFont="1" applyFill="1" applyBorder="1" applyAlignment="1">
      <alignment horizontal="center" vertical="center"/>
    </xf>
    <xf numFmtId="177" fontId="27" fillId="0" borderId="49" xfId="5" applyNumberFormat="1" applyFont="1" applyFill="1" applyBorder="1" applyAlignment="1">
      <alignment horizontal="center" vertical="center"/>
    </xf>
    <xf numFmtId="177" fontId="27" fillId="7" borderId="71" xfId="5" applyNumberFormat="1" applyFont="1" applyFill="1" applyBorder="1" applyAlignment="1">
      <alignment horizontal="center" vertical="center"/>
    </xf>
    <xf numFmtId="177" fontId="27" fillId="7" borderId="43" xfId="5" applyNumberFormat="1" applyFont="1" applyFill="1" applyBorder="1" applyAlignment="1">
      <alignment horizontal="center" vertical="center"/>
    </xf>
    <xf numFmtId="177" fontId="27" fillId="6" borderId="20" xfId="5" applyNumberFormat="1" applyFont="1" applyFill="1" applyBorder="1" applyAlignment="1">
      <alignment horizontal="center" vertical="center" wrapText="1"/>
    </xf>
    <xf numFmtId="9" fontId="27" fillId="6" borderId="8" xfId="5" applyNumberFormat="1" applyFont="1" applyFill="1" applyBorder="1" applyAlignment="1">
      <alignment horizontal="center" vertical="center"/>
    </xf>
    <xf numFmtId="9" fontId="27" fillId="6" borderId="42" xfId="5" applyNumberFormat="1" applyFont="1" applyFill="1" applyBorder="1" applyAlignment="1">
      <alignment horizontal="center" vertical="center"/>
    </xf>
    <xf numFmtId="177" fontId="26" fillId="14" borderId="16" xfId="5" applyNumberFormat="1" applyFont="1" applyFill="1" applyBorder="1" applyAlignment="1">
      <alignment horizontal="center" vertical="center"/>
    </xf>
    <xf numFmtId="177" fontId="26" fillId="14" borderId="20" xfId="5" applyNumberFormat="1" applyFont="1" applyFill="1" applyBorder="1" applyAlignment="1">
      <alignment horizontal="center" vertical="center"/>
    </xf>
    <xf numFmtId="177" fontId="26" fillId="14" borderId="21" xfId="5" applyNumberFormat="1" applyFont="1" applyFill="1" applyBorder="1" applyAlignment="1">
      <alignment horizontal="center" vertical="center"/>
    </xf>
    <xf numFmtId="177" fontId="27" fillId="7" borderId="17" xfId="5" applyNumberFormat="1" applyFont="1" applyFill="1" applyBorder="1" applyAlignment="1">
      <alignment horizontal="center" vertical="center"/>
    </xf>
    <xf numFmtId="177" fontId="27" fillId="7" borderId="32" xfId="5" applyNumberFormat="1" applyFont="1" applyFill="1" applyBorder="1" applyAlignment="1">
      <alignment horizontal="center" vertical="center"/>
    </xf>
    <xf numFmtId="180" fontId="27" fillId="7" borderId="8" xfId="1" applyNumberFormat="1" applyFont="1" applyFill="1" applyBorder="1" applyAlignment="1">
      <alignment horizontal="center" vertical="center"/>
    </xf>
    <xf numFmtId="180" fontId="27" fillId="7" borderId="49" xfId="1" applyNumberFormat="1" applyFont="1" applyFill="1" applyBorder="1" applyAlignment="1">
      <alignment horizontal="center" vertical="center"/>
    </xf>
    <xf numFmtId="9" fontId="54" fillId="0" borderId="40" xfId="5" applyNumberFormat="1" applyFont="1" applyBorder="1" applyAlignment="1">
      <alignment horizontal="center" vertical="center" wrapText="1"/>
    </xf>
    <xf numFmtId="9" fontId="54" fillId="0" borderId="66" xfId="5" applyNumberFormat="1" applyFont="1" applyBorder="1" applyAlignment="1">
      <alignment horizontal="center" vertical="center" wrapText="1"/>
    </xf>
    <xf numFmtId="9" fontId="54" fillId="0" borderId="42" xfId="5" applyNumberFormat="1" applyFont="1" applyBorder="1" applyAlignment="1">
      <alignment horizontal="center" vertical="center" wrapText="1"/>
    </xf>
    <xf numFmtId="0" fontId="27" fillId="0" borderId="27" xfId="5" applyFont="1" applyBorder="1" applyAlignment="1">
      <alignment horizontal="center" vertical="center"/>
    </xf>
    <xf numFmtId="0" fontId="27" fillId="6" borderId="45" xfId="5" applyFont="1" applyFill="1" applyBorder="1" applyAlignment="1">
      <alignment horizontal="center" vertical="center"/>
    </xf>
    <xf numFmtId="0" fontId="27" fillId="6" borderId="57" xfId="5" applyFont="1" applyFill="1" applyBorder="1" applyAlignment="1">
      <alignment horizontal="center" vertical="center"/>
    </xf>
    <xf numFmtId="0" fontId="27" fillId="0" borderId="58" xfId="5" applyFont="1" applyBorder="1" applyAlignment="1">
      <alignment horizontal="center" vertical="center"/>
    </xf>
    <xf numFmtId="0" fontId="27" fillId="0" borderId="68" xfId="5" applyFont="1" applyBorder="1" applyAlignment="1">
      <alignment horizontal="center" vertical="center"/>
    </xf>
    <xf numFmtId="177" fontId="26" fillId="6" borderId="47" xfId="5" applyNumberFormat="1" applyFont="1" applyFill="1" applyBorder="1" applyAlignment="1">
      <alignment horizontal="center" vertical="center" wrapText="1"/>
    </xf>
    <xf numFmtId="177" fontId="26" fillId="6" borderId="18" xfId="5" applyNumberFormat="1" applyFont="1" applyFill="1" applyBorder="1" applyAlignment="1">
      <alignment horizontal="center" vertical="center" wrapText="1"/>
    </xf>
    <xf numFmtId="177" fontId="26" fillId="6" borderId="44" xfId="5" applyNumberFormat="1" applyFont="1" applyFill="1" applyBorder="1" applyAlignment="1">
      <alignment horizontal="center" vertical="center" wrapText="1"/>
    </xf>
    <xf numFmtId="9" fontId="27" fillId="6" borderId="8" xfId="5" applyNumberFormat="1" applyFont="1" applyFill="1" applyBorder="1" applyAlignment="1">
      <alignment horizontal="center" vertical="center" wrapText="1"/>
    </xf>
    <xf numFmtId="0" fontId="27" fillId="6" borderId="30" xfId="5" applyFont="1" applyFill="1" applyBorder="1" applyAlignment="1">
      <alignment horizontal="center" vertical="center"/>
    </xf>
    <xf numFmtId="0" fontId="27" fillId="6" borderId="5" xfId="5" applyFont="1" applyFill="1" applyBorder="1" applyAlignment="1">
      <alignment horizontal="center" vertical="center"/>
    </xf>
    <xf numFmtId="0" fontId="27" fillId="6" borderId="6" xfId="5" applyFont="1" applyFill="1" applyBorder="1" applyAlignment="1">
      <alignment horizontal="center" vertical="center"/>
    </xf>
    <xf numFmtId="0" fontId="27" fillId="6" borderId="10" xfId="5" applyFont="1" applyFill="1" applyBorder="1" applyAlignment="1">
      <alignment horizontal="center" vertical="center"/>
    </xf>
    <xf numFmtId="0" fontId="76" fillId="0" borderId="45" xfId="5" applyNumberFormat="1" applyFont="1" applyFill="1" applyBorder="1" applyAlignment="1">
      <alignment horizontal="left"/>
    </xf>
    <xf numFmtId="0" fontId="76" fillId="0" borderId="52" xfId="5" applyNumberFormat="1" applyFont="1" applyFill="1" applyBorder="1" applyAlignment="1">
      <alignment horizontal="left"/>
    </xf>
    <xf numFmtId="0" fontId="76" fillId="0" borderId="57" xfId="5" applyNumberFormat="1" applyFont="1" applyFill="1" applyBorder="1" applyAlignment="1">
      <alignment horizontal="left"/>
    </xf>
    <xf numFmtId="0" fontId="58" fillId="0" borderId="22" xfId="5" applyFont="1" applyBorder="1" applyAlignment="1">
      <alignment horizontal="center" vertical="center" wrapText="1"/>
    </xf>
    <xf numFmtId="0" fontId="58" fillId="0" borderId="25" xfId="5" applyFont="1" applyBorder="1" applyAlignment="1">
      <alignment horizontal="center" vertical="center" wrapText="1"/>
    </xf>
    <xf numFmtId="0" fontId="58" fillId="0" borderId="26" xfId="5" applyFont="1" applyBorder="1" applyAlignment="1">
      <alignment horizontal="center" vertical="center" wrapText="1"/>
    </xf>
    <xf numFmtId="0" fontId="58" fillId="0" borderId="33" xfId="5" applyFont="1" applyBorder="1" applyAlignment="1">
      <alignment horizontal="center" vertical="center" wrapText="1"/>
    </xf>
    <xf numFmtId="0" fontId="58" fillId="0" borderId="36" xfId="5" applyFont="1" applyBorder="1" applyAlignment="1">
      <alignment horizontal="center" vertical="center" wrapText="1"/>
    </xf>
    <xf numFmtId="0" fontId="58" fillId="0" borderId="39" xfId="5" applyFont="1" applyBorder="1" applyAlignment="1">
      <alignment horizontal="center" vertical="center" wrapText="1"/>
    </xf>
    <xf numFmtId="0" fontId="58" fillId="0" borderId="27" xfId="5" applyFont="1" applyBorder="1" applyAlignment="1">
      <alignment horizontal="center" vertical="center" wrapText="1"/>
    </xf>
    <xf numFmtId="0" fontId="58" fillId="0" borderId="0" xfId="5" applyFont="1" applyBorder="1" applyAlignment="1">
      <alignment horizontal="center" vertical="center" wrapText="1"/>
    </xf>
    <xf numFmtId="0" fontId="58" fillId="0" borderId="30" xfId="5" applyFont="1" applyBorder="1" applyAlignment="1">
      <alignment horizontal="center" vertical="center" wrapText="1"/>
    </xf>
    <xf numFmtId="0" fontId="58" fillId="0" borderId="70" xfId="5" applyFont="1" applyBorder="1" applyAlignment="1">
      <alignment horizontal="center" vertical="center" wrapText="1"/>
    </xf>
    <xf numFmtId="0" fontId="58" fillId="0" borderId="58" xfId="5" applyFont="1" applyBorder="1" applyAlignment="1">
      <alignment horizontal="center" vertical="center" wrapText="1"/>
    </xf>
    <xf numFmtId="0" fontId="58" fillId="0" borderId="68" xfId="5" applyFont="1" applyBorder="1" applyAlignment="1">
      <alignment horizontal="center" vertical="center" wrapText="1"/>
    </xf>
    <xf numFmtId="0" fontId="27" fillId="0" borderId="0" xfId="5" applyFont="1" applyFill="1" applyBorder="1" applyAlignment="1">
      <alignment horizontal="center" vertical="center"/>
    </xf>
    <xf numFmtId="0" fontId="27" fillId="0" borderId="30" xfId="5" applyFont="1" applyFill="1" applyBorder="1" applyAlignment="1">
      <alignment horizontal="center" vertical="center"/>
    </xf>
    <xf numFmtId="0" fontId="54" fillId="6" borderId="47" xfId="5" applyFont="1" applyFill="1" applyBorder="1" applyAlignment="1">
      <alignment horizontal="center" vertical="center"/>
    </xf>
    <xf numFmtId="0" fontId="54" fillId="6" borderId="18" xfId="5" applyFont="1" applyFill="1" applyBorder="1" applyAlignment="1">
      <alignment horizontal="center" vertical="center"/>
    </xf>
    <xf numFmtId="0" fontId="54" fillId="6" borderId="17" xfId="5" applyFont="1" applyFill="1" applyBorder="1" applyAlignment="1">
      <alignment horizontal="center" vertical="center"/>
    </xf>
    <xf numFmtId="0" fontId="54" fillId="6" borderId="13" xfId="5" applyFont="1" applyFill="1" applyBorder="1" applyAlignment="1">
      <alignment horizontal="center" vertical="center" wrapText="1"/>
    </xf>
    <xf numFmtId="0" fontId="54" fillId="6" borderId="14" xfId="5" applyFont="1" applyFill="1" applyBorder="1" applyAlignment="1">
      <alignment horizontal="center" vertical="center" wrapText="1"/>
    </xf>
    <xf numFmtId="0" fontId="54" fillId="6" borderId="32" xfId="5" applyFont="1" applyFill="1" applyBorder="1" applyAlignment="1">
      <alignment horizontal="center" vertical="center"/>
    </xf>
    <xf numFmtId="0" fontId="54" fillId="6" borderId="40" xfId="5" applyFont="1" applyFill="1" applyBorder="1" applyAlignment="1">
      <alignment horizontal="center" vertical="center"/>
    </xf>
    <xf numFmtId="0" fontId="54" fillId="6" borderId="63" xfId="5" applyFont="1" applyFill="1" applyBorder="1" applyAlignment="1">
      <alignment horizontal="center" vertical="center"/>
    </xf>
    <xf numFmtId="0" fontId="54" fillId="6" borderId="72" xfId="5" applyFont="1" applyFill="1" applyBorder="1" applyAlignment="1">
      <alignment horizontal="center" vertical="center"/>
    </xf>
    <xf numFmtId="0" fontId="54" fillId="6" borderId="65" xfId="5" applyFont="1" applyFill="1" applyBorder="1" applyAlignment="1">
      <alignment horizontal="center" vertical="center"/>
    </xf>
    <xf numFmtId="177" fontId="27" fillId="7" borderId="47" xfId="5" applyNumberFormat="1" applyFont="1" applyFill="1" applyBorder="1" applyAlignment="1">
      <alignment horizontal="center" vertical="center"/>
    </xf>
    <xf numFmtId="177" fontId="27" fillId="7" borderId="13" xfId="5" applyNumberFormat="1" applyFont="1" applyFill="1" applyBorder="1" applyAlignment="1">
      <alignment horizontal="center" vertical="center"/>
    </xf>
    <xf numFmtId="177" fontId="27" fillId="7" borderId="46" xfId="5" applyNumberFormat="1" applyFont="1" applyFill="1" applyBorder="1" applyAlignment="1">
      <alignment horizontal="center" vertical="center"/>
    </xf>
    <xf numFmtId="177" fontId="27" fillId="0" borderId="17" xfId="5" applyNumberFormat="1" applyFont="1" applyFill="1" applyBorder="1" applyAlignment="1">
      <alignment horizontal="center" vertical="center"/>
    </xf>
    <xf numFmtId="177" fontId="27" fillId="0" borderId="32" xfId="5" applyNumberFormat="1" applyFont="1" applyFill="1" applyBorder="1" applyAlignment="1">
      <alignment horizontal="center" vertical="center"/>
    </xf>
    <xf numFmtId="177" fontId="27" fillId="0" borderId="14" xfId="5" applyNumberFormat="1" applyFont="1" applyFill="1" applyBorder="1" applyAlignment="1">
      <alignment horizontal="center" vertical="center"/>
    </xf>
    <xf numFmtId="177" fontId="27" fillId="0" borderId="24" xfId="5" applyNumberFormat="1" applyFont="1" applyFill="1" applyBorder="1" applyAlignment="1">
      <alignment horizontal="center" vertical="center"/>
    </xf>
    <xf numFmtId="177" fontId="27" fillId="0" borderId="69" xfId="5" applyNumberFormat="1" applyFont="1" applyFill="1" applyBorder="1" applyAlignment="1">
      <alignment horizontal="center" vertical="center"/>
    </xf>
    <xf numFmtId="177" fontId="27" fillId="0" borderId="40" xfId="5" applyNumberFormat="1" applyFont="1" applyFill="1" applyBorder="1" applyAlignment="1">
      <alignment horizontal="center" vertical="center"/>
    </xf>
    <xf numFmtId="177" fontId="27" fillId="0" borderId="42" xfId="5" applyNumberFormat="1" applyFont="1" applyFill="1" applyBorder="1" applyAlignment="1">
      <alignment horizontal="center" vertical="center"/>
    </xf>
    <xf numFmtId="177" fontId="27" fillId="0" borderId="46" xfId="5" applyNumberFormat="1" applyFont="1" applyFill="1" applyBorder="1" applyAlignment="1">
      <alignment horizontal="center" vertical="center"/>
    </xf>
    <xf numFmtId="177" fontId="27" fillId="7" borderId="41" xfId="0" applyNumberFormat="1" applyFont="1" applyFill="1" applyBorder="1" applyAlignment="1">
      <alignment horizontal="center" vertical="center"/>
    </xf>
    <xf numFmtId="177" fontId="27" fillId="7" borderId="48" xfId="0" applyNumberFormat="1" applyFont="1" applyFill="1" applyBorder="1" applyAlignment="1">
      <alignment horizontal="center" vertical="center"/>
    </xf>
    <xf numFmtId="177" fontId="27" fillId="7" borderId="43" xfId="0" applyNumberFormat="1" applyFont="1" applyFill="1" applyBorder="1" applyAlignment="1">
      <alignment horizontal="center" vertical="center"/>
    </xf>
    <xf numFmtId="177" fontId="27" fillId="7" borderId="71" xfId="0" applyNumberFormat="1" applyFont="1" applyFill="1" applyBorder="1" applyAlignment="1">
      <alignment horizontal="center" vertical="center"/>
    </xf>
    <xf numFmtId="0" fontId="41" fillId="2" borderId="1" xfId="0" applyFont="1" applyFill="1" applyBorder="1" applyAlignment="1">
      <alignment horizontal="center" vertical="center"/>
    </xf>
    <xf numFmtId="0" fontId="27" fillId="6" borderId="16" xfId="0" applyFont="1" applyFill="1" applyBorder="1" applyAlignment="1">
      <alignment horizontal="center" vertical="center"/>
    </xf>
    <xf numFmtId="0" fontId="27" fillId="6" borderId="19" xfId="0" applyFont="1" applyFill="1" applyBorder="1" applyAlignment="1">
      <alignment horizontal="center" vertical="center"/>
    </xf>
    <xf numFmtId="0" fontId="27" fillId="6" borderId="21" xfId="0" applyFont="1" applyFill="1" applyBorder="1" applyAlignment="1">
      <alignment horizontal="center" vertical="center"/>
    </xf>
    <xf numFmtId="0" fontId="27" fillId="7" borderId="22" xfId="0" applyFont="1" applyFill="1" applyBorder="1" applyAlignment="1">
      <alignment horizontal="center" vertical="center"/>
    </xf>
    <xf numFmtId="0" fontId="27" fillId="7" borderId="25" xfId="0" applyFont="1" applyFill="1" applyBorder="1" applyAlignment="1">
      <alignment horizontal="center" vertical="center"/>
    </xf>
    <xf numFmtId="0" fontId="27" fillId="7" borderId="23" xfId="0" applyFont="1" applyFill="1" applyBorder="1" applyAlignment="1">
      <alignment horizontal="center" vertical="center"/>
    </xf>
    <xf numFmtId="0" fontId="27" fillId="7" borderId="24" xfId="0" applyFont="1" applyFill="1" applyBorder="1" applyAlignment="1">
      <alignment horizontal="center" vertical="center"/>
    </xf>
    <xf numFmtId="0" fontId="27" fillId="7" borderId="26"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36" xfId="0" applyFont="1" applyFill="1" applyBorder="1" applyAlignment="1">
      <alignment horizontal="center" vertical="center"/>
    </xf>
    <xf numFmtId="0" fontId="27" fillId="7" borderId="39" xfId="0" applyFont="1" applyFill="1" applyBorder="1" applyAlignment="1">
      <alignment horizontal="center" vertical="center"/>
    </xf>
    <xf numFmtId="0" fontId="27" fillId="7" borderId="33" xfId="0" applyFont="1" applyFill="1" applyBorder="1" applyAlignment="1">
      <alignment horizontal="center" vertical="center"/>
    </xf>
    <xf numFmtId="0" fontId="27" fillId="7" borderId="34" xfId="0" applyFont="1" applyFill="1" applyBorder="1" applyAlignment="1">
      <alignment horizontal="center" vertical="center"/>
    </xf>
    <xf numFmtId="0" fontId="27" fillId="7" borderId="37" xfId="0" applyFont="1" applyFill="1" applyBorder="1" applyAlignment="1">
      <alignment horizontal="center" vertical="center"/>
    </xf>
    <xf numFmtId="0" fontId="27" fillId="7" borderId="38" xfId="0" applyFont="1" applyFill="1" applyBorder="1" applyAlignment="1">
      <alignment horizontal="center" vertical="center"/>
    </xf>
    <xf numFmtId="0" fontId="27" fillId="7" borderId="32" xfId="0" applyFont="1" applyFill="1" applyBorder="1" applyAlignment="1">
      <alignment horizontal="center" vertical="center"/>
    </xf>
    <xf numFmtId="0" fontId="27" fillId="7" borderId="31" xfId="0" applyFont="1" applyFill="1" applyBorder="1" applyAlignment="1">
      <alignment horizontal="center" vertical="center"/>
    </xf>
    <xf numFmtId="0" fontId="27" fillId="7" borderId="56" xfId="0" applyFont="1" applyFill="1" applyBorder="1" applyAlignment="1">
      <alignment horizontal="center" vertical="center"/>
    </xf>
    <xf numFmtId="0" fontId="27" fillId="6" borderId="37" xfId="0" applyFont="1" applyFill="1" applyBorder="1" applyAlignment="1">
      <alignment horizontal="center" vertical="center" wrapText="1"/>
    </xf>
    <xf numFmtId="0" fontId="27" fillId="6" borderId="38"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25" xfId="0" applyFont="1" applyFill="1" applyBorder="1" applyAlignment="1">
      <alignment horizontal="center" vertical="center" wrapText="1"/>
    </xf>
    <xf numFmtId="0" fontId="27" fillId="6" borderId="26" xfId="0" applyFont="1" applyFill="1" applyBorder="1" applyAlignment="1">
      <alignment horizontal="center" vertical="center" wrapText="1"/>
    </xf>
    <xf numFmtId="177" fontId="27" fillId="7" borderId="40" xfId="0" applyNumberFormat="1" applyFont="1" applyFill="1" applyBorder="1" applyAlignment="1">
      <alignment horizontal="center" vertical="center"/>
    </xf>
    <xf numFmtId="177" fontId="27" fillId="7" borderId="49" xfId="0" applyNumberFormat="1" applyFont="1" applyFill="1" applyBorder="1" applyAlignment="1">
      <alignment horizontal="center" vertical="center"/>
    </xf>
    <xf numFmtId="0" fontId="27" fillId="6" borderId="27"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30" xfId="0" applyFont="1" applyFill="1" applyBorder="1" applyAlignment="1">
      <alignment horizontal="center" vertical="center"/>
    </xf>
    <xf numFmtId="177" fontId="27" fillId="7" borderId="63" xfId="0" applyNumberFormat="1" applyFont="1" applyFill="1" applyBorder="1" applyAlignment="1">
      <alignment horizontal="center" vertical="center"/>
    </xf>
    <xf numFmtId="177" fontId="27" fillId="7" borderId="50" xfId="0" applyNumberFormat="1" applyFont="1" applyFill="1" applyBorder="1" applyAlignment="1">
      <alignment horizontal="center" vertical="center"/>
    </xf>
    <xf numFmtId="177" fontId="27" fillId="6" borderId="65" xfId="0" applyNumberFormat="1" applyFont="1" applyFill="1" applyBorder="1" applyAlignment="1">
      <alignment horizontal="center" vertical="center" wrapText="1"/>
    </xf>
    <xf numFmtId="177" fontId="27" fillId="6" borderId="8" xfId="0" applyNumberFormat="1" applyFont="1" applyFill="1" applyBorder="1" applyAlignment="1">
      <alignment horizontal="center" vertical="center"/>
    </xf>
    <xf numFmtId="0" fontId="27" fillId="7" borderId="22" xfId="0" applyFont="1" applyFill="1" applyBorder="1" applyAlignment="1">
      <alignment horizontal="center" vertical="center" wrapText="1"/>
    </xf>
    <xf numFmtId="0" fontId="27" fillId="7" borderId="25"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7" borderId="27" xfId="0" applyFont="1" applyFill="1" applyBorder="1" applyAlignment="1">
      <alignment horizontal="center" vertical="center" wrapText="1"/>
    </xf>
    <xf numFmtId="0" fontId="27" fillId="7" borderId="0"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7" fillId="7" borderId="67" xfId="0" applyFont="1" applyFill="1" applyBorder="1" applyAlignment="1">
      <alignment horizontal="center" vertical="center" wrapText="1"/>
    </xf>
    <xf numFmtId="0" fontId="27" fillId="7" borderId="29"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30" xfId="0" applyFont="1" applyFill="1" applyBorder="1" applyAlignment="1">
      <alignment horizontal="center" vertical="center"/>
    </xf>
    <xf numFmtId="0" fontId="27" fillId="7" borderId="6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8" xfId="0" applyFont="1" applyFill="1" applyBorder="1" applyAlignment="1">
      <alignment horizontal="center" vertical="center"/>
    </xf>
    <xf numFmtId="177" fontId="27" fillId="7" borderId="64" xfId="0" applyNumberFormat="1" applyFont="1" applyFill="1" applyBorder="1" applyAlignment="1">
      <alignment horizontal="center" vertical="center"/>
    </xf>
    <xf numFmtId="177" fontId="27" fillId="7" borderId="8" xfId="0" applyNumberFormat="1" applyFont="1" applyFill="1" applyBorder="1" applyAlignment="1">
      <alignment horizontal="center" vertical="center"/>
    </xf>
    <xf numFmtId="177" fontId="27" fillId="11" borderId="40" xfId="0" applyNumberFormat="1" applyFont="1" applyFill="1" applyBorder="1" applyAlignment="1">
      <alignment horizontal="center" vertical="center"/>
    </xf>
    <xf numFmtId="177" fontId="27" fillId="11" borderId="49" xfId="0" applyNumberFormat="1" applyFont="1" applyFill="1" applyBorder="1" applyAlignment="1">
      <alignment horizontal="center" vertical="center"/>
    </xf>
    <xf numFmtId="177" fontId="27" fillId="7" borderId="65" xfId="0" applyNumberFormat="1" applyFont="1" applyFill="1" applyBorder="1" applyAlignment="1">
      <alignment horizontal="center" vertical="center"/>
    </xf>
    <xf numFmtId="177" fontId="27" fillId="7" borderId="42" xfId="0" applyNumberFormat="1" applyFont="1" applyFill="1" applyBorder="1" applyAlignment="1">
      <alignment horizontal="center" vertical="center"/>
    </xf>
    <xf numFmtId="177" fontId="27" fillId="0" borderId="64" xfId="7" applyNumberFormat="1" applyFont="1" applyFill="1" applyBorder="1" applyAlignment="1">
      <alignment horizontal="center" vertical="center"/>
    </xf>
    <xf numFmtId="177" fontId="27" fillId="0" borderId="50" xfId="7" applyNumberFormat="1" applyFont="1" applyFill="1" applyBorder="1" applyAlignment="1">
      <alignment horizontal="center" vertical="center"/>
    </xf>
    <xf numFmtId="177" fontId="27" fillId="0" borderId="8" xfId="7" applyNumberFormat="1" applyFont="1" applyFill="1" applyBorder="1" applyAlignment="1">
      <alignment horizontal="center" vertical="center"/>
    </xf>
    <xf numFmtId="177" fontId="27" fillId="0" borderId="49" xfId="7" applyNumberFormat="1" applyFont="1" applyFill="1" applyBorder="1" applyAlignment="1">
      <alignment horizontal="center" vertical="center"/>
    </xf>
    <xf numFmtId="177" fontId="27" fillId="0" borderId="40" xfId="7" applyNumberFormat="1" applyFont="1" applyFill="1" applyBorder="1" applyAlignment="1">
      <alignment horizontal="center" vertical="center"/>
    </xf>
    <xf numFmtId="177" fontId="27" fillId="0" borderId="42" xfId="7" applyNumberFormat="1" applyFont="1" applyFill="1" applyBorder="1" applyAlignment="1">
      <alignment horizontal="center" vertical="center"/>
    </xf>
    <xf numFmtId="177" fontId="27" fillId="0" borderId="41" xfId="9" applyNumberFormat="1" applyFont="1" applyFill="1" applyBorder="1" applyAlignment="1">
      <alignment horizontal="center" vertical="center"/>
    </xf>
    <xf numFmtId="177" fontId="27" fillId="0" borderId="43" xfId="9" applyNumberFormat="1" applyFont="1" applyFill="1" applyBorder="1" applyAlignment="1">
      <alignment horizontal="center" vertical="center"/>
    </xf>
    <xf numFmtId="177" fontId="27" fillId="0" borderId="71" xfId="9" applyNumberFormat="1" applyFont="1" applyFill="1" applyBorder="1" applyAlignment="1">
      <alignment horizontal="center" vertical="center"/>
    </xf>
    <xf numFmtId="177" fontId="75" fillId="6" borderId="64" xfId="7" applyNumberFormat="1" applyFont="1" applyFill="1" applyBorder="1" applyAlignment="1">
      <alignment horizontal="center" vertical="center" wrapText="1"/>
    </xf>
    <xf numFmtId="177" fontId="75" fillId="6" borderId="65" xfId="7" applyNumberFormat="1" applyFont="1" applyFill="1" applyBorder="1" applyAlignment="1">
      <alignment horizontal="center" vertical="center" wrapText="1"/>
    </xf>
    <xf numFmtId="177" fontId="53" fillId="8" borderId="19" xfId="6" applyNumberFormat="1" applyFont="1" applyFill="1" applyBorder="1" applyAlignment="1">
      <alignment horizontal="center" vertical="center"/>
    </xf>
    <xf numFmtId="177" fontId="53" fillId="8" borderId="20" xfId="6" applyNumberFormat="1" applyFont="1" applyFill="1" applyBorder="1" applyAlignment="1">
      <alignment horizontal="center" vertical="center"/>
    </xf>
    <xf numFmtId="177" fontId="53" fillId="8" borderId="21" xfId="6" applyNumberFormat="1" applyFont="1" applyFill="1" applyBorder="1" applyAlignment="1">
      <alignment horizontal="center" vertical="center"/>
    </xf>
    <xf numFmtId="177" fontId="27" fillId="0" borderId="65" xfId="7" applyNumberFormat="1" applyFont="1" applyFill="1" applyBorder="1" applyAlignment="1">
      <alignment horizontal="center" vertical="center"/>
    </xf>
    <xf numFmtId="177" fontId="27" fillId="0" borderId="8" xfId="1" applyNumberFormat="1" applyFont="1" applyFill="1" applyBorder="1" applyAlignment="1">
      <alignment horizontal="center" vertical="center"/>
    </xf>
    <xf numFmtId="177" fontId="27" fillId="0" borderId="42" xfId="1" applyNumberFormat="1" applyFont="1" applyFill="1" applyBorder="1" applyAlignment="1">
      <alignment horizontal="center" vertical="center"/>
    </xf>
    <xf numFmtId="177" fontId="26" fillId="8" borderId="19" xfId="6" applyNumberFormat="1" applyFont="1" applyFill="1" applyBorder="1" applyAlignment="1">
      <alignment horizontal="center" vertical="center"/>
    </xf>
    <xf numFmtId="177" fontId="26" fillId="8" borderId="20" xfId="6" applyNumberFormat="1" applyFont="1" applyFill="1" applyBorder="1" applyAlignment="1">
      <alignment horizontal="center" vertical="center"/>
    </xf>
    <xf numFmtId="177" fontId="26" fillId="8" borderId="21" xfId="6" applyNumberFormat="1" applyFont="1" applyFill="1" applyBorder="1" applyAlignment="1">
      <alignment horizontal="center" vertical="center"/>
    </xf>
    <xf numFmtId="177" fontId="27" fillId="0" borderId="80" xfId="9" applyNumberFormat="1" applyFont="1" applyFill="1" applyBorder="1" applyAlignment="1">
      <alignment horizontal="center" vertical="center"/>
    </xf>
    <xf numFmtId="177" fontId="27" fillId="0" borderId="71" xfId="7" applyNumberFormat="1" applyFont="1" applyFill="1" applyBorder="1" applyAlignment="1">
      <alignment horizontal="center" vertical="center"/>
    </xf>
    <xf numFmtId="177" fontId="27" fillId="0" borderId="48" xfId="7" applyNumberFormat="1" applyFont="1" applyFill="1" applyBorder="1" applyAlignment="1">
      <alignment horizontal="center" vertical="center"/>
    </xf>
    <xf numFmtId="177" fontId="27" fillId="0" borderId="40" xfId="1" applyNumberFormat="1" applyFont="1" applyFill="1" applyBorder="1" applyAlignment="1">
      <alignment horizontal="center" vertical="center"/>
    </xf>
    <xf numFmtId="177" fontId="27" fillId="0" borderId="49" xfId="1" applyNumberFormat="1" applyFont="1" applyFill="1" applyBorder="1" applyAlignment="1">
      <alignment horizontal="center" vertical="center"/>
    </xf>
    <xf numFmtId="177" fontId="27" fillId="0" borderId="48" xfId="9" applyNumberFormat="1" applyFont="1" applyFill="1" applyBorder="1" applyAlignment="1">
      <alignment horizontal="center" vertical="center"/>
    </xf>
    <xf numFmtId="177" fontId="26" fillId="8" borderId="35" xfId="6" applyNumberFormat="1" applyFont="1" applyFill="1" applyBorder="1" applyAlignment="1">
      <alignment horizontal="center" vertical="center"/>
    </xf>
    <xf numFmtId="177" fontId="26" fillId="8" borderId="36" xfId="6" applyNumberFormat="1" applyFont="1" applyFill="1" applyBorder="1" applyAlignment="1">
      <alignment horizontal="center" vertical="center"/>
    </xf>
    <xf numFmtId="177" fontId="26" fillId="8" borderId="39" xfId="6" applyNumberFormat="1" applyFont="1" applyFill="1" applyBorder="1" applyAlignment="1">
      <alignment horizontal="center" vertical="center"/>
    </xf>
    <xf numFmtId="177" fontId="27" fillId="0" borderId="72" xfId="7" applyNumberFormat="1" applyFont="1" applyFill="1" applyBorder="1" applyAlignment="1">
      <alignment horizontal="center" vertical="center"/>
    </xf>
    <xf numFmtId="177" fontId="27" fillId="0" borderId="66" xfId="7" applyNumberFormat="1" applyFont="1" applyFill="1" applyBorder="1" applyAlignment="1">
      <alignment horizontal="center" vertical="center"/>
    </xf>
    <xf numFmtId="177" fontId="27" fillId="0" borderId="66" xfId="1" applyNumberFormat="1" applyFont="1" applyFill="1" applyBorder="1" applyAlignment="1">
      <alignment horizontal="center" vertical="center"/>
    </xf>
    <xf numFmtId="177" fontId="26" fillId="8" borderId="31" xfId="6" applyNumberFormat="1" applyFont="1" applyFill="1" applyBorder="1" applyAlignment="1">
      <alignment horizontal="center" vertical="center"/>
    </xf>
    <xf numFmtId="177" fontId="26" fillId="8" borderId="38" xfId="6" applyNumberFormat="1" applyFont="1" applyFill="1" applyBorder="1" applyAlignment="1">
      <alignment horizontal="center" vertical="center"/>
    </xf>
    <xf numFmtId="177" fontId="26" fillId="8" borderId="56" xfId="6" applyNumberFormat="1" applyFont="1" applyFill="1" applyBorder="1" applyAlignment="1">
      <alignment horizontal="center" vertical="center"/>
    </xf>
    <xf numFmtId="177" fontId="27" fillId="0" borderId="63" xfId="7" applyNumberFormat="1" applyFont="1" applyFill="1" applyBorder="1" applyAlignment="1">
      <alignment horizontal="center" vertical="center"/>
    </xf>
    <xf numFmtId="0" fontId="27" fillId="7" borderId="27" xfId="5" applyFont="1" applyFill="1" applyBorder="1" applyAlignment="1">
      <alignment horizontal="center" vertical="center" wrapText="1"/>
    </xf>
    <xf numFmtId="0" fontId="27" fillId="7" borderId="0" xfId="5" applyFont="1" applyFill="1" applyBorder="1" applyAlignment="1">
      <alignment horizontal="center" vertical="center" wrapText="1"/>
    </xf>
    <xf numFmtId="0" fontId="27" fillId="7" borderId="30" xfId="5" applyFont="1" applyFill="1" applyBorder="1" applyAlignment="1">
      <alignment horizontal="center" vertical="center" wrapText="1"/>
    </xf>
    <xf numFmtId="0" fontId="27" fillId="7" borderId="33" xfId="5" applyFont="1" applyFill="1" applyBorder="1" applyAlignment="1">
      <alignment horizontal="center" vertical="center" wrapText="1"/>
    </xf>
    <xf numFmtId="0" fontId="27" fillId="7" borderId="36" xfId="5" applyFont="1" applyFill="1" applyBorder="1" applyAlignment="1">
      <alignment horizontal="center" vertical="center" wrapText="1"/>
    </xf>
    <xf numFmtId="0" fontId="27" fillId="7" borderId="39" xfId="5" applyFont="1" applyFill="1" applyBorder="1" applyAlignment="1">
      <alignment horizontal="center" vertical="center" wrapText="1"/>
    </xf>
    <xf numFmtId="0" fontId="27" fillId="8" borderId="19" xfId="5" applyFont="1" applyFill="1" applyBorder="1" applyAlignment="1">
      <alignment horizontal="center" vertical="center"/>
    </xf>
    <xf numFmtId="0" fontId="27" fillId="8" borderId="17" xfId="5" applyFont="1" applyFill="1" applyBorder="1" applyAlignment="1">
      <alignment horizontal="center" vertical="center"/>
    </xf>
    <xf numFmtId="0" fontId="27" fillId="7" borderId="45" xfId="5" applyFont="1" applyFill="1" applyBorder="1" applyAlignment="1">
      <alignment horizontal="left" vertical="center" wrapText="1"/>
    </xf>
    <xf numFmtId="0" fontId="27" fillId="7" borderId="52" xfId="5" applyFont="1" applyFill="1" applyBorder="1" applyAlignment="1">
      <alignment horizontal="left" vertical="center" wrapText="1"/>
    </xf>
    <xf numFmtId="0" fontId="27" fillId="7" borderId="57" xfId="5" applyFont="1" applyFill="1" applyBorder="1" applyAlignment="1">
      <alignment horizontal="left" vertical="center" wrapText="1"/>
    </xf>
    <xf numFmtId="0" fontId="26" fillId="0" borderId="22" xfId="5" applyFont="1" applyBorder="1" applyAlignment="1">
      <alignment horizontal="center" vertical="center"/>
    </xf>
    <xf numFmtId="0" fontId="26" fillId="0" borderId="26" xfId="5" applyFont="1" applyBorder="1" applyAlignment="1">
      <alignment horizontal="center" vertical="center"/>
    </xf>
    <xf numFmtId="0" fontId="26" fillId="0" borderId="70" xfId="5" applyFont="1" applyBorder="1" applyAlignment="1">
      <alignment horizontal="center" vertical="center"/>
    </xf>
    <xf numFmtId="0" fontId="26" fillId="0" borderId="68" xfId="5" applyFont="1" applyBorder="1" applyAlignment="1">
      <alignment horizontal="center" vertical="center"/>
    </xf>
    <xf numFmtId="0" fontId="27" fillId="0" borderId="22" xfId="5" applyFont="1" applyBorder="1" applyAlignment="1">
      <alignment horizontal="center" vertical="center" wrapText="1"/>
    </xf>
    <xf numFmtId="0" fontId="27" fillId="0" borderId="25" xfId="5" applyFont="1" applyBorder="1" applyAlignment="1">
      <alignment horizontal="center" vertical="center" wrapText="1"/>
    </xf>
    <xf numFmtId="0" fontId="27" fillId="0" borderId="26" xfId="5" applyFont="1" applyBorder="1" applyAlignment="1">
      <alignment horizontal="center" vertical="center" wrapText="1"/>
    </xf>
    <xf numFmtId="0" fontId="27" fillId="0" borderId="70" xfId="5" applyFont="1" applyBorder="1" applyAlignment="1">
      <alignment horizontal="center" vertical="center" wrapText="1"/>
    </xf>
    <xf numFmtId="0" fontId="56" fillId="0" borderId="22" xfId="5" applyFont="1" applyBorder="1" applyAlignment="1">
      <alignment horizontal="center" vertical="center" wrapText="1"/>
    </xf>
    <xf numFmtId="0" fontId="56" fillId="0" borderId="25" xfId="5" applyFont="1" applyBorder="1" applyAlignment="1">
      <alignment horizontal="center" vertical="center" wrapText="1"/>
    </xf>
    <xf numFmtId="0" fontId="56" fillId="0" borderId="26" xfId="5" applyFont="1" applyBorder="1" applyAlignment="1">
      <alignment horizontal="center" vertical="center" wrapText="1"/>
    </xf>
    <xf numFmtId="0" fontId="56" fillId="0" borderId="70" xfId="5" applyFont="1" applyBorder="1" applyAlignment="1">
      <alignment horizontal="center" vertical="center" wrapText="1"/>
    </xf>
    <xf numFmtId="0" fontId="56" fillId="0" borderId="58" xfId="5" applyFont="1" applyBorder="1" applyAlignment="1">
      <alignment horizontal="center" vertical="center" wrapText="1"/>
    </xf>
    <xf numFmtId="0" fontId="56" fillId="0" borderId="68" xfId="5" applyFont="1" applyBorder="1" applyAlignment="1">
      <alignment horizontal="center" vertical="center" wrapText="1"/>
    </xf>
    <xf numFmtId="177" fontId="27" fillId="6" borderId="40" xfId="5" applyNumberFormat="1" applyFont="1" applyFill="1" applyBorder="1" applyAlignment="1">
      <alignment horizontal="center" vertical="center" wrapText="1"/>
    </xf>
    <xf numFmtId="177" fontId="27" fillId="6" borderId="42" xfId="5" applyNumberFormat="1" applyFont="1" applyFill="1" applyBorder="1" applyAlignment="1">
      <alignment horizontal="center" vertical="center" wrapText="1"/>
    </xf>
    <xf numFmtId="177" fontId="27" fillId="6" borderId="41" xfId="5" applyNumberFormat="1" applyFont="1" applyFill="1" applyBorder="1" applyAlignment="1">
      <alignment horizontal="center" vertical="center"/>
    </xf>
    <xf numFmtId="177" fontId="27" fillId="6" borderId="43" xfId="5" applyNumberFormat="1" applyFont="1" applyFill="1" applyBorder="1" applyAlignment="1">
      <alignment horizontal="center" vertical="center"/>
    </xf>
    <xf numFmtId="177" fontId="27" fillId="6" borderId="63" xfId="5" applyNumberFormat="1" applyFont="1" applyFill="1" applyBorder="1" applyAlignment="1">
      <alignment horizontal="center" vertical="center"/>
    </xf>
    <xf numFmtId="177" fontId="27" fillId="6" borderId="65" xfId="5" applyNumberFormat="1" applyFont="1" applyFill="1" applyBorder="1" applyAlignment="1">
      <alignment horizontal="center" vertical="center"/>
    </xf>
    <xf numFmtId="177" fontId="27" fillId="6" borderId="8" xfId="7" applyNumberFormat="1" applyFont="1" applyFill="1" applyBorder="1" applyAlignment="1">
      <alignment horizontal="center" vertical="center"/>
    </xf>
    <xf numFmtId="177" fontId="27" fillId="6" borderId="66" xfId="7" applyNumberFormat="1" applyFont="1" applyFill="1" applyBorder="1" applyAlignment="1">
      <alignment horizontal="center" vertical="center"/>
    </xf>
    <xf numFmtId="177" fontId="27" fillId="6" borderId="42" xfId="7" applyNumberFormat="1" applyFont="1" applyFill="1" applyBorder="1" applyAlignment="1">
      <alignment horizontal="center" vertical="center"/>
    </xf>
    <xf numFmtId="177" fontId="27" fillId="6" borderId="19" xfId="7" applyNumberFormat="1" applyFont="1" applyFill="1" applyBorder="1" applyAlignment="1">
      <alignment horizontal="center" vertical="center"/>
    </xf>
    <xf numFmtId="177" fontId="27" fillId="6" borderId="20" xfId="7" applyNumberFormat="1" applyFont="1" applyFill="1" applyBorder="1" applyAlignment="1">
      <alignment horizontal="center" vertical="center"/>
    </xf>
    <xf numFmtId="177" fontId="27" fillId="6" borderId="17" xfId="7" applyNumberFormat="1" applyFont="1" applyFill="1" applyBorder="1" applyAlignment="1">
      <alignment horizontal="center" vertical="center"/>
    </xf>
    <xf numFmtId="177" fontId="27" fillId="6" borderId="40" xfId="7" applyNumberFormat="1" applyFont="1" applyFill="1" applyBorder="1" applyAlignment="1">
      <alignment horizontal="center" vertical="center" wrapText="1"/>
    </xf>
    <xf numFmtId="177" fontId="27" fillId="6" borderId="42" xfId="7" applyNumberFormat="1" applyFont="1" applyFill="1" applyBorder="1" applyAlignment="1">
      <alignment horizontal="center" vertical="center" wrapText="1"/>
    </xf>
    <xf numFmtId="0" fontId="27" fillId="7" borderId="70" xfId="5" applyFont="1" applyFill="1" applyBorder="1" applyAlignment="1">
      <alignment horizontal="left" vertical="center"/>
    </xf>
    <xf numFmtId="0" fontId="27" fillId="7" borderId="58" xfId="5" applyFont="1" applyFill="1" applyBorder="1" applyAlignment="1">
      <alignment horizontal="left" vertical="center"/>
    </xf>
    <xf numFmtId="0" fontId="27" fillId="7" borderId="68" xfId="5" applyFont="1" applyFill="1" applyBorder="1" applyAlignment="1">
      <alignment horizontal="left" vertical="center"/>
    </xf>
    <xf numFmtId="177" fontId="27" fillId="6" borderId="41" xfId="7" applyNumberFormat="1" applyFont="1" applyFill="1" applyBorder="1" applyAlignment="1">
      <alignment horizontal="center" vertical="center"/>
    </xf>
    <xf numFmtId="177" fontId="27" fillId="6" borderId="43" xfId="7" applyNumberFormat="1" applyFont="1" applyFill="1" applyBorder="1" applyAlignment="1">
      <alignment horizontal="center" vertical="center"/>
    </xf>
    <xf numFmtId="0" fontId="27" fillId="0" borderId="45" xfId="5" applyFont="1" applyBorder="1" applyAlignment="1">
      <alignment horizontal="center" vertical="center" wrapText="1"/>
    </xf>
    <xf numFmtId="0" fontId="27" fillId="0" borderId="52" xfId="5" applyFont="1" applyBorder="1" applyAlignment="1">
      <alignment horizontal="center" vertical="center" wrapText="1"/>
    </xf>
    <xf numFmtId="0" fontId="27" fillId="0" borderId="57" xfId="5" applyFont="1" applyBorder="1" applyAlignment="1">
      <alignment horizontal="center" vertical="center" wrapText="1"/>
    </xf>
    <xf numFmtId="0" fontId="27" fillId="8" borderId="21" xfId="5" applyFont="1" applyFill="1" applyBorder="1" applyAlignment="1">
      <alignment horizontal="center" vertical="center"/>
    </xf>
    <xf numFmtId="9" fontId="27" fillId="0" borderId="51" xfId="10" applyFont="1" applyFill="1" applyBorder="1" applyAlignment="1">
      <alignment horizontal="center" vertical="center"/>
    </xf>
    <xf numFmtId="9" fontId="27" fillId="0" borderId="46" xfId="10" applyFont="1" applyFill="1" applyBorder="1" applyAlignment="1">
      <alignment horizontal="center" vertical="center"/>
    </xf>
    <xf numFmtId="176" fontId="27" fillId="0" borderId="51" xfId="10" applyNumberFormat="1" applyFont="1" applyFill="1" applyBorder="1" applyAlignment="1">
      <alignment horizontal="center" vertical="center"/>
    </xf>
    <xf numFmtId="176" fontId="27" fillId="0" borderId="46" xfId="10" applyNumberFormat="1" applyFont="1" applyFill="1" applyBorder="1" applyAlignment="1">
      <alignment horizontal="center" vertical="center"/>
    </xf>
    <xf numFmtId="0" fontId="15" fillId="2" borderId="1" xfId="5" applyFont="1" applyFill="1" applyBorder="1" applyAlignment="1">
      <alignment horizontal="center" vertical="center"/>
    </xf>
    <xf numFmtId="177" fontId="27" fillId="6" borderId="16" xfId="5" applyNumberFormat="1" applyFont="1" applyFill="1" applyBorder="1" applyAlignment="1">
      <alignment horizontal="center" vertical="center"/>
    </xf>
    <xf numFmtId="177" fontId="27" fillId="6" borderId="16" xfId="7" applyNumberFormat="1" applyFont="1" applyFill="1" applyBorder="1" applyAlignment="1">
      <alignment horizontal="center" vertical="center" wrapText="1"/>
    </xf>
    <xf numFmtId="177" fontId="27" fillId="6" borderId="21" xfId="7" applyNumberFormat="1" applyFont="1" applyFill="1" applyBorder="1" applyAlignment="1">
      <alignment horizontal="center" vertical="center" wrapText="1"/>
    </xf>
    <xf numFmtId="9" fontId="27" fillId="0" borderId="57" xfId="10" applyFont="1" applyFill="1" applyBorder="1" applyAlignment="1">
      <alignment horizontal="center" vertical="center"/>
    </xf>
    <xf numFmtId="0" fontId="27" fillId="7" borderId="5" xfId="5" applyFont="1" applyFill="1" applyBorder="1" applyAlignment="1">
      <alignment vertical="center" wrapText="1"/>
    </xf>
    <xf numFmtId="0" fontId="27" fillId="7" borderId="6" xfId="5" applyFont="1" applyFill="1" applyBorder="1" applyAlignment="1">
      <alignment vertical="center" wrapText="1"/>
    </xf>
    <xf numFmtId="0" fontId="27" fillId="7" borderId="10" xfId="5" applyFont="1" applyFill="1" applyBorder="1" applyAlignment="1">
      <alignment vertical="center" wrapText="1"/>
    </xf>
    <xf numFmtId="0" fontId="27" fillId="0" borderId="22" xfId="5" quotePrefix="1" applyFont="1" applyFill="1" applyBorder="1" applyAlignment="1">
      <alignment horizontal="center" vertical="center" wrapText="1"/>
    </xf>
    <xf numFmtId="0" fontId="27" fillId="0" borderId="25" xfId="5" quotePrefix="1" applyFont="1" applyFill="1" applyBorder="1" applyAlignment="1">
      <alignment horizontal="center" vertical="center" wrapText="1"/>
    </xf>
    <xf numFmtId="0" fontId="27" fillId="0" borderId="26" xfId="5" quotePrefix="1" applyFont="1" applyFill="1" applyBorder="1" applyAlignment="1">
      <alignment horizontal="center" vertical="center" wrapText="1"/>
    </xf>
    <xf numFmtId="0" fontId="27" fillId="0" borderId="27" xfId="5" quotePrefix="1" applyFont="1" applyFill="1" applyBorder="1" applyAlignment="1">
      <alignment horizontal="center" vertical="center" wrapText="1"/>
    </xf>
    <xf numFmtId="0" fontId="27" fillId="0" borderId="0" xfId="5" quotePrefix="1" applyFont="1" applyFill="1" applyBorder="1" applyAlignment="1">
      <alignment horizontal="center" vertical="center" wrapText="1"/>
    </xf>
    <xf numFmtId="0" fontId="27" fillId="0" borderId="30" xfId="5" quotePrefix="1" applyFont="1" applyFill="1" applyBorder="1" applyAlignment="1">
      <alignment horizontal="center" vertical="center" wrapText="1"/>
    </xf>
    <xf numFmtId="0" fontId="27" fillId="0" borderId="33" xfId="5" quotePrefix="1" applyFont="1" applyFill="1" applyBorder="1" applyAlignment="1">
      <alignment horizontal="center" vertical="center" wrapText="1"/>
    </xf>
    <xf numFmtId="0" fontId="27" fillId="0" borderId="36" xfId="5" quotePrefix="1" applyFont="1" applyFill="1" applyBorder="1" applyAlignment="1">
      <alignment horizontal="center" vertical="center" wrapText="1"/>
    </xf>
    <xf numFmtId="0" fontId="27" fillId="0" borderId="39" xfId="5" quotePrefix="1" applyFont="1" applyFill="1" applyBorder="1" applyAlignment="1">
      <alignment horizontal="center" vertical="center" wrapText="1"/>
    </xf>
    <xf numFmtId="176" fontId="27" fillId="0" borderId="57" xfId="10" applyNumberFormat="1" applyFont="1" applyFill="1" applyBorder="1" applyAlignment="1">
      <alignment horizontal="center" vertical="center"/>
    </xf>
    <xf numFmtId="177" fontId="27" fillId="0" borderId="41" xfId="7" applyNumberFormat="1" applyFont="1" applyFill="1" applyBorder="1" applyAlignment="1">
      <alignment horizontal="center" vertical="center"/>
    </xf>
    <xf numFmtId="177" fontId="15" fillId="13" borderId="4" xfId="6" applyNumberFormat="1" applyFont="1" applyFill="1" applyBorder="1" applyAlignment="1">
      <alignment horizontal="center" vertical="center"/>
    </xf>
    <xf numFmtId="0" fontId="27" fillId="6" borderId="36" xfId="5" applyFont="1" applyFill="1" applyBorder="1" applyAlignment="1">
      <alignment horizontal="center" vertical="center"/>
    </xf>
    <xf numFmtId="0" fontId="27" fillId="7" borderId="24" xfId="5" applyFont="1" applyFill="1" applyBorder="1" applyAlignment="1">
      <alignment horizontal="center" vertical="center"/>
    </xf>
    <xf numFmtId="0" fontId="27" fillId="7" borderId="25" xfId="5" applyFont="1" applyFill="1" applyBorder="1" applyAlignment="1">
      <alignment horizontal="center" vertical="center"/>
    </xf>
    <xf numFmtId="0" fontId="27" fillId="7" borderId="23" xfId="5" applyFont="1" applyFill="1" applyBorder="1" applyAlignment="1">
      <alignment horizontal="center" vertical="center"/>
    </xf>
    <xf numFmtId="0" fontId="27" fillId="0" borderId="23" xfId="5" applyFont="1" applyFill="1" applyBorder="1" applyAlignment="1">
      <alignment horizontal="center" vertical="center"/>
    </xf>
    <xf numFmtId="0" fontId="27" fillId="0" borderId="28" xfId="5" applyFont="1" applyFill="1" applyBorder="1" applyAlignment="1">
      <alignment horizontal="center" vertical="center"/>
    </xf>
    <xf numFmtId="0" fontId="27" fillId="0" borderId="34" xfId="5" applyFont="1" applyFill="1" applyBorder="1" applyAlignment="1">
      <alignment horizontal="center" vertical="center"/>
    </xf>
    <xf numFmtId="0" fontId="27" fillId="0" borderId="24" xfId="5" applyFont="1" applyFill="1" applyBorder="1" applyAlignment="1">
      <alignment horizontal="center" vertical="center"/>
    </xf>
    <xf numFmtId="0" fontId="27" fillId="0" borderId="29" xfId="5" applyFont="1" applyFill="1" applyBorder="1" applyAlignment="1">
      <alignment horizontal="center" vertical="center"/>
    </xf>
    <xf numFmtId="0" fontId="27" fillId="0" borderId="35" xfId="5" applyFont="1" applyFill="1" applyBorder="1" applyAlignment="1">
      <alignment horizontal="center" vertical="center"/>
    </xf>
    <xf numFmtId="0" fontId="27" fillId="7" borderId="29" xfId="5" applyFont="1" applyFill="1" applyBorder="1" applyAlignment="1">
      <alignment horizontal="center" vertical="center"/>
    </xf>
    <xf numFmtId="0" fontId="27" fillId="7" borderId="0" xfId="5" applyFont="1" applyFill="1" applyBorder="1" applyAlignment="1">
      <alignment horizontal="center" vertical="center"/>
    </xf>
    <xf numFmtId="0" fontId="27" fillId="7" borderId="28" xfId="5" applyFont="1" applyFill="1" applyBorder="1" applyAlignment="1">
      <alignment horizontal="center" vertical="center"/>
    </xf>
    <xf numFmtId="177" fontId="27" fillId="0" borderId="64" xfId="6" applyNumberFormat="1" applyFont="1" applyBorder="1" applyAlignment="1">
      <alignment horizontal="center" vertical="center"/>
    </xf>
    <xf numFmtId="177" fontId="27" fillId="0" borderId="8" xfId="6" applyNumberFormat="1" applyFont="1" applyFill="1" applyBorder="1" applyAlignment="1">
      <alignment horizontal="center" vertical="center"/>
    </xf>
    <xf numFmtId="177" fontId="27" fillId="0" borderId="8" xfId="6" applyNumberFormat="1" applyFont="1" applyBorder="1" applyAlignment="1">
      <alignment horizontal="center" vertical="center"/>
    </xf>
    <xf numFmtId="177" fontId="27" fillId="0" borderId="35" xfId="6" applyNumberFormat="1" applyFont="1" applyBorder="1" applyAlignment="1">
      <alignment horizontal="center" vertical="center"/>
    </xf>
    <xf numFmtId="177" fontId="27" fillId="0" borderId="34" xfId="6" applyNumberFormat="1" applyFont="1" applyBorder="1" applyAlignment="1">
      <alignment horizontal="center" vertical="center"/>
    </xf>
    <xf numFmtId="0" fontId="27" fillId="7" borderId="24" xfId="5" applyFont="1" applyFill="1" applyBorder="1" applyAlignment="1">
      <alignment horizontal="center" vertical="center" wrapText="1"/>
    </xf>
    <xf numFmtId="0" fontId="27" fillId="7" borderId="23" xfId="5" applyFont="1" applyFill="1" applyBorder="1" applyAlignment="1">
      <alignment horizontal="center" vertical="center" wrapText="1"/>
    </xf>
    <xf numFmtId="0" fontId="27" fillId="0" borderId="23" xfId="5" applyFont="1" applyFill="1" applyBorder="1" applyAlignment="1">
      <alignment horizontal="center" vertical="center" wrapText="1"/>
    </xf>
    <xf numFmtId="0" fontId="27" fillId="0" borderId="0" xfId="5" applyFont="1" applyFill="1" applyBorder="1" applyAlignment="1">
      <alignment horizontal="center" vertical="center" wrapText="1"/>
    </xf>
    <xf numFmtId="0" fontId="27" fillId="0" borderId="28" xfId="5" applyFont="1" applyFill="1" applyBorder="1" applyAlignment="1">
      <alignment horizontal="center" vertical="center" wrapText="1"/>
    </xf>
    <xf numFmtId="0" fontId="27" fillId="0" borderId="34" xfId="5" applyFont="1" applyFill="1" applyBorder="1" applyAlignment="1">
      <alignment horizontal="center" vertical="center" wrapText="1"/>
    </xf>
    <xf numFmtId="0" fontId="27" fillId="0" borderId="24" xfId="5" applyFont="1" applyFill="1" applyBorder="1" applyAlignment="1">
      <alignment horizontal="center" vertical="center" wrapText="1"/>
    </xf>
    <xf numFmtId="0" fontId="27" fillId="0" borderId="29" xfId="5" applyFont="1" applyFill="1" applyBorder="1" applyAlignment="1">
      <alignment horizontal="center" vertical="center" wrapText="1"/>
    </xf>
    <xf numFmtId="0" fontId="27" fillId="0" borderId="30" xfId="5" applyFont="1" applyFill="1" applyBorder="1" applyAlignment="1">
      <alignment horizontal="center" vertical="center" wrapText="1"/>
    </xf>
    <xf numFmtId="0" fontId="27" fillId="0" borderId="35" xfId="5" applyFont="1" applyFill="1" applyBorder="1" applyAlignment="1">
      <alignment horizontal="center" vertical="center" wrapText="1"/>
    </xf>
    <xf numFmtId="0" fontId="27" fillId="7" borderId="29" xfId="5" applyFont="1" applyFill="1" applyBorder="1" applyAlignment="1">
      <alignment horizontal="center" vertical="center" wrapText="1"/>
    </xf>
    <xf numFmtId="0" fontId="27" fillId="7" borderId="28" xfId="5" applyFont="1" applyFill="1" applyBorder="1" applyAlignment="1">
      <alignment horizontal="center" vertical="center" wrapText="1"/>
    </xf>
    <xf numFmtId="0" fontId="27" fillId="7" borderId="35" xfId="5" applyFont="1" applyFill="1" applyBorder="1" applyAlignment="1">
      <alignment horizontal="center" vertical="center"/>
    </xf>
    <xf numFmtId="0" fontId="27" fillId="7" borderId="34" xfId="5" applyFont="1" applyFill="1" applyBorder="1" applyAlignment="1">
      <alignment horizontal="center" vertical="center"/>
    </xf>
    <xf numFmtId="0" fontId="27" fillId="6" borderId="22" xfId="5" applyFont="1" applyFill="1" applyBorder="1" applyAlignment="1">
      <alignment horizontal="center" vertical="center" wrapText="1"/>
    </xf>
    <xf numFmtId="0" fontId="27" fillId="6" borderId="25" xfId="5" applyFont="1" applyFill="1" applyBorder="1" applyAlignment="1">
      <alignment horizontal="center" vertical="center" wrapText="1"/>
    </xf>
    <xf numFmtId="0" fontId="27" fillId="0" borderId="58" xfId="5" applyFont="1" applyFill="1" applyBorder="1" applyAlignment="1">
      <alignment horizontal="center" vertical="center" wrapText="1"/>
    </xf>
    <xf numFmtId="0" fontId="27" fillId="0" borderId="67" xfId="5" applyFont="1" applyFill="1" applyBorder="1" applyAlignment="1">
      <alignment horizontal="center" vertical="center" wrapText="1"/>
    </xf>
    <xf numFmtId="0" fontId="27" fillId="0" borderId="69" xfId="5" applyFont="1" applyFill="1" applyBorder="1" applyAlignment="1">
      <alignment horizontal="center" vertical="center"/>
    </xf>
    <xf numFmtId="0" fontId="27" fillId="0" borderId="68" xfId="5" applyFont="1" applyFill="1" applyBorder="1" applyAlignment="1">
      <alignment horizontal="center" vertical="center"/>
    </xf>
    <xf numFmtId="0" fontId="27" fillId="8" borderId="9" xfId="5" applyFont="1" applyFill="1" applyBorder="1" applyAlignment="1">
      <alignment horizontal="center" vertical="center"/>
    </xf>
    <xf numFmtId="0" fontId="27" fillId="8" borderId="6" xfId="5" applyFont="1" applyFill="1" applyBorder="1" applyAlignment="1">
      <alignment horizontal="center" vertical="center"/>
    </xf>
    <xf numFmtId="0" fontId="27" fillId="8" borderId="10" xfId="5" applyFont="1" applyFill="1" applyBorder="1" applyAlignment="1">
      <alignment horizontal="center" vertical="center"/>
    </xf>
    <xf numFmtId="176" fontId="27" fillId="0" borderId="40" xfId="5" applyNumberFormat="1" applyFont="1" applyFill="1" applyBorder="1" applyAlignment="1">
      <alignment horizontal="center" vertical="center"/>
    </xf>
    <xf numFmtId="176" fontId="27" fillId="0" borderId="42" xfId="5" applyNumberFormat="1" applyFont="1" applyFill="1" applyBorder="1" applyAlignment="1">
      <alignment horizontal="center" vertical="center"/>
    </xf>
    <xf numFmtId="9" fontId="27" fillId="0" borderId="51" xfId="5" applyNumberFormat="1" applyFont="1" applyFill="1" applyBorder="1" applyAlignment="1">
      <alignment horizontal="center" vertical="center"/>
    </xf>
    <xf numFmtId="9" fontId="27" fillId="0" borderId="52" xfId="5" applyNumberFormat="1" applyFont="1" applyFill="1" applyBorder="1" applyAlignment="1">
      <alignment horizontal="center" vertical="center"/>
    </xf>
    <xf numFmtId="9" fontId="27" fillId="0" borderId="46" xfId="5" applyNumberFormat="1" applyFont="1" applyFill="1" applyBorder="1" applyAlignment="1">
      <alignment horizontal="center" vertical="center"/>
    </xf>
    <xf numFmtId="177" fontId="27" fillId="6" borderId="64" xfId="6" applyNumberFormat="1" applyFont="1" applyFill="1" applyBorder="1" applyAlignment="1">
      <alignment horizontal="center" vertical="center" wrapText="1"/>
    </xf>
    <xf numFmtId="177" fontId="27" fillId="6" borderId="72" xfId="6" applyNumberFormat="1" applyFont="1" applyFill="1" applyBorder="1" applyAlignment="1">
      <alignment horizontal="center" vertical="center" wrapText="1"/>
    </xf>
    <xf numFmtId="177" fontId="27" fillId="6" borderId="8" xfId="6" applyNumberFormat="1" applyFont="1" applyFill="1" applyBorder="1" applyAlignment="1">
      <alignment horizontal="center" vertical="center" wrapText="1"/>
    </xf>
    <xf numFmtId="177" fontId="27" fillId="6" borderId="66" xfId="6" applyNumberFormat="1" applyFont="1" applyFill="1" applyBorder="1" applyAlignment="1">
      <alignment horizontal="center" vertical="center" wrapText="1"/>
    </xf>
    <xf numFmtId="9" fontId="27" fillId="6" borderId="8" xfId="6" applyNumberFormat="1" applyFont="1" applyFill="1" applyBorder="1" applyAlignment="1">
      <alignment horizontal="center" vertical="center" wrapText="1"/>
    </xf>
    <xf numFmtId="9" fontId="27" fillId="6" borderId="42" xfId="6" applyNumberFormat="1" applyFont="1" applyFill="1" applyBorder="1" applyAlignment="1">
      <alignment horizontal="center" vertical="center" wrapText="1"/>
    </xf>
    <xf numFmtId="177" fontId="27" fillId="6" borderId="19" xfId="6" applyNumberFormat="1" applyFont="1" applyFill="1" applyBorder="1" applyAlignment="1">
      <alignment horizontal="center" vertical="center"/>
    </xf>
    <xf numFmtId="177" fontId="27" fillId="6" borderId="21" xfId="6" applyNumberFormat="1" applyFont="1" applyFill="1" applyBorder="1" applyAlignment="1">
      <alignment horizontal="center" vertical="center"/>
    </xf>
    <xf numFmtId="177" fontId="27" fillId="0" borderId="71" xfId="6" applyNumberFormat="1" applyFont="1" applyBorder="1" applyAlignment="1">
      <alignment horizontal="center" vertical="center"/>
    </xf>
    <xf numFmtId="177" fontId="27" fillId="0" borderId="40" xfId="6" applyNumberFormat="1" applyFont="1" applyFill="1" applyBorder="1" applyAlignment="1">
      <alignment horizontal="center" vertical="center"/>
    </xf>
    <xf numFmtId="177" fontId="27" fillId="0" borderId="63" xfId="6" applyNumberFormat="1" applyFont="1" applyFill="1" applyBorder="1" applyAlignment="1">
      <alignment horizontal="center" vertical="center"/>
    </xf>
    <xf numFmtId="177" fontId="27" fillId="0" borderId="65" xfId="6" applyNumberFormat="1" applyFont="1" applyFill="1" applyBorder="1" applyAlignment="1">
      <alignment horizontal="center" vertical="center"/>
    </xf>
    <xf numFmtId="177" fontId="27" fillId="0" borderId="42" xfId="6" applyNumberFormat="1" applyFont="1" applyFill="1" applyBorder="1" applyAlignment="1">
      <alignment horizontal="center" vertical="center"/>
    </xf>
    <xf numFmtId="177" fontId="27" fillId="0" borderId="41" xfId="6" applyNumberFormat="1" applyFont="1" applyFill="1" applyBorder="1" applyAlignment="1">
      <alignment horizontal="center" vertical="center"/>
    </xf>
    <xf numFmtId="177" fontId="27" fillId="0" borderId="43" xfId="6" applyNumberFormat="1" applyFont="1" applyFill="1" applyBorder="1" applyAlignment="1">
      <alignment horizontal="center" vertical="center"/>
    </xf>
    <xf numFmtId="177" fontId="27" fillId="0" borderId="71" xfId="6" applyNumberFormat="1" applyFont="1" applyFill="1" applyBorder="1" applyAlignment="1">
      <alignment horizontal="center" vertical="center"/>
    </xf>
    <xf numFmtId="177" fontId="27" fillId="0" borderId="48" xfId="6" applyNumberFormat="1" applyFont="1" applyFill="1" applyBorder="1" applyAlignment="1">
      <alignment horizontal="center" vertical="center"/>
    </xf>
    <xf numFmtId="177" fontId="27" fillId="0" borderId="23" xfId="6" applyNumberFormat="1" applyFont="1" applyFill="1" applyBorder="1" applyAlignment="1">
      <alignment horizontal="center" vertical="center"/>
    </xf>
    <xf numFmtId="177" fontId="27" fillId="0" borderId="67" xfId="6" applyNumberFormat="1" applyFont="1" applyFill="1" applyBorder="1" applyAlignment="1">
      <alignment horizontal="center" vertical="center"/>
    </xf>
    <xf numFmtId="177" fontId="71" fillId="6" borderId="64" xfId="7" applyNumberFormat="1" applyFont="1" applyFill="1" applyBorder="1" applyAlignment="1">
      <alignment horizontal="center" vertical="center"/>
    </xf>
    <xf numFmtId="177" fontId="71" fillId="6" borderId="65" xfId="7" applyNumberFormat="1" applyFont="1" applyFill="1" applyBorder="1" applyAlignment="1">
      <alignment horizontal="center" vertical="center"/>
    </xf>
    <xf numFmtId="177" fontId="72" fillId="8" borderId="19" xfId="6" applyNumberFormat="1" applyFont="1" applyFill="1" applyBorder="1" applyAlignment="1">
      <alignment horizontal="center" vertical="center"/>
    </xf>
    <xf numFmtId="177" fontId="72" fillId="8" borderId="20" xfId="6" applyNumberFormat="1" applyFont="1" applyFill="1" applyBorder="1" applyAlignment="1">
      <alignment horizontal="center" vertical="center"/>
    </xf>
    <xf numFmtId="177" fontId="72" fillId="8" borderId="21" xfId="6" applyNumberFormat="1" applyFont="1" applyFill="1" applyBorder="1" applyAlignment="1">
      <alignment horizontal="center" vertical="center"/>
    </xf>
    <xf numFmtId="177" fontId="27" fillId="0" borderId="64" xfId="6" applyNumberFormat="1" applyFont="1" applyFill="1" applyBorder="1" applyAlignment="1">
      <alignment horizontal="center" vertical="center"/>
    </xf>
    <xf numFmtId="177" fontId="26" fillId="0" borderId="35" xfId="6" applyNumberFormat="1" applyFont="1" applyFill="1" applyBorder="1" applyAlignment="1">
      <alignment horizontal="center" vertical="center"/>
    </xf>
    <xf numFmtId="177" fontId="26" fillId="0" borderId="36" xfId="6" applyNumberFormat="1" applyFont="1" applyFill="1" applyBorder="1" applyAlignment="1">
      <alignment horizontal="center" vertical="center"/>
    </xf>
    <xf numFmtId="177" fontId="26" fillId="0" borderId="39" xfId="6" applyNumberFormat="1" applyFont="1" applyFill="1" applyBorder="1" applyAlignment="1">
      <alignment horizontal="center" vertical="center"/>
    </xf>
    <xf numFmtId="177" fontId="27" fillId="0" borderId="7" xfId="6" applyNumberFormat="1" applyFont="1" applyFill="1" applyBorder="1" applyAlignment="1">
      <alignment horizontal="center" vertical="center"/>
    </xf>
    <xf numFmtId="177" fontId="27" fillId="0" borderId="34" xfId="6" applyNumberFormat="1" applyFont="1" applyFill="1" applyBorder="1" applyAlignment="1">
      <alignment horizontal="center" vertical="center"/>
    </xf>
    <xf numFmtId="9" fontId="64" fillId="0" borderId="3" xfId="2" applyFont="1" applyBorder="1" applyAlignment="1">
      <alignment horizontal="center" vertical="center"/>
    </xf>
    <xf numFmtId="41" fontId="64" fillId="0" borderId="3" xfId="1" applyFont="1" applyBorder="1" applyAlignment="1">
      <alignment horizontal="center" vertical="center"/>
    </xf>
    <xf numFmtId="41" fontId="64" fillId="0" borderId="31" xfId="1" applyFont="1" applyBorder="1" applyAlignment="1">
      <alignment horizontal="center" vertical="center"/>
    </xf>
    <xf numFmtId="176" fontId="64" fillId="0" borderId="3" xfId="2" applyNumberFormat="1" applyFont="1" applyBorder="1" applyAlignment="1">
      <alignment horizontal="center" vertical="center"/>
    </xf>
    <xf numFmtId="0" fontId="21" fillId="10" borderId="83" xfId="0" applyFont="1" applyFill="1" applyBorder="1" applyAlignment="1">
      <alignment horizontal="center" vertical="center"/>
    </xf>
    <xf numFmtId="0" fontId="21" fillId="10" borderId="88" xfId="0" applyFont="1" applyFill="1" applyBorder="1" applyAlignment="1">
      <alignment horizontal="center" vertical="center"/>
    </xf>
    <xf numFmtId="0" fontId="21" fillId="10" borderId="83" xfId="0" applyFont="1" applyFill="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63" fillId="10" borderId="18" xfId="0" applyFont="1" applyFill="1" applyBorder="1" applyAlignment="1">
      <alignment horizontal="center" vertical="center"/>
    </xf>
    <xf numFmtId="0" fontId="63" fillId="10" borderId="44" xfId="0" applyFont="1" applyFill="1" applyBorder="1" applyAlignment="1">
      <alignment horizontal="center" vertical="center"/>
    </xf>
    <xf numFmtId="0" fontId="21" fillId="10" borderId="16" xfId="0" applyFont="1" applyFill="1" applyBorder="1" applyAlignment="1">
      <alignment horizontal="center" vertical="center"/>
    </xf>
    <xf numFmtId="0" fontId="21" fillId="10" borderId="20" xfId="0" applyFont="1" applyFill="1" applyBorder="1" applyAlignment="1">
      <alignment horizontal="center" vertical="center"/>
    </xf>
    <xf numFmtId="0" fontId="21" fillId="10" borderId="17" xfId="0" applyFont="1" applyFill="1" applyBorder="1" applyAlignment="1">
      <alignment horizontal="center" vertical="center"/>
    </xf>
    <xf numFmtId="0" fontId="25" fillId="10" borderId="84" xfId="0" applyFont="1" applyFill="1" applyBorder="1" applyAlignment="1">
      <alignment horizontal="center" vertical="center"/>
    </xf>
    <xf numFmtId="0" fontId="25" fillId="10" borderId="85" xfId="0" applyFont="1" applyFill="1" applyBorder="1" applyAlignment="1">
      <alignment horizontal="center" vertical="center"/>
    </xf>
    <xf numFmtId="41" fontId="24" fillId="0" borderId="3" xfId="9" applyFont="1" applyBorder="1" applyAlignment="1">
      <alignment horizontal="center" vertical="center"/>
    </xf>
    <xf numFmtId="0" fontId="21" fillId="10" borderId="89" xfId="0" applyFont="1" applyFill="1" applyBorder="1" applyAlignment="1">
      <alignment horizontal="center" vertical="center"/>
    </xf>
    <xf numFmtId="0" fontId="21" fillId="10" borderId="86" xfId="0" applyFont="1" applyFill="1" applyBorder="1" applyAlignment="1">
      <alignment horizontal="center" vertical="center"/>
    </xf>
    <xf numFmtId="41" fontId="21" fillId="10" borderId="17" xfId="9" applyFont="1" applyFill="1" applyBorder="1" applyAlignment="1">
      <alignment horizontal="center" vertical="center"/>
    </xf>
    <xf numFmtId="41" fontId="21" fillId="10" borderId="46" xfId="9" applyFont="1" applyFill="1" applyBorder="1" applyAlignment="1">
      <alignment horizontal="center" vertical="center"/>
    </xf>
    <xf numFmtId="9" fontId="63" fillId="10" borderId="18" xfId="2" applyFont="1" applyFill="1" applyBorder="1" applyAlignment="1">
      <alignment horizontal="center" vertical="center"/>
    </xf>
    <xf numFmtId="9" fontId="63" fillId="10" borderId="19" xfId="2" applyFont="1" applyFill="1" applyBorder="1" applyAlignment="1">
      <alignment horizontal="center" vertical="center"/>
    </xf>
    <xf numFmtId="9" fontId="63" fillId="10" borderId="20" xfId="2" applyFont="1" applyFill="1" applyBorder="1" applyAlignment="1">
      <alignment horizontal="center" vertical="center"/>
    </xf>
    <xf numFmtId="41" fontId="24" fillId="0" borderId="32" xfId="9" applyFont="1" applyBorder="1" applyAlignment="1">
      <alignment horizontal="center" vertical="center"/>
    </xf>
    <xf numFmtId="0" fontId="24" fillId="0" borderId="87" xfId="0" applyFont="1" applyBorder="1" applyAlignment="1">
      <alignment horizontal="center" vertical="center" wrapText="1"/>
    </xf>
    <xf numFmtId="41" fontId="65" fillId="0" borderId="40" xfId="1" applyFont="1" applyFill="1" applyBorder="1" applyAlignment="1">
      <alignment horizontal="center" vertical="center"/>
    </xf>
    <xf numFmtId="41" fontId="65" fillId="0" borderId="42" xfId="1" applyFont="1" applyFill="1" applyBorder="1" applyAlignment="1">
      <alignment horizontal="center" vertical="center"/>
    </xf>
    <xf numFmtId="181" fontId="65" fillId="0" borderId="24" xfId="1" applyNumberFormat="1" applyFont="1" applyFill="1" applyBorder="1" applyAlignment="1">
      <alignment horizontal="center" vertical="center"/>
    </xf>
    <xf numFmtId="181" fontId="65" fillId="0" borderId="69" xfId="1" applyNumberFormat="1" applyFont="1" applyFill="1" applyBorder="1" applyAlignment="1">
      <alignment horizontal="center" vertical="center"/>
    </xf>
    <xf numFmtId="0" fontId="59" fillId="2" borderId="4" xfId="0" applyFont="1" applyFill="1" applyBorder="1" applyAlignment="1">
      <alignment horizontal="center" vertical="center"/>
    </xf>
    <xf numFmtId="0" fontId="21" fillId="10" borderId="5" xfId="0" applyFont="1" applyFill="1" applyBorder="1" applyAlignment="1">
      <alignment horizontal="center" vertical="center" wrapText="1"/>
    </xf>
    <xf numFmtId="0" fontId="21" fillId="10" borderId="70" xfId="0" applyFont="1" applyFill="1" applyBorder="1" applyAlignment="1">
      <alignment horizontal="center" vertical="center" wrapText="1"/>
    </xf>
    <xf numFmtId="9" fontId="65" fillId="0" borderId="26" xfId="11" applyNumberFormat="1" applyFont="1" applyFill="1" applyBorder="1" applyAlignment="1">
      <alignment horizontal="center" vertical="center" wrapText="1"/>
    </xf>
    <xf numFmtId="0" fontId="65" fillId="0" borderId="68" xfId="11" applyFont="1" applyFill="1" applyBorder="1" applyAlignment="1">
      <alignment horizontal="center" vertical="center" wrapText="1"/>
    </xf>
    <xf numFmtId="0" fontId="63" fillId="10" borderId="10" xfId="0" applyFont="1" applyFill="1" applyBorder="1" applyAlignment="1">
      <alignment horizontal="center" vertical="center"/>
    </xf>
    <xf numFmtId="0" fontId="63" fillId="10" borderId="68" xfId="0" applyFont="1" applyFill="1" applyBorder="1" applyAlignment="1">
      <alignment horizontal="center" vertical="center"/>
    </xf>
    <xf numFmtId="0" fontId="64" fillId="0" borderId="56" xfId="0" applyFont="1" applyBorder="1" applyAlignment="1">
      <alignment horizontal="center" vertical="center"/>
    </xf>
    <xf numFmtId="0" fontId="64" fillId="0" borderId="56" xfId="0" applyFont="1" applyBorder="1" applyAlignment="1">
      <alignment horizontal="center" vertical="center" wrapText="1"/>
    </xf>
    <xf numFmtId="0" fontId="64" fillId="0" borderId="26" xfId="0" applyFont="1" applyBorder="1" applyAlignment="1">
      <alignment horizontal="center" vertical="center" wrapText="1"/>
    </xf>
    <xf numFmtId="0" fontId="64" fillId="0" borderId="39" xfId="0" applyFont="1" applyBorder="1" applyAlignment="1">
      <alignment horizontal="center" vertical="center" wrapText="1"/>
    </xf>
    <xf numFmtId="0" fontId="24" fillId="0" borderId="88" xfId="0" applyFont="1" applyBorder="1" applyAlignment="1">
      <alignment horizontal="center" vertical="center" wrapText="1"/>
    </xf>
    <xf numFmtId="0" fontId="25" fillId="10" borderId="85" xfId="11" applyFont="1" applyFill="1" applyBorder="1" applyAlignment="1">
      <alignment horizontal="center" vertical="center"/>
    </xf>
    <xf numFmtId="0" fontId="25" fillId="10" borderId="86" xfId="11" applyFont="1" applyFill="1" applyBorder="1" applyAlignment="1">
      <alignment horizontal="center" vertical="center"/>
    </xf>
    <xf numFmtId="181" fontId="24" fillId="0" borderId="32" xfId="9" applyNumberFormat="1" applyFont="1" applyBorder="1" applyAlignment="1">
      <alignment horizontal="center" vertical="center"/>
    </xf>
    <xf numFmtId="181" fontId="24" fillId="0" borderId="46" xfId="9" applyNumberFormat="1" applyFont="1" applyBorder="1" applyAlignment="1">
      <alignment horizontal="center" vertical="center"/>
    </xf>
    <xf numFmtId="9" fontId="65" fillId="0" borderId="40" xfId="2" applyFont="1" applyFill="1" applyBorder="1" applyAlignment="1">
      <alignment horizontal="center" vertical="center"/>
    </xf>
    <xf numFmtId="9" fontId="65" fillId="0" borderId="42" xfId="2" applyFont="1" applyFill="1" applyBorder="1" applyAlignment="1">
      <alignment horizontal="center" vertical="center"/>
    </xf>
    <xf numFmtId="9" fontId="65" fillId="0" borderId="40" xfId="2" applyNumberFormat="1" applyFont="1" applyFill="1" applyBorder="1" applyAlignment="1">
      <alignment horizontal="center" vertical="center"/>
    </xf>
    <xf numFmtId="9" fontId="65" fillId="0" borderId="42" xfId="2" applyNumberFormat="1" applyFont="1" applyFill="1" applyBorder="1" applyAlignment="1">
      <alignment horizontal="center" vertical="center"/>
    </xf>
    <xf numFmtId="0" fontId="25" fillId="10" borderId="87" xfId="11" applyFont="1" applyFill="1" applyBorder="1" applyAlignment="1">
      <alignment horizontal="center" vertical="center"/>
    </xf>
    <xf numFmtId="0" fontId="25" fillId="10" borderId="84" xfId="11" applyFont="1" applyFill="1" applyBorder="1" applyAlignment="1">
      <alignment horizontal="center" vertical="center"/>
    </xf>
    <xf numFmtId="181" fontId="24" fillId="0" borderId="23" xfId="9" applyNumberFormat="1" applyFont="1" applyBorder="1" applyAlignment="1">
      <alignment horizontal="center" vertical="center"/>
    </xf>
    <xf numFmtId="181" fontId="24" fillId="0" borderId="34" xfId="9" applyNumberFormat="1" applyFont="1" applyBorder="1" applyAlignment="1">
      <alignment horizontal="center" vertical="center"/>
    </xf>
    <xf numFmtId="0" fontId="24" fillId="0" borderId="87" xfId="11" applyFont="1" applyBorder="1" applyAlignment="1">
      <alignment horizontal="center" vertical="center" wrapText="1"/>
    </xf>
    <xf numFmtId="0" fontId="24" fillId="0" borderId="84" xfId="11" applyFont="1" applyBorder="1" applyAlignment="1">
      <alignment horizontal="center" vertical="center" wrapText="1"/>
    </xf>
    <xf numFmtId="0" fontId="25" fillId="10" borderId="85" xfId="0" applyFont="1" applyFill="1" applyBorder="1" applyAlignment="1">
      <alignment horizontal="center" vertical="center" wrapText="1"/>
    </xf>
    <xf numFmtId="9" fontId="64" fillId="0" borderId="3" xfId="2" applyNumberFormat="1" applyFont="1" applyBorder="1" applyAlignment="1">
      <alignment horizontal="center" vertical="center"/>
    </xf>
    <xf numFmtId="0" fontId="64" fillId="0" borderId="56" xfId="0" applyFont="1" applyFill="1" applyBorder="1" applyAlignment="1">
      <alignment horizontal="center" vertical="center" wrapText="1"/>
    </xf>
  </cellXfs>
  <cellStyles count="12">
    <cellStyle name="백분율" xfId="2" builtinId="5"/>
    <cellStyle name="백분율 2" xfId="8"/>
    <cellStyle name="백분율 3" xfId="10"/>
    <cellStyle name="쉼표 [0]" xfId="1" builtinId="6"/>
    <cellStyle name="쉼표 [0] 3" xfId="9"/>
    <cellStyle name="표준" xfId="0" builtinId="0"/>
    <cellStyle name="표준 2" xfId="5"/>
    <cellStyle name="표준 3" xfId="6"/>
    <cellStyle name="표준 4" xfId="7"/>
    <cellStyle name="표준 5" xfId="4"/>
    <cellStyle name="표준 6" xfId="11"/>
    <cellStyle name="표준_손생보지급율제안서"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8"/>
  <sheetViews>
    <sheetView tabSelected="1" workbookViewId="0">
      <selection activeCell="E11" sqref="E11:F11"/>
    </sheetView>
  </sheetViews>
  <sheetFormatPr defaultRowHeight="26.25"/>
  <cols>
    <col min="1" max="8" width="13.375" style="1" customWidth="1"/>
    <col min="9" max="9" width="14.125" style="1" customWidth="1"/>
    <col min="10" max="10" width="13.375" style="1" customWidth="1"/>
    <col min="11" max="16384" width="9" style="1"/>
  </cols>
  <sheetData>
    <row r="1" spans="1:10" ht="51.75" customHeight="1"/>
    <row r="2" spans="1:10" ht="32.25" thickBot="1">
      <c r="A2" s="654" t="s">
        <v>0</v>
      </c>
      <c r="B2" s="654"/>
      <c r="C2" s="654"/>
      <c r="D2" s="654"/>
      <c r="E2" s="654"/>
      <c r="F2" s="654"/>
      <c r="G2" s="654"/>
      <c r="H2" s="654"/>
      <c r="I2" s="654"/>
      <c r="J2" s="654"/>
    </row>
    <row r="3" spans="1:10" ht="32.25" thickTop="1">
      <c r="A3" s="2"/>
    </row>
    <row r="5" spans="1:10">
      <c r="A5" s="3"/>
      <c r="B5" s="4"/>
      <c r="C5" s="5"/>
    </row>
    <row r="6" spans="1:10">
      <c r="A6" s="3"/>
      <c r="B6" s="4"/>
      <c r="C6" s="5"/>
      <c r="H6" s="6"/>
    </row>
    <row r="11" spans="1:10">
      <c r="E11" s="655" t="s">
        <v>724</v>
      </c>
      <c r="F11" s="655"/>
    </row>
    <row r="17" spans="5:6" ht="32.25" thickBot="1">
      <c r="E17" s="656" t="s">
        <v>1</v>
      </c>
      <c r="F17" s="656"/>
    </row>
    <row r="18" spans="5:6" ht="27" thickTop="1"/>
  </sheetData>
  <mergeCells count="3">
    <mergeCell ref="A2:J2"/>
    <mergeCell ref="E11:F11"/>
    <mergeCell ref="E17:F17"/>
  </mergeCells>
  <phoneticPr fontId="4" type="noConversion"/>
  <printOptions horizontalCentered="1"/>
  <pageMargins left="0.15748031496062992" right="0.15748031496062992" top="0.35433070866141736" bottom="0.19685039370078741" header="0.31496062992125984" footer="0.31496062992125984"/>
  <pageSetup paperSize="9" scale="99" orientation="landscape"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AD56"/>
  <sheetViews>
    <sheetView workbookViewId="0"/>
  </sheetViews>
  <sheetFormatPr defaultRowHeight="18" customHeight="1"/>
  <cols>
    <col min="1" max="1" width="0.875" style="119" customWidth="1"/>
    <col min="2" max="2" width="19.25" style="119" customWidth="1"/>
    <col min="3" max="9" width="8.125" style="119" customWidth="1"/>
    <col min="10" max="10" width="8.125" style="119" hidden="1" customWidth="1"/>
    <col min="11" max="12" width="8.125" style="119" customWidth="1"/>
    <col min="13" max="30" width="7.625" style="119" customWidth="1"/>
    <col min="31" max="257" width="9" style="119"/>
    <col min="258" max="258" width="0.875" style="119" customWidth="1"/>
    <col min="259" max="259" width="13.5" style="119" customWidth="1"/>
    <col min="260" max="283" width="8.125" style="119" customWidth="1"/>
    <col min="284" max="513" width="9" style="119"/>
    <col min="514" max="514" width="0.875" style="119" customWidth="1"/>
    <col min="515" max="515" width="13.5" style="119" customWidth="1"/>
    <col min="516" max="539" width="8.125" style="119" customWidth="1"/>
    <col min="540" max="769" width="9" style="119"/>
    <col min="770" max="770" width="0.875" style="119" customWidth="1"/>
    <col min="771" max="771" width="13.5" style="119" customWidth="1"/>
    <col min="772" max="795" width="8.125" style="119" customWidth="1"/>
    <col min="796" max="1025" width="9" style="119"/>
    <col min="1026" max="1026" width="0.875" style="119" customWidth="1"/>
    <col min="1027" max="1027" width="13.5" style="119" customWidth="1"/>
    <col min="1028" max="1051" width="8.125" style="119" customWidth="1"/>
    <col min="1052" max="1281" width="9" style="119"/>
    <col min="1282" max="1282" width="0.875" style="119" customWidth="1"/>
    <col min="1283" max="1283" width="13.5" style="119" customWidth="1"/>
    <col min="1284" max="1307" width="8.125" style="119" customWidth="1"/>
    <col min="1308" max="1537" width="9" style="119"/>
    <col min="1538" max="1538" width="0.875" style="119" customWidth="1"/>
    <col min="1539" max="1539" width="13.5" style="119" customWidth="1"/>
    <col min="1540" max="1563" width="8.125" style="119" customWidth="1"/>
    <col min="1564" max="1793" width="9" style="119"/>
    <col min="1794" max="1794" width="0.875" style="119" customWidth="1"/>
    <col min="1795" max="1795" width="13.5" style="119" customWidth="1"/>
    <col min="1796" max="1819" width="8.125" style="119" customWidth="1"/>
    <col min="1820" max="2049" width="9" style="119"/>
    <col min="2050" max="2050" width="0.875" style="119" customWidth="1"/>
    <col min="2051" max="2051" width="13.5" style="119" customWidth="1"/>
    <col min="2052" max="2075" width="8.125" style="119" customWidth="1"/>
    <col min="2076" max="2305" width="9" style="119"/>
    <col min="2306" max="2306" width="0.875" style="119" customWidth="1"/>
    <col min="2307" max="2307" width="13.5" style="119" customWidth="1"/>
    <col min="2308" max="2331" width="8.125" style="119" customWidth="1"/>
    <col min="2332" max="2561" width="9" style="119"/>
    <col min="2562" max="2562" width="0.875" style="119" customWidth="1"/>
    <col min="2563" max="2563" width="13.5" style="119" customWidth="1"/>
    <col min="2564" max="2587" width="8.125" style="119" customWidth="1"/>
    <col min="2588" max="2817" width="9" style="119"/>
    <col min="2818" max="2818" width="0.875" style="119" customWidth="1"/>
    <col min="2819" max="2819" width="13.5" style="119" customWidth="1"/>
    <col min="2820" max="2843" width="8.125" style="119" customWidth="1"/>
    <col min="2844" max="3073" width="9" style="119"/>
    <col min="3074" max="3074" width="0.875" style="119" customWidth="1"/>
    <col min="3075" max="3075" width="13.5" style="119" customWidth="1"/>
    <col min="3076" max="3099" width="8.125" style="119" customWidth="1"/>
    <col min="3100" max="3329" width="9" style="119"/>
    <col min="3330" max="3330" width="0.875" style="119" customWidth="1"/>
    <col min="3331" max="3331" width="13.5" style="119" customWidth="1"/>
    <col min="3332" max="3355" width="8.125" style="119" customWidth="1"/>
    <col min="3356" max="3585" width="9" style="119"/>
    <col min="3586" max="3586" width="0.875" style="119" customWidth="1"/>
    <col min="3587" max="3587" width="13.5" style="119" customWidth="1"/>
    <col min="3588" max="3611" width="8.125" style="119" customWidth="1"/>
    <col min="3612" max="3841" width="9" style="119"/>
    <col min="3842" max="3842" width="0.875" style="119" customWidth="1"/>
    <col min="3843" max="3843" width="13.5" style="119" customWidth="1"/>
    <col min="3844" max="3867" width="8.125" style="119" customWidth="1"/>
    <col min="3868" max="4097" width="9" style="119"/>
    <col min="4098" max="4098" width="0.875" style="119" customWidth="1"/>
    <col min="4099" max="4099" width="13.5" style="119" customWidth="1"/>
    <col min="4100" max="4123" width="8.125" style="119" customWidth="1"/>
    <col min="4124" max="4353" width="9" style="119"/>
    <col min="4354" max="4354" width="0.875" style="119" customWidth="1"/>
    <col min="4355" max="4355" width="13.5" style="119" customWidth="1"/>
    <col min="4356" max="4379" width="8.125" style="119" customWidth="1"/>
    <col min="4380" max="4609" width="9" style="119"/>
    <col min="4610" max="4610" width="0.875" style="119" customWidth="1"/>
    <col min="4611" max="4611" width="13.5" style="119" customWidth="1"/>
    <col min="4612" max="4635" width="8.125" style="119" customWidth="1"/>
    <col min="4636" max="4865" width="9" style="119"/>
    <col min="4866" max="4866" width="0.875" style="119" customWidth="1"/>
    <col min="4867" max="4867" width="13.5" style="119" customWidth="1"/>
    <col min="4868" max="4891" width="8.125" style="119" customWidth="1"/>
    <col min="4892" max="5121" width="9" style="119"/>
    <col min="5122" max="5122" width="0.875" style="119" customWidth="1"/>
    <col min="5123" max="5123" width="13.5" style="119" customWidth="1"/>
    <col min="5124" max="5147" width="8.125" style="119" customWidth="1"/>
    <col min="5148" max="5377" width="9" style="119"/>
    <col min="5378" max="5378" width="0.875" style="119" customWidth="1"/>
    <col min="5379" max="5379" width="13.5" style="119" customWidth="1"/>
    <col min="5380" max="5403" width="8.125" style="119" customWidth="1"/>
    <col min="5404" max="5633" width="9" style="119"/>
    <col min="5634" max="5634" width="0.875" style="119" customWidth="1"/>
    <col min="5635" max="5635" width="13.5" style="119" customWidth="1"/>
    <col min="5636" max="5659" width="8.125" style="119" customWidth="1"/>
    <col min="5660" max="5889" width="9" style="119"/>
    <col min="5890" max="5890" width="0.875" style="119" customWidth="1"/>
    <col min="5891" max="5891" width="13.5" style="119" customWidth="1"/>
    <col min="5892" max="5915" width="8.125" style="119" customWidth="1"/>
    <col min="5916" max="6145" width="9" style="119"/>
    <col min="6146" max="6146" width="0.875" style="119" customWidth="1"/>
    <col min="6147" max="6147" width="13.5" style="119" customWidth="1"/>
    <col min="6148" max="6171" width="8.125" style="119" customWidth="1"/>
    <col min="6172" max="6401" width="9" style="119"/>
    <col min="6402" max="6402" width="0.875" style="119" customWidth="1"/>
    <col min="6403" max="6403" width="13.5" style="119" customWidth="1"/>
    <col min="6404" max="6427" width="8.125" style="119" customWidth="1"/>
    <col min="6428" max="6657" width="9" style="119"/>
    <col min="6658" max="6658" width="0.875" style="119" customWidth="1"/>
    <col min="6659" max="6659" width="13.5" style="119" customWidth="1"/>
    <col min="6660" max="6683" width="8.125" style="119" customWidth="1"/>
    <col min="6684" max="6913" width="9" style="119"/>
    <col min="6914" max="6914" width="0.875" style="119" customWidth="1"/>
    <col min="6915" max="6915" width="13.5" style="119" customWidth="1"/>
    <col min="6916" max="6939" width="8.125" style="119" customWidth="1"/>
    <col min="6940" max="7169" width="9" style="119"/>
    <col min="7170" max="7170" width="0.875" style="119" customWidth="1"/>
    <col min="7171" max="7171" width="13.5" style="119" customWidth="1"/>
    <col min="7172" max="7195" width="8.125" style="119" customWidth="1"/>
    <col min="7196" max="7425" width="9" style="119"/>
    <col min="7426" max="7426" width="0.875" style="119" customWidth="1"/>
    <col min="7427" max="7427" width="13.5" style="119" customWidth="1"/>
    <col min="7428" max="7451" width="8.125" style="119" customWidth="1"/>
    <col min="7452" max="7681" width="9" style="119"/>
    <col min="7682" max="7682" width="0.875" style="119" customWidth="1"/>
    <col min="7683" max="7683" width="13.5" style="119" customWidth="1"/>
    <col min="7684" max="7707" width="8.125" style="119" customWidth="1"/>
    <col min="7708" max="7937" width="9" style="119"/>
    <col min="7938" max="7938" width="0.875" style="119" customWidth="1"/>
    <col min="7939" max="7939" width="13.5" style="119" customWidth="1"/>
    <col min="7940" max="7963" width="8.125" style="119" customWidth="1"/>
    <col min="7964" max="8193" width="9" style="119"/>
    <col min="8194" max="8194" width="0.875" style="119" customWidth="1"/>
    <col min="8195" max="8195" width="13.5" style="119" customWidth="1"/>
    <col min="8196" max="8219" width="8.125" style="119" customWidth="1"/>
    <col min="8220" max="8449" width="9" style="119"/>
    <col min="8450" max="8450" width="0.875" style="119" customWidth="1"/>
    <col min="8451" max="8451" width="13.5" style="119" customWidth="1"/>
    <col min="8452" max="8475" width="8.125" style="119" customWidth="1"/>
    <col min="8476" max="8705" width="9" style="119"/>
    <col min="8706" max="8706" width="0.875" style="119" customWidth="1"/>
    <col min="8707" max="8707" width="13.5" style="119" customWidth="1"/>
    <col min="8708" max="8731" width="8.125" style="119" customWidth="1"/>
    <col min="8732" max="8961" width="9" style="119"/>
    <col min="8962" max="8962" width="0.875" style="119" customWidth="1"/>
    <col min="8963" max="8963" width="13.5" style="119" customWidth="1"/>
    <col min="8964" max="8987" width="8.125" style="119" customWidth="1"/>
    <col min="8988" max="9217" width="9" style="119"/>
    <col min="9218" max="9218" width="0.875" style="119" customWidth="1"/>
    <col min="9219" max="9219" width="13.5" style="119" customWidth="1"/>
    <col min="9220" max="9243" width="8.125" style="119" customWidth="1"/>
    <col min="9244" max="9473" width="9" style="119"/>
    <col min="9474" max="9474" width="0.875" style="119" customWidth="1"/>
    <col min="9475" max="9475" width="13.5" style="119" customWidth="1"/>
    <col min="9476" max="9499" width="8.125" style="119" customWidth="1"/>
    <col min="9500" max="9729" width="9" style="119"/>
    <col min="9730" max="9730" width="0.875" style="119" customWidth="1"/>
    <col min="9731" max="9731" width="13.5" style="119" customWidth="1"/>
    <col min="9732" max="9755" width="8.125" style="119" customWidth="1"/>
    <col min="9756" max="9985" width="9" style="119"/>
    <col min="9986" max="9986" width="0.875" style="119" customWidth="1"/>
    <col min="9987" max="9987" width="13.5" style="119" customWidth="1"/>
    <col min="9988" max="10011" width="8.125" style="119" customWidth="1"/>
    <col min="10012" max="10241" width="9" style="119"/>
    <col min="10242" max="10242" width="0.875" style="119" customWidth="1"/>
    <col min="10243" max="10243" width="13.5" style="119" customWidth="1"/>
    <col min="10244" max="10267" width="8.125" style="119" customWidth="1"/>
    <col min="10268" max="10497" width="9" style="119"/>
    <col min="10498" max="10498" width="0.875" style="119" customWidth="1"/>
    <col min="10499" max="10499" width="13.5" style="119" customWidth="1"/>
    <col min="10500" max="10523" width="8.125" style="119" customWidth="1"/>
    <col min="10524" max="10753" width="9" style="119"/>
    <col min="10754" max="10754" width="0.875" style="119" customWidth="1"/>
    <col min="10755" max="10755" width="13.5" style="119" customWidth="1"/>
    <col min="10756" max="10779" width="8.125" style="119" customWidth="1"/>
    <col min="10780" max="11009" width="9" style="119"/>
    <col min="11010" max="11010" width="0.875" style="119" customWidth="1"/>
    <col min="11011" max="11011" width="13.5" style="119" customWidth="1"/>
    <col min="11012" max="11035" width="8.125" style="119" customWidth="1"/>
    <col min="11036" max="11265" width="9" style="119"/>
    <col min="11266" max="11266" width="0.875" style="119" customWidth="1"/>
    <col min="11267" max="11267" width="13.5" style="119" customWidth="1"/>
    <col min="11268" max="11291" width="8.125" style="119" customWidth="1"/>
    <col min="11292" max="11521" width="9" style="119"/>
    <col min="11522" max="11522" width="0.875" style="119" customWidth="1"/>
    <col min="11523" max="11523" width="13.5" style="119" customWidth="1"/>
    <col min="11524" max="11547" width="8.125" style="119" customWidth="1"/>
    <col min="11548" max="11777" width="9" style="119"/>
    <col min="11778" max="11778" width="0.875" style="119" customWidth="1"/>
    <col min="11779" max="11779" width="13.5" style="119" customWidth="1"/>
    <col min="11780" max="11803" width="8.125" style="119" customWidth="1"/>
    <col min="11804" max="12033" width="9" style="119"/>
    <col min="12034" max="12034" width="0.875" style="119" customWidth="1"/>
    <col min="12035" max="12035" width="13.5" style="119" customWidth="1"/>
    <col min="12036" max="12059" width="8.125" style="119" customWidth="1"/>
    <col min="12060" max="12289" width="9" style="119"/>
    <col min="12290" max="12290" width="0.875" style="119" customWidth="1"/>
    <col min="12291" max="12291" width="13.5" style="119" customWidth="1"/>
    <col min="12292" max="12315" width="8.125" style="119" customWidth="1"/>
    <col min="12316" max="12545" width="9" style="119"/>
    <col min="12546" max="12546" width="0.875" style="119" customWidth="1"/>
    <col min="12547" max="12547" width="13.5" style="119" customWidth="1"/>
    <col min="12548" max="12571" width="8.125" style="119" customWidth="1"/>
    <col min="12572" max="12801" width="9" style="119"/>
    <col min="12802" max="12802" width="0.875" style="119" customWidth="1"/>
    <col min="12803" max="12803" width="13.5" style="119" customWidth="1"/>
    <col min="12804" max="12827" width="8.125" style="119" customWidth="1"/>
    <col min="12828" max="13057" width="9" style="119"/>
    <col min="13058" max="13058" width="0.875" style="119" customWidth="1"/>
    <col min="13059" max="13059" width="13.5" style="119" customWidth="1"/>
    <col min="13060" max="13083" width="8.125" style="119" customWidth="1"/>
    <col min="13084" max="13313" width="9" style="119"/>
    <col min="13314" max="13314" width="0.875" style="119" customWidth="1"/>
    <col min="13315" max="13315" width="13.5" style="119" customWidth="1"/>
    <col min="13316" max="13339" width="8.125" style="119" customWidth="1"/>
    <col min="13340" max="13569" width="9" style="119"/>
    <col min="13570" max="13570" width="0.875" style="119" customWidth="1"/>
    <col min="13571" max="13571" width="13.5" style="119" customWidth="1"/>
    <col min="13572" max="13595" width="8.125" style="119" customWidth="1"/>
    <col min="13596" max="13825" width="9" style="119"/>
    <col min="13826" max="13826" width="0.875" style="119" customWidth="1"/>
    <col min="13827" max="13827" width="13.5" style="119" customWidth="1"/>
    <col min="13828" max="13851" width="8.125" style="119" customWidth="1"/>
    <col min="13852" max="14081" width="9" style="119"/>
    <col min="14082" max="14082" width="0.875" style="119" customWidth="1"/>
    <col min="14083" max="14083" width="13.5" style="119" customWidth="1"/>
    <col min="14084" max="14107" width="8.125" style="119" customWidth="1"/>
    <col min="14108" max="14337" width="9" style="119"/>
    <col min="14338" max="14338" width="0.875" style="119" customWidth="1"/>
    <col min="14339" max="14339" width="13.5" style="119" customWidth="1"/>
    <col min="14340" max="14363" width="8.125" style="119" customWidth="1"/>
    <col min="14364" max="14593" width="9" style="119"/>
    <col min="14594" max="14594" width="0.875" style="119" customWidth="1"/>
    <col min="14595" max="14595" width="13.5" style="119" customWidth="1"/>
    <col min="14596" max="14619" width="8.125" style="119" customWidth="1"/>
    <col min="14620" max="14849" width="9" style="119"/>
    <col min="14850" max="14850" width="0.875" style="119" customWidth="1"/>
    <col min="14851" max="14851" width="13.5" style="119" customWidth="1"/>
    <col min="14852" max="14875" width="8.125" style="119" customWidth="1"/>
    <col min="14876" max="15105" width="9" style="119"/>
    <col min="15106" max="15106" width="0.875" style="119" customWidth="1"/>
    <col min="15107" max="15107" width="13.5" style="119" customWidth="1"/>
    <col min="15108" max="15131" width="8.125" style="119" customWidth="1"/>
    <col min="15132" max="15361" width="9" style="119"/>
    <col min="15362" max="15362" width="0.875" style="119" customWidth="1"/>
    <col min="15363" max="15363" width="13.5" style="119" customWidth="1"/>
    <col min="15364" max="15387" width="8.125" style="119" customWidth="1"/>
    <col min="15388" max="15617" width="9" style="119"/>
    <col min="15618" max="15618" width="0.875" style="119" customWidth="1"/>
    <col min="15619" max="15619" width="13.5" style="119" customWidth="1"/>
    <col min="15620" max="15643" width="8.125" style="119" customWidth="1"/>
    <col min="15644" max="15873" width="9" style="119"/>
    <col min="15874" max="15874" width="0.875" style="119" customWidth="1"/>
    <col min="15875" max="15875" width="13.5" style="119" customWidth="1"/>
    <col min="15876" max="15899" width="8.125" style="119" customWidth="1"/>
    <col min="15900" max="16129" width="9" style="119"/>
    <col min="16130" max="16130" width="0.875" style="119" customWidth="1"/>
    <col min="16131" max="16131" width="13.5" style="119" customWidth="1"/>
    <col min="16132" max="16155" width="8.125" style="119" customWidth="1"/>
    <col min="16156" max="16384" width="9" style="119"/>
  </cols>
  <sheetData>
    <row r="1" spans="1:30" s="112" customFormat="1" ht="30" customHeight="1" thickBot="1">
      <c r="B1" s="1247" t="s">
        <v>733</v>
      </c>
      <c r="C1" s="1247"/>
      <c r="D1" s="1247"/>
      <c r="E1" s="1247"/>
      <c r="F1" s="1247"/>
      <c r="G1" s="1247"/>
      <c r="H1" s="1247"/>
      <c r="I1" s="1247"/>
      <c r="J1" s="1247"/>
      <c r="K1" s="1247"/>
      <c r="L1" s="1247"/>
      <c r="M1" s="1247"/>
      <c r="N1" s="1247"/>
      <c r="O1" s="1247"/>
      <c r="P1" s="1247"/>
      <c r="Q1" s="1247"/>
      <c r="R1" s="1247"/>
      <c r="S1" s="1247"/>
      <c r="T1" s="1247"/>
      <c r="U1" s="1247"/>
      <c r="V1" s="1247"/>
      <c r="W1" s="1247"/>
      <c r="X1" s="1247"/>
      <c r="Y1" s="1247"/>
      <c r="Z1" s="1247"/>
      <c r="AA1" s="1247"/>
      <c r="AB1" s="1247"/>
      <c r="AC1" s="1247"/>
      <c r="AD1" s="1247"/>
    </row>
    <row r="2" spans="1:30"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30" s="113" customFormat="1" ht="21.75" customHeight="1">
      <c r="A3" s="78"/>
      <c r="B3" s="79" t="s">
        <v>540</v>
      </c>
      <c r="C3" s="78"/>
      <c r="D3" s="78"/>
      <c r="E3" s="78"/>
      <c r="F3" s="78"/>
      <c r="G3" s="78"/>
      <c r="H3" s="78"/>
      <c r="I3" s="78"/>
      <c r="J3" s="78"/>
      <c r="K3" s="78"/>
      <c r="L3" s="78"/>
      <c r="M3" s="78"/>
      <c r="N3" s="78"/>
      <c r="O3" s="78"/>
      <c r="P3" s="78"/>
      <c r="Q3" s="78"/>
      <c r="R3" s="78"/>
      <c r="S3" s="78"/>
      <c r="T3" s="78"/>
      <c r="U3" s="78"/>
      <c r="V3" s="78"/>
      <c r="W3" s="78"/>
      <c r="X3" s="78"/>
      <c r="Y3" s="78"/>
      <c r="Z3" s="78"/>
      <c r="AA3" s="78"/>
    </row>
    <row r="4" spans="1:30" s="113" customFormat="1" ht="21.7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row>
    <row r="5" spans="1:30" s="114" customFormat="1" ht="18" customHeight="1">
      <c r="B5" s="77"/>
      <c r="C5" s="77"/>
      <c r="D5" s="77"/>
      <c r="H5" s="115"/>
    </row>
    <row r="6" spans="1:30" s="114" customFormat="1" ht="18" customHeight="1" thickBot="1">
      <c r="B6" s="116" t="s">
        <v>106</v>
      </c>
      <c r="E6" s="117"/>
      <c r="F6" s="115"/>
      <c r="G6" s="115"/>
      <c r="H6" s="115"/>
    </row>
    <row r="7" spans="1:30" s="118" customFormat="1" ht="18" customHeight="1">
      <c r="B7" s="1248" t="s">
        <v>541</v>
      </c>
      <c r="C7" s="970"/>
      <c r="D7" s="1250"/>
      <c r="E7" s="1248" t="s">
        <v>542</v>
      </c>
      <c r="F7" s="970"/>
      <c r="G7" s="970"/>
      <c r="H7" s="970"/>
      <c r="I7" s="970"/>
      <c r="J7" s="970"/>
      <c r="K7" s="970"/>
      <c r="L7" s="970"/>
      <c r="M7" s="970"/>
      <c r="N7" s="971"/>
      <c r="O7" s="1249" t="s">
        <v>543</v>
      </c>
      <c r="P7" s="970"/>
      <c r="Q7" s="970"/>
      <c r="R7" s="970"/>
      <c r="S7" s="970"/>
      <c r="T7" s="970"/>
      <c r="U7" s="970"/>
      <c r="V7" s="970"/>
      <c r="W7" s="970"/>
      <c r="X7" s="1250"/>
    </row>
    <row r="8" spans="1:30" s="118" customFormat="1" ht="18" customHeight="1">
      <c r="B8" s="1269" t="s">
        <v>544</v>
      </c>
      <c r="C8" s="1270"/>
      <c r="D8" s="1271"/>
      <c r="E8" s="1251" t="s">
        <v>545</v>
      </c>
      <c r="F8" s="1252"/>
      <c r="G8" s="1252"/>
      <c r="H8" s="1252"/>
      <c r="I8" s="1252"/>
      <c r="J8" s="1252"/>
      <c r="K8" s="1252"/>
      <c r="L8" s="1252"/>
      <c r="M8" s="1252"/>
      <c r="N8" s="1253"/>
      <c r="O8" s="1254"/>
      <c r="P8" s="1252"/>
      <c r="Q8" s="1252"/>
      <c r="R8" s="1252"/>
      <c r="S8" s="1252"/>
      <c r="T8" s="1252"/>
      <c r="U8" s="1252"/>
      <c r="V8" s="1252"/>
      <c r="W8" s="1252"/>
      <c r="X8" s="1255"/>
    </row>
    <row r="9" spans="1:30" s="118" customFormat="1" ht="18" customHeight="1">
      <c r="B9" s="851"/>
      <c r="C9" s="852"/>
      <c r="D9" s="853"/>
      <c r="E9" s="1259" t="s">
        <v>546</v>
      </c>
      <c r="F9" s="1257"/>
      <c r="G9" s="1257"/>
      <c r="H9" s="1257"/>
      <c r="I9" s="1257"/>
      <c r="J9" s="1257"/>
      <c r="K9" s="1257"/>
      <c r="L9" s="1257"/>
      <c r="M9" s="1257"/>
      <c r="N9" s="1260"/>
      <c r="O9" s="1256"/>
      <c r="P9" s="1257"/>
      <c r="Q9" s="1257"/>
      <c r="R9" s="1257"/>
      <c r="S9" s="1257"/>
      <c r="T9" s="1257"/>
      <c r="U9" s="1257"/>
      <c r="V9" s="1257"/>
      <c r="W9" s="1257"/>
      <c r="X9" s="1258"/>
    </row>
    <row r="10" spans="1:30" s="118" customFormat="1" ht="18" customHeight="1">
      <c r="B10" s="1266" t="s">
        <v>547</v>
      </c>
      <c r="C10" s="1267"/>
      <c r="D10" s="1268"/>
      <c r="E10" s="1261" t="s">
        <v>548</v>
      </c>
      <c r="F10" s="1262"/>
      <c r="G10" s="1262"/>
      <c r="H10" s="1262"/>
      <c r="I10" s="1262"/>
      <c r="J10" s="1262"/>
      <c r="K10" s="1262"/>
      <c r="L10" s="1262"/>
      <c r="M10" s="1262"/>
      <c r="N10" s="1263"/>
      <c r="O10" s="1264" t="s">
        <v>549</v>
      </c>
      <c r="P10" s="1262"/>
      <c r="Q10" s="1262"/>
      <c r="R10" s="1262"/>
      <c r="S10" s="1262"/>
      <c r="T10" s="1262"/>
      <c r="U10" s="1262"/>
      <c r="V10" s="1262"/>
      <c r="W10" s="1262"/>
      <c r="X10" s="1265"/>
    </row>
    <row r="11" spans="1:30" s="118" customFormat="1" ht="18" customHeight="1">
      <c r="B11" s="973" t="s">
        <v>550</v>
      </c>
      <c r="C11" s="910"/>
      <c r="D11" s="911"/>
      <c r="E11" s="1251" t="s">
        <v>551</v>
      </c>
      <c r="F11" s="1252"/>
      <c r="G11" s="1252"/>
      <c r="H11" s="1252"/>
      <c r="I11" s="1252"/>
      <c r="J11" s="1252"/>
      <c r="K11" s="1252"/>
      <c r="L11" s="1252"/>
      <c r="M11" s="1252"/>
      <c r="N11" s="1253"/>
      <c r="O11" s="1254" t="s">
        <v>552</v>
      </c>
      <c r="P11" s="1252"/>
      <c r="Q11" s="1252"/>
      <c r="R11" s="1252"/>
      <c r="S11" s="1252"/>
      <c r="T11" s="1252"/>
      <c r="U11" s="1252"/>
      <c r="V11" s="1252"/>
      <c r="W11" s="1252"/>
      <c r="X11" s="1255"/>
    </row>
    <row r="12" spans="1:30" s="118" customFormat="1" ht="18" customHeight="1">
      <c r="B12" s="974"/>
      <c r="C12" s="913"/>
      <c r="D12" s="914"/>
      <c r="E12" s="1259" t="s">
        <v>553</v>
      </c>
      <c r="F12" s="1257"/>
      <c r="G12" s="1257"/>
      <c r="H12" s="1257"/>
      <c r="I12" s="1257"/>
      <c r="J12" s="1257"/>
      <c r="K12" s="1257"/>
      <c r="L12" s="1257"/>
      <c r="M12" s="1257"/>
      <c r="N12" s="1260"/>
      <c r="O12" s="1256"/>
      <c r="P12" s="1257"/>
      <c r="Q12" s="1257"/>
      <c r="R12" s="1257"/>
      <c r="S12" s="1257"/>
      <c r="T12" s="1257"/>
      <c r="U12" s="1257"/>
      <c r="V12" s="1257"/>
      <c r="W12" s="1257"/>
      <c r="X12" s="1258"/>
    </row>
    <row r="13" spans="1:30" s="118" customFormat="1" ht="18" customHeight="1">
      <c r="B13" s="973" t="s">
        <v>554</v>
      </c>
      <c r="C13" s="910"/>
      <c r="D13" s="911"/>
      <c r="E13" s="1281" t="s">
        <v>81</v>
      </c>
      <c r="F13" s="1282"/>
      <c r="G13" s="1282"/>
      <c r="H13" s="1282"/>
      <c r="I13" s="1282"/>
      <c r="J13" s="1282"/>
      <c r="K13" s="1282"/>
      <c r="L13" s="1282"/>
      <c r="M13" s="1282"/>
      <c r="N13" s="1283"/>
      <c r="O13" s="589" t="s">
        <v>555</v>
      </c>
      <c r="P13" s="589" t="s">
        <v>556</v>
      </c>
      <c r="Q13" s="589" t="s">
        <v>557</v>
      </c>
      <c r="R13" s="590" t="s">
        <v>558</v>
      </c>
      <c r="S13" s="1254" t="s">
        <v>552</v>
      </c>
      <c r="T13" s="1252"/>
      <c r="U13" s="1252"/>
      <c r="V13" s="1252"/>
      <c r="W13" s="1252"/>
      <c r="X13" s="1255"/>
    </row>
    <row r="14" spans="1:30" s="118" customFormat="1" ht="18" customHeight="1">
      <c r="B14" s="1274"/>
      <c r="C14" s="1275"/>
      <c r="D14" s="1276"/>
      <c r="E14" s="1284"/>
      <c r="F14" s="1285"/>
      <c r="G14" s="1285"/>
      <c r="H14" s="1285"/>
      <c r="I14" s="1285"/>
      <c r="J14" s="1285"/>
      <c r="K14" s="1285"/>
      <c r="L14" s="1285"/>
      <c r="M14" s="1285"/>
      <c r="N14" s="1286"/>
      <c r="O14" s="589" t="s">
        <v>50</v>
      </c>
      <c r="P14" s="332">
        <v>0.06</v>
      </c>
      <c r="Q14" s="332">
        <v>4.4999999999999998E-2</v>
      </c>
      <c r="R14" s="332">
        <v>3.5000000000000003E-2</v>
      </c>
      <c r="S14" s="1290"/>
      <c r="T14" s="1291"/>
      <c r="U14" s="1291"/>
      <c r="V14" s="1291"/>
      <c r="W14" s="1291"/>
      <c r="X14" s="1292"/>
    </row>
    <row r="15" spans="1:30" s="118" customFormat="1" ht="18" customHeight="1" thickBot="1">
      <c r="B15" s="1008"/>
      <c r="C15" s="1009"/>
      <c r="D15" s="1010"/>
      <c r="E15" s="1287"/>
      <c r="F15" s="1288"/>
      <c r="G15" s="1288"/>
      <c r="H15" s="1288"/>
      <c r="I15" s="1288"/>
      <c r="J15" s="1288"/>
      <c r="K15" s="1288"/>
      <c r="L15" s="1288"/>
      <c r="M15" s="1288"/>
      <c r="N15" s="1289"/>
      <c r="O15" s="333" t="s">
        <v>559</v>
      </c>
      <c r="P15" s="334" t="s">
        <v>560</v>
      </c>
      <c r="Q15" s="334" t="s">
        <v>561</v>
      </c>
      <c r="R15" s="334" t="s">
        <v>562</v>
      </c>
      <c r="S15" s="1293"/>
      <c r="T15" s="1294"/>
      <c r="U15" s="1294"/>
      <c r="V15" s="1294"/>
      <c r="W15" s="1294"/>
      <c r="X15" s="1295"/>
    </row>
    <row r="16" spans="1:30" ht="18" customHeight="1">
      <c r="B16" s="116"/>
    </row>
    <row r="17" spans="1:30" ht="18" customHeight="1">
      <c r="B17" s="116" t="s">
        <v>563</v>
      </c>
    </row>
    <row r="18" spans="1:30" s="34" customFormat="1" ht="25.5" customHeight="1">
      <c r="B18" s="423" t="s">
        <v>564</v>
      </c>
      <c r="C18" s="423"/>
      <c r="D18" s="423"/>
      <c r="E18" s="423"/>
      <c r="F18" s="423"/>
      <c r="G18" s="423"/>
      <c r="H18" s="424"/>
      <c r="I18" s="424"/>
      <c r="J18" s="424"/>
      <c r="K18" s="425"/>
      <c r="L18" s="425"/>
      <c r="M18" s="425"/>
      <c r="N18" s="424"/>
      <c r="O18" s="424"/>
      <c r="P18" s="424"/>
      <c r="Q18" s="424"/>
      <c r="R18" s="424"/>
      <c r="S18" s="424"/>
      <c r="T18" s="424"/>
      <c r="U18" s="424"/>
      <c r="V18" s="424"/>
      <c r="W18" s="424"/>
      <c r="X18" s="424"/>
      <c r="Y18" s="424"/>
      <c r="Z18" s="424"/>
    </row>
    <row r="19" spans="1:30" s="34" customFormat="1" ht="24" customHeight="1">
      <c r="A19" s="29"/>
      <c r="B19" s="30" t="s">
        <v>565</v>
      </c>
      <c r="C19" s="31"/>
      <c r="D19" s="31"/>
      <c r="E19" s="31"/>
      <c r="F19" s="31"/>
      <c r="G19" s="31"/>
      <c r="H19" s="32"/>
      <c r="I19" s="32"/>
      <c r="J19" s="32"/>
      <c r="K19" s="33"/>
      <c r="L19" s="33"/>
      <c r="M19" s="33"/>
      <c r="N19" s="32"/>
      <c r="O19" s="32"/>
      <c r="P19" s="32"/>
      <c r="Q19" s="32"/>
      <c r="R19" s="32"/>
      <c r="S19" s="32"/>
      <c r="T19" s="32"/>
      <c r="U19" s="32"/>
      <c r="V19" s="32"/>
      <c r="W19" s="32"/>
      <c r="X19" s="32"/>
      <c r="Y19" s="32"/>
      <c r="Z19" s="32"/>
      <c r="AA19" s="29"/>
      <c r="AB19" s="29"/>
    </row>
    <row r="20" spans="1:30" s="122" customFormat="1" ht="7.5" customHeight="1" thickBot="1">
      <c r="A20" s="115"/>
      <c r="B20" s="35"/>
      <c r="C20" s="115"/>
      <c r="D20" s="114"/>
      <c r="E20" s="114"/>
      <c r="F20" s="114"/>
      <c r="G20" s="115"/>
      <c r="H20" s="115"/>
      <c r="I20" s="115"/>
      <c r="J20" s="115"/>
      <c r="K20" s="115"/>
      <c r="L20" s="115"/>
      <c r="M20" s="115"/>
      <c r="N20" s="115"/>
      <c r="O20" s="115"/>
      <c r="P20" s="115"/>
      <c r="Q20" s="115"/>
      <c r="R20" s="115"/>
      <c r="S20" s="115"/>
      <c r="T20" s="115"/>
      <c r="U20" s="115"/>
      <c r="V20" s="115"/>
      <c r="W20" s="115"/>
      <c r="X20" s="115"/>
      <c r="Y20" s="115"/>
      <c r="Z20" s="115"/>
      <c r="AA20" s="115"/>
    </row>
    <row r="21" spans="1:30" s="115" customFormat="1" ht="18" customHeight="1">
      <c r="A21" s="123"/>
      <c r="B21" s="923" t="s">
        <v>566</v>
      </c>
      <c r="C21" s="924"/>
      <c r="D21" s="925"/>
      <c r="E21" s="926" t="s">
        <v>567</v>
      </c>
      <c r="F21" s="1280" t="s">
        <v>568</v>
      </c>
      <c r="G21" s="596" t="s">
        <v>544</v>
      </c>
      <c r="H21" s="596" t="s">
        <v>547</v>
      </c>
      <c r="I21" s="591" t="s">
        <v>550</v>
      </c>
      <c r="J21" s="597" t="s">
        <v>569</v>
      </c>
      <c r="K21" s="935" t="s">
        <v>570</v>
      </c>
      <c r="L21" s="937"/>
      <c r="M21" s="936" t="s">
        <v>571</v>
      </c>
      <c r="N21" s="933"/>
      <c r="O21" s="937"/>
      <c r="P21" s="931" t="s">
        <v>572</v>
      </c>
      <c r="Q21" s="932"/>
      <c r="R21" s="591">
        <v>0.93</v>
      </c>
      <c r="S21" s="931" t="s">
        <v>573</v>
      </c>
      <c r="T21" s="932"/>
      <c r="U21" s="286">
        <v>0.86</v>
      </c>
      <c r="V21" s="931" t="s">
        <v>238</v>
      </c>
      <c r="W21" s="932"/>
      <c r="X21" s="286">
        <v>0.83</v>
      </c>
      <c r="Y21" s="931" t="s">
        <v>574</v>
      </c>
      <c r="Z21" s="932"/>
      <c r="AA21" s="286">
        <v>0.75</v>
      </c>
      <c r="AB21" s="936" t="s">
        <v>575</v>
      </c>
      <c r="AC21" s="934"/>
      <c r="AD21" s="286">
        <v>0.7</v>
      </c>
    </row>
    <row r="22" spans="1:30" s="115" customFormat="1" ht="30.75" customHeight="1" thickBot="1">
      <c r="A22" s="123"/>
      <c r="B22" s="335" t="s">
        <v>576</v>
      </c>
      <c r="C22" s="336" t="s">
        <v>43</v>
      </c>
      <c r="D22" s="337" t="s">
        <v>577</v>
      </c>
      <c r="E22" s="1279"/>
      <c r="F22" s="1024"/>
      <c r="G22" s="418">
        <v>2.7250000000000001</v>
      </c>
      <c r="H22" s="273">
        <v>0.2</v>
      </c>
      <c r="I22" s="338">
        <v>8.5000000000000006E-2</v>
      </c>
      <c r="J22" s="598"/>
      <c r="K22" s="338" t="s">
        <v>578</v>
      </c>
      <c r="L22" s="338" t="s">
        <v>579</v>
      </c>
      <c r="M22" s="593" t="s">
        <v>121</v>
      </c>
      <c r="N22" s="594" t="s">
        <v>580</v>
      </c>
      <c r="O22" s="592" t="s">
        <v>581</v>
      </c>
      <c r="P22" s="595" t="s">
        <v>121</v>
      </c>
      <c r="Q22" s="594" t="s">
        <v>580</v>
      </c>
      <c r="R22" s="592" t="s">
        <v>581</v>
      </c>
      <c r="S22" s="593" t="s">
        <v>121</v>
      </c>
      <c r="T22" s="594" t="s">
        <v>580</v>
      </c>
      <c r="U22" s="592" t="s">
        <v>581</v>
      </c>
      <c r="V22" s="593" t="s">
        <v>121</v>
      </c>
      <c r="W22" s="594" t="s">
        <v>580</v>
      </c>
      <c r="X22" s="592" t="s">
        <v>581</v>
      </c>
      <c r="Y22" s="593" t="s">
        <v>121</v>
      </c>
      <c r="Z22" s="594" t="s">
        <v>580</v>
      </c>
      <c r="AA22" s="592" t="s">
        <v>581</v>
      </c>
      <c r="AB22" s="595" t="s">
        <v>121</v>
      </c>
      <c r="AC22" s="594" t="s">
        <v>580</v>
      </c>
      <c r="AD22" s="592" t="s">
        <v>581</v>
      </c>
    </row>
    <row r="23" spans="1:30" s="115" customFormat="1" ht="18" customHeight="1">
      <c r="A23" s="123"/>
      <c r="B23" s="915" t="s">
        <v>582</v>
      </c>
      <c r="C23" s="916"/>
      <c r="D23" s="917"/>
      <c r="E23" s="1296">
        <v>1000</v>
      </c>
      <c r="F23" s="1297">
        <f>E23*C24</f>
        <v>2500</v>
      </c>
      <c r="G23" s="1297">
        <f>F23*$G$22</f>
        <v>6812.5</v>
      </c>
      <c r="H23" s="1297">
        <f>F23*$H$22</f>
        <v>500</v>
      </c>
      <c r="I23" s="1297">
        <f>F23*$I$22*11</f>
        <v>2337.5000000000005</v>
      </c>
      <c r="J23" s="599"/>
      <c r="K23" s="1297" t="s">
        <v>122</v>
      </c>
      <c r="L23" s="1246" t="s">
        <v>122</v>
      </c>
      <c r="M23" s="124">
        <f>G23+H23</f>
        <v>7312.5</v>
      </c>
      <c r="N23" s="125">
        <f>G23+H23+I23</f>
        <v>9650</v>
      </c>
      <c r="O23" s="126">
        <f>G23+H23+I23</f>
        <v>9650</v>
      </c>
      <c r="P23" s="127">
        <f>M23*$R$21</f>
        <v>6800.625</v>
      </c>
      <c r="Q23" s="125">
        <f>N23*$R$21</f>
        <v>8974.5</v>
      </c>
      <c r="R23" s="128">
        <f>O23*$R$21</f>
        <v>8974.5</v>
      </c>
      <c r="S23" s="124">
        <f>M23*$U$21</f>
        <v>6288.75</v>
      </c>
      <c r="T23" s="125">
        <f t="shared" ref="T23:U23" si="0">N23*$U$21</f>
        <v>8299</v>
      </c>
      <c r="U23" s="126">
        <f t="shared" si="0"/>
        <v>8299</v>
      </c>
      <c r="V23" s="124">
        <f>M23*$X$21</f>
        <v>6069.375</v>
      </c>
      <c r="W23" s="125">
        <f>N23*$X$21</f>
        <v>8009.5</v>
      </c>
      <c r="X23" s="126">
        <f>O23*$X$21</f>
        <v>8009.5</v>
      </c>
      <c r="Y23" s="124">
        <f>M23*$AA$21</f>
        <v>5484.375</v>
      </c>
      <c r="Z23" s="125">
        <f>N23*$AA$21</f>
        <v>7237.5</v>
      </c>
      <c r="AA23" s="126">
        <f>O23*$AA$21</f>
        <v>7237.5</v>
      </c>
      <c r="AB23" s="127">
        <f>M23*$AD$21</f>
        <v>5118.75</v>
      </c>
      <c r="AC23" s="128">
        <f>N23*$AD$21</f>
        <v>6755</v>
      </c>
      <c r="AD23" s="126">
        <f>O23*$AD$21</f>
        <v>6755</v>
      </c>
    </row>
    <row r="24" spans="1:30" s="115" customFormat="1" ht="18" customHeight="1">
      <c r="A24" s="123"/>
      <c r="B24" s="281" t="s">
        <v>583</v>
      </c>
      <c r="C24" s="339">
        <v>2.5</v>
      </c>
      <c r="D24" s="340" t="s">
        <v>122</v>
      </c>
      <c r="E24" s="1278"/>
      <c r="F24" s="1273"/>
      <c r="G24" s="1273"/>
      <c r="H24" s="1273"/>
      <c r="I24" s="1273"/>
      <c r="J24" s="600"/>
      <c r="K24" s="1273"/>
      <c r="L24" s="1244"/>
      <c r="M24" s="90">
        <f>M23/E23</f>
        <v>7.3125</v>
      </c>
      <c r="N24" s="27">
        <f>N23/E23</f>
        <v>9.65</v>
      </c>
      <c r="O24" s="28">
        <f>O23/E23</f>
        <v>9.65</v>
      </c>
      <c r="P24" s="129">
        <f>P23/E23</f>
        <v>6.8006250000000001</v>
      </c>
      <c r="Q24" s="130">
        <f>Q23/E23</f>
        <v>8.9745000000000008</v>
      </c>
      <c r="R24" s="131">
        <f>R23/E23</f>
        <v>8.9745000000000008</v>
      </c>
      <c r="S24" s="132">
        <f>S23/E23</f>
        <v>6.2887500000000003</v>
      </c>
      <c r="T24" s="130">
        <f>T23/E23</f>
        <v>8.2989999999999995</v>
      </c>
      <c r="U24" s="133">
        <f>U23/E23</f>
        <v>8.2989999999999995</v>
      </c>
      <c r="V24" s="132">
        <f>V23/E23</f>
        <v>6.069375</v>
      </c>
      <c r="W24" s="130">
        <f>W23/E23</f>
        <v>8.0094999999999992</v>
      </c>
      <c r="X24" s="133">
        <f>X23/E23</f>
        <v>8.0094999999999992</v>
      </c>
      <c r="Y24" s="132">
        <f>Y23/E23</f>
        <v>5.484375</v>
      </c>
      <c r="Z24" s="130">
        <f>Z23/E23</f>
        <v>7.2374999999999998</v>
      </c>
      <c r="AA24" s="133">
        <f>AA23/E23</f>
        <v>7.2374999999999998</v>
      </c>
      <c r="AB24" s="129">
        <f>AB23/E23</f>
        <v>5.1187500000000004</v>
      </c>
      <c r="AC24" s="131">
        <f>AC23/E23</f>
        <v>6.7549999999999999</v>
      </c>
      <c r="AD24" s="133">
        <f>AD23/E23</f>
        <v>6.7549999999999999</v>
      </c>
    </row>
    <row r="25" spans="1:30" s="115" customFormat="1" ht="18" customHeight="1">
      <c r="A25" s="123"/>
      <c r="B25" s="828" t="s">
        <v>584</v>
      </c>
      <c r="C25" s="829"/>
      <c r="D25" s="830"/>
      <c r="E25" s="1277">
        <v>1000</v>
      </c>
      <c r="F25" s="1272">
        <f>E25*C26</f>
        <v>2300</v>
      </c>
      <c r="G25" s="1272">
        <f>F25*$G$22</f>
        <v>6267.5</v>
      </c>
      <c r="H25" s="1272">
        <f>F25*$H$22</f>
        <v>460</v>
      </c>
      <c r="I25" s="1272">
        <f>F25*$I$22*11</f>
        <v>2150.5</v>
      </c>
      <c r="J25" s="601"/>
      <c r="K25" s="1272" t="s">
        <v>122</v>
      </c>
      <c r="L25" s="1243" t="s">
        <v>122</v>
      </c>
      <c r="M25" s="140">
        <f>G25+H25</f>
        <v>6727.5</v>
      </c>
      <c r="N25" s="135">
        <f>G25+H25+I25</f>
        <v>8878</v>
      </c>
      <c r="O25" s="141">
        <f>G25+H25+I25</f>
        <v>8878</v>
      </c>
      <c r="P25" s="137">
        <f>M25*$R$21</f>
        <v>6256.5750000000007</v>
      </c>
      <c r="Q25" s="138">
        <f>N25*$R$21</f>
        <v>8256.5400000000009</v>
      </c>
      <c r="R25" s="139">
        <f>O25*$R$21</f>
        <v>8256.5400000000009</v>
      </c>
      <c r="S25" s="140">
        <f>M25*$U$21</f>
        <v>5785.65</v>
      </c>
      <c r="T25" s="138">
        <f t="shared" ref="T25:U25" si="1">N25*$U$21</f>
        <v>7635.08</v>
      </c>
      <c r="U25" s="141">
        <f t="shared" si="1"/>
        <v>7635.08</v>
      </c>
      <c r="V25" s="140">
        <f>M25*$X$21</f>
        <v>5583.8249999999998</v>
      </c>
      <c r="W25" s="138">
        <f>N25*$X$21</f>
        <v>7368.74</v>
      </c>
      <c r="X25" s="141">
        <f>O25*$X$21</f>
        <v>7368.74</v>
      </c>
      <c r="Y25" s="140">
        <f>M25*$AA$21</f>
        <v>5045.625</v>
      </c>
      <c r="Z25" s="138">
        <f>N25*$AA$21</f>
        <v>6658.5</v>
      </c>
      <c r="AA25" s="141">
        <f>O25*$AA$21</f>
        <v>6658.5</v>
      </c>
      <c r="AB25" s="137">
        <f>M25*$AD$21</f>
        <v>4709.25</v>
      </c>
      <c r="AC25" s="139">
        <f>N25*$AD$21</f>
        <v>6214.5999999999995</v>
      </c>
      <c r="AD25" s="141">
        <f>O25*$AD$21</f>
        <v>6214.5999999999995</v>
      </c>
    </row>
    <row r="26" spans="1:30" s="115" customFormat="1" ht="18" customHeight="1">
      <c r="A26" s="123"/>
      <c r="B26" s="281" t="s">
        <v>585</v>
      </c>
      <c r="C26" s="339">
        <v>2.2999999999999998</v>
      </c>
      <c r="D26" s="340" t="s">
        <v>122</v>
      </c>
      <c r="E26" s="1278"/>
      <c r="F26" s="1273"/>
      <c r="G26" s="1273"/>
      <c r="H26" s="1273"/>
      <c r="I26" s="1273"/>
      <c r="J26" s="600"/>
      <c r="K26" s="1273"/>
      <c r="L26" s="1244"/>
      <c r="M26" s="90">
        <f>M25/E25</f>
        <v>6.7275</v>
      </c>
      <c r="N26" s="27">
        <f>N25/E25</f>
        <v>8.8780000000000001</v>
      </c>
      <c r="O26" s="28">
        <f>O25/E25</f>
        <v>8.8780000000000001</v>
      </c>
      <c r="P26" s="129">
        <f>P25/E25</f>
        <v>6.2565750000000007</v>
      </c>
      <c r="Q26" s="130">
        <f>Q25/E25</f>
        <v>8.2565400000000011</v>
      </c>
      <c r="R26" s="131">
        <f>R25/E25</f>
        <v>8.2565400000000011</v>
      </c>
      <c r="S26" s="132">
        <f>S25/E25</f>
        <v>5.7856499999999995</v>
      </c>
      <c r="T26" s="130">
        <f>T25/E25</f>
        <v>7.6350800000000003</v>
      </c>
      <c r="U26" s="133">
        <f>U25/E25</f>
        <v>7.6350800000000003</v>
      </c>
      <c r="V26" s="132">
        <f>V25/E25</f>
        <v>5.583825</v>
      </c>
      <c r="W26" s="130">
        <f>W25/E25</f>
        <v>7.3687399999999998</v>
      </c>
      <c r="X26" s="133">
        <f>X25/E25</f>
        <v>7.3687399999999998</v>
      </c>
      <c r="Y26" s="132">
        <f>Y25/E25</f>
        <v>5.0456250000000002</v>
      </c>
      <c r="Z26" s="130">
        <f>Z25/E25</f>
        <v>6.6585000000000001</v>
      </c>
      <c r="AA26" s="133">
        <f>AA25/E25</f>
        <v>6.6585000000000001</v>
      </c>
      <c r="AB26" s="129">
        <f>AB25/E25</f>
        <v>4.7092499999999999</v>
      </c>
      <c r="AC26" s="131">
        <f>AC25/E25</f>
        <v>6.214599999999999</v>
      </c>
      <c r="AD26" s="133">
        <f>AD25/E25</f>
        <v>6.214599999999999</v>
      </c>
    </row>
    <row r="27" spans="1:30" s="115" customFormat="1" ht="18" customHeight="1">
      <c r="A27" s="123"/>
      <c r="B27" s="828" t="s">
        <v>586</v>
      </c>
      <c r="C27" s="829"/>
      <c r="D27" s="830"/>
      <c r="E27" s="1277">
        <v>1000</v>
      </c>
      <c r="F27" s="1272">
        <f>E27*C28</f>
        <v>2500</v>
      </c>
      <c r="G27" s="1272">
        <f>F27*$G$22</f>
        <v>6812.5</v>
      </c>
      <c r="H27" s="1272">
        <f>F27*$H$22</f>
        <v>500</v>
      </c>
      <c r="I27" s="1272">
        <f>F27*$I$22*11</f>
        <v>2337.5000000000005</v>
      </c>
      <c r="J27" s="601"/>
      <c r="K27" s="1272" t="s">
        <v>122</v>
      </c>
      <c r="L27" s="1243" t="s">
        <v>122</v>
      </c>
      <c r="M27" s="140">
        <f>G27+H27</f>
        <v>7312.5</v>
      </c>
      <c r="N27" s="135">
        <f>G27+H27+I27</f>
        <v>9650</v>
      </c>
      <c r="O27" s="141">
        <f>G27+H27+I27</f>
        <v>9650</v>
      </c>
      <c r="P27" s="137">
        <f>M27*$R$21</f>
        <v>6800.625</v>
      </c>
      <c r="Q27" s="138">
        <f>N27*$R$21</f>
        <v>8974.5</v>
      </c>
      <c r="R27" s="139">
        <f>O27*$R$21</f>
        <v>8974.5</v>
      </c>
      <c r="S27" s="140">
        <f>M27*$U$21</f>
        <v>6288.75</v>
      </c>
      <c r="T27" s="138">
        <f t="shared" ref="T27:U27" si="2">N27*$U$21</f>
        <v>8299</v>
      </c>
      <c r="U27" s="141">
        <f t="shared" si="2"/>
        <v>8299</v>
      </c>
      <c r="V27" s="140">
        <f>M27*$X$21</f>
        <v>6069.375</v>
      </c>
      <c r="W27" s="138">
        <f>N27*$X$21</f>
        <v>8009.5</v>
      </c>
      <c r="X27" s="141">
        <f>O27*$X$21</f>
        <v>8009.5</v>
      </c>
      <c r="Y27" s="140">
        <f>M27*$AA$21</f>
        <v>5484.375</v>
      </c>
      <c r="Z27" s="138">
        <f>N27*$AA$21</f>
        <v>7237.5</v>
      </c>
      <c r="AA27" s="141">
        <f>O27*$AA$21</f>
        <v>7237.5</v>
      </c>
      <c r="AB27" s="137">
        <f>M27*$AD$21</f>
        <v>5118.75</v>
      </c>
      <c r="AC27" s="139">
        <f>N27*$AD$21</f>
        <v>6755</v>
      </c>
      <c r="AD27" s="141">
        <f>O27*$AD$21</f>
        <v>6755</v>
      </c>
    </row>
    <row r="28" spans="1:30" s="115" customFormat="1" ht="18" customHeight="1">
      <c r="A28" s="123"/>
      <c r="B28" s="281" t="s">
        <v>585</v>
      </c>
      <c r="C28" s="339">
        <v>2.5</v>
      </c>
      <c r="D28" s="340" t="s">
        <v>122</v>
      </c>
      <c r="E28" s="1278"/>
      <c r="F28" s="1273"/>
      <c r="G28" s="1273"/>
      <c r="H28" s="1273"/>
      <c r="I28" s="1273"/>
      <c r="J28" s="600"/>
      <c r="K28" s="1273"/>
      <c r="L28" s="1244"/>
      <c r="M28" s="90">
        <f>M27/E27</f>
        <v>7.3125</v>
      </c>
      <c r="N28" s="27">
        <f>N27/E27</f>
        <v>9.65</v>
      </c>
      <c r="O28" s="28">
        <f>O27/E27</f>
        <v>9.65</v>
      </c>
      <c r="P28" s="129">
        <f>P27/E27</f>
        <v>6.8006250000000001</v>
      </c>
      <c r="Q28" s="130">
        <f>Q27/E27</f>
        <v>8.9745000000000008</v>
      </c>
      <c r="R28" s="131">
        <f>R27/E27</f>
        <v>8.9745000000000008</v>
      </c>
      <c r="S28" s="132">
        <f>S27/E27</f>
        <v>6.2887500000000003</v>
      </c>
      <c r="T28" s="130">
        <f>T27/E27</f>
        <v>8.2989999999999995</v>
      </c>
      <c r="U28" s="133">
        <f>U27/E27</f>
        <v>8.2989999999999995</v>
      </c>
      <c r="V28" s="132">
        <f>V27/E27</f>
        <v>6.069375</v>
      </c>
      <c r="W28" s="130">
        <f>W27/E27</f>
        <v>8.0094999999999992</v>
      </c>
      <c r="X28" s="133">
        <f>X27/E27</f>
        <v>8.0094999999999992</v>
      </c>
      <c r="Y28" s="132">
        <f>Y27/E27</f>
        <v>5.484375</v>
      </c>
      <c r="Z28" s="130">
        <f>Z27/E27</f>
        <v>7.2374999999999998</v>
      </c>
      <c r="AA28" s="133">
        <f>AA27/E27</f>
        <v>7.2374999999999998</v>
      </c>
      <c r="AB28" s="129">
        <f>AB27/E27</f>
        <v>5.1187500000000004</v>
      </c>
      <c r="AC28" s="131">
        <f>AC27/E27</f>
        <v>6.7549999999999999</v>
      </c>
      <c r="AD28" s="133">
        <f>AD27/E27</f>
        <v>6.7549999999999999</v>
      </c>
    </row>
    <row r="29" spans="1:30" s="115" customFormat="1" ht="18" customHeight="1">
      <c r="A29" s="123"/>
      <c r="B29" s="828" t="s">
        <v>587</v>
      </c>
      <c r="C29" s="829"/>
      <c r="D29" s="830"/>
      <c r="E29" s="1277">
        <v>1000</v>
      </c>
      <c r="F29" s="1272">
        <f>E29*C30</f>
        <v>2500</v>
      </c>
      <c r="G29" s="1272">
        <f>F29*$G$22</f>
        <v>6812.5</v>
      </c>
      <c r="H29" s="1272">
        <f>F29*$H$22</f>
        <v>500</v>
      </c>
      <c r="I29" s="1272">
        <f>F29*$I$22*11</f>
        <v>2337.5000000000005</v>
      </c>
      <c r="J29" s="601"/>
      <c r="K29" s="1272" t="s">
        <v>122</v>
      </c>
      <c r="L29" s="1243" t="s">
        <v>122</v>
      </c>
      <c r="M29" s="140">
        <f>G29+H29</f>
        <v>7312.5</v>
      </c>
      <c r="N29" s="135">
        <f>G29+H29+I29</f>
        <v>9650</v>
      </c>
      <c r="O29" s="141">
        <f>G29+H29+I29</f>
        <v>9650</v>
      </c>
      <c r="P29" s="137">
        <f>M29*$R$21</f>
        <v>6800.625</v>
      </c>
      <c r="Q29" s="138">
        <f>N29*$R$21</f>
        <v>8974.5</v>
      </c>
      <c r="R29" s="139">
        <f>O29*$R$21</f>
        <v>8974.5</v>
      </c>
      <c r="S29" s="140">
        <f>M29*$U$21</f>
        <v>6288.75</v>
      </c>
      <c r="T29" s="138">
        <f t="shared" ref="T29:U29" si="3">N29*$U$21</f>
        <v>8299</v>
      </c>
      <c r="U29" s="141">
        <f t="shared" si="3"/>
        <v>8299</v>
      </c>
      <c r="V29" s="140">
        <f>M29*$X$21</f>
        <v>6069.375</v>
      </c>
      <c r="W29" s="138">
        <f>N29*$X$21</f>
        <v>8009.5</v>
      </c>
      <c r="X29" s="141">
        <f>O29*$X$21</f>
        <v>8009.5</v>
      </c>
      <c r="Y29" s="140">
        <f>M29*$AA$21</f>
        <v>5484.375</v>
      </c>
      <c r="Z29" s="138">
        <f>N29*$AA$21</f>
        <v>7237.5</v>
      </c>
      <c r="AA29" s="141">
        <f>O29*$AA$21</f>
        <v>7237.5</v>
      </c>
      <c r="AB29" s="137">
        <f>M29*$AD$21</f>
        <v>5118.75</v>
      </c>
      <c r="AC29" s="139">
        <f>N29*$AD$21</f>
        <v>6755</v>
      </c>
      <c r="AD29" s="141">
        <f>O29*$AD$21</f>
        <v>6755</v>
      </c>
    </row>
    <row r="30" spans="1:30" s="115" customFormat="1" ht="18" customHeight="1">
      <c r="A30" s="123"/>
      <c r="B30" s="281" t="s">
        <v>583</v>
      </c>
      <c r="C30" s="339">
        <v>2.5</v>
      </c>
      <c r="D30" s="340" t="s">
        <v>122</v>
      </c>
      <c r="E30" s="1278"/>
      <c r="F30" s="1273"/>
      <c r="G30" s="1273"/>
      <c r="H30" s="1273"/>
      <c r="I30" s="1273"/>
      <c r="J30" s="600"/>
      <c r="K30" s="1273"/>
      <c r="L30" s="1244"/>
      <c r="M30" s="90">
        <f>M29/E29</f>
        <v>7.3125</v>
      </c>
      <c r="N30" s="27">
        <f>N29/E29</f>
        <v>9.65</v>
      </c>
      <c r="O30" s="28">
        <f>O29/E29</f>
        <v>9.65</v>
      </c>
      <c r="P30" s="129">
        <f>P29/E29</f>
        <v>6.8006250000000001</v>
      </c>
      <c r="Q30" s="130">
        <f>Q29/E29</f>
        <v>8.9745000000000008</v>
      </c>
      <c r="R30" s="131">
        <f>R29/E29</f>
        <v>8.9745000000000008</v>
      </c>
      <c r="S30" s="132">
        <f>S29/E29</f>
        <v>6.2887500000000003</v>
      </c>
      <c r="T30" s="130">
        <f>T29/E29</f>
        <v>8.2989999999999995</v>
      </c>
      <c r="U30" s="133">
        <f>U29/E29</f>
        <v>8.2989999999999995</v>
      </c>
      <c r="V30" s="132">
        <f>V29/E29</f>
        <v>6.069375</v>
      </c>
      <c r="W30" s="130">
        <f>W29/E29</f>
        <v>8.0094999999999992</v>
      </c>
      <c r="X30" s="133">
        <f>X29/E29</f>
        <v>8.0094999999999992</v>
      </c>
      <c r="Y30" s="132">
        <f>Y29/E29</f>
        <v>5.484375</v>
      </c>
      <c r="Z30" s="130">
        <f>Z29/E29</f>
        <v>7.2374999999999998</v>
      </c>
      <c r="AA30" s="133">
        <f>AA29/E29</f>
        <v>7.2374999999999998</v>
      </c>
      <c r="AB30" s="129">
        <f>AB29/E29</f>
        <v>5.1187500000000004</v>
      </c>
      <c r="AC30" s="131">
        <f>AC29/E29</f>
        <v>6.7549999999999999</v>
      </c>
      <c r="AD30" s="133">
        <f>AD29/E29</f>
        <v>6.7549999999999999</v>
      </c>
    </row>
    <row r="31" spans="1:30" s="115" customFormat="1" ht="18" customHeight="1">
      <c r="A31" s="123"/>
      <c r="B31" s="828" t="s">
        <v>588</v>
      </c>
      <c r="C31" s="829"/>
      <c r="D31" s="830"/>
      <c r="E31" s="1277">
        <v>1000</v>
      </c>
      <c r="F31" s="1272">
        <f>E31*C32</f>
        <v>700</v>
      </c>
      <c r="G31" s="1272">
        <f>F31*$G$22</f>
        <v>1907.5</v>
      </c>
      <c r="H31" s="1272">
        <f>F31*$H$22</f>
        <v>140</v>
      </c>
      <c r="I31" s="1272">
        <f>F31*$I$22*11</f>
        <v>654.50000000000011</v>
      </c>
      <c r="J31" s="601"/>
      <c r="K31" s="1272" t="s">
        <v>122</v>
      </c>
      <c r="L31" s="1243" t="s">
        <v>122</v>
      </c>
      <c r="M31" s="140">
        <f>G31+H31</f>
        <v>2047.5</v>
      </c>
      <c r="N31" s="135">
        <f>G31+H31+I31</f>
        <v>2702</v>
      </c>
      <c r="O31" s="141">
        <f>G31+H31+I31</f>
        <v>2702</v>
      </c>
      <c r="P31" s="137">
        <f>M31*$R$21</f>
        <v>1904.1750000000002</v>
      </c>
      <c r="Q31" s="138">
        <f>N31*$R$21</f>
        <v>2512.86</v>
      </c>
      <c r="R31" s="139">
        <f>O31*$R$21</f>
        <v>2512.86</v>
      </c>
      <c r="S31" s="140">
        <f>M31*$U$21</f>
        <v>1760.85</v>
      </c>
      <c r="T31" s="138">
        <f t="shared" ref="T31:U31" si="4">N31*$U$21</f>
        <v>2323.7199999999998</v>
      </c>
      <c r="U31" s="141">
        <f t="shared" si="4"/>
        <v>2323.7199999999998</v>
      </c>
      <c r="V31" s="140">
        <f>M31*$X$21</f>
        <v>1699.425</v>
      </c>
      <c r="W31" s="138">
        <f>N31*$X$21</f>
        <v>2242.66</v>
      </c>
      <c r="X31" s="141">
        <f>O31*$X$21</f>
        <v>2242.66</v>
      </c>
      <c r="Y31" s="140">
        <f>M31*$AA$21</f>
        <v>1535.625</v>
      </c>
      <c r="Z31" s="138">
        <f>N31*$AA$21</f>
        <v>2026.5</v>
      </c>
      <c r="AA31" s="141">
        <f>O31*$AA$21</f>
        <v>2026.5</v>
      </c>
      <c r="AB31" s="137">
        <f>M31*$AD$21</f>
        <v>1433.25</v>
      </c>
      <c r="AC31" s="139">
        <f>N31*$AD$21</f>
        <v>1891.3999999999999</v>
      </c>
      <c r="AD31" s="141">
        <f>O31*$AD$21</f>
        <v>1891.3999999999999</v>
      </c>
    </row>
    <row r="32" spans="1:30" s="115" customFormat="1" ht="18" customHeight="1">
      <c r="A32" s="123"/>
      <c r="B32" s="281" t="s">
        <v>589</v>
      </c>
      <c r="C32" s="339">
        <v>0.7</v>
      </c>
      <c r="D32" s="340" t="s">
        <v>122</v>
      </c>
      <c r="E32" s="1278"/>
      <c r="F32" s="1273"/>
      <c r="G32" s="1273"/>
      <c r="H32" s="1273"/>
      <c r="I32" s="1273"/>
      <c r="J32" s="600"/>
      <c r="K32" s="1273"/>
      <c r="L32" s="1244"/>
      <c r="M32" s="90">
        <f>M31/E31</f>
        <v>2.0474999999999999</v>
      </c>
      <c r="N32" s="27">
        <f>N31/E31</f>
        <v>2.702</v>
      </c>
      <c r="O32" s="28">
        <f>O31/E31</f>
        <v>2.702</v>
      </c>
      <c r="P32" s="129">
        <f>P31/E31</f>
        <v>1.9041750000000002</v>
      </c>
      <c r="Q32" s="130">
        <f>Q31/E31</f>
        <v>2.5128600000000003</v>
      </c>
      <c r="R32" s="131">
        <f>R31/E31</f>
        <v>2.5128600000000003</v>
      </c>
      <c r="S32" s="132">
        <f>S31/E31</f>
        <v>1.7608499999999998</v>
      </c>
      <c r="T32" s="130">
        <f>T31/E31</f>
        <v>2.3237199999999998</v>
      </c>
      <c r="U32" s="133">
        <f>U31/E31</f>
        <v>2.3237199999999998</v>
      </c>
      <c r="V32" s="132">
        <f>V31/E31</f>
        <v>1.699425</v>
      </c>
      <c r="W32" s="130">
        <f>W31/E31</f>
        <v>2.2426599999999999</v>
      </c>
      <c r="X32" s="133">
        <f>X31/E31</f>
        <v>2.2426599999999999</v>
      </c>
      <c r="Y32" s="132">
        <f>Y31/E31</f>
        <v>1.535625</v>
      </c>
      <c r="Z32" s="130">
        <f>Z31/E31</f>
        <v>2.0265</v>
      </c>
      <c r="AA32" s="133">
        <f>AA31/E31</f>
        <v>2.0265</v>
      </c>
      <c r="AB32" s="129">
        <f>AB31/E31</f>
        <v>1.4332499999999999</v>
      </c>
      <c r="AC32" s="131">
        <f>AC31/E31</f>
        <v>1.8914</v>
      </c>
      <c r="AD32" s="133">
        <f>AD31/E31</f>
        <v>1.8914</v>
      </c>
    </row>
    <row r="33" spans="1:30" s="115" customFormat="1" ht="18" customHeight="1">
      <c r="A33" s="123"/>
      <c r="B33" s="828" t="s">
        <v>590</v>
      </c>
      <c r="C33" s="829"/>
      <c r="D33" s="830"/>
      <c r="E33" s="1277">
        <v>1000</v>
      </c>
      <c r="F33" s="1272">
        <f>E33*C34</f>
        <v>2400</v>
      </c>
      <c r="G33" s="1272">
        <f>F33*$G$22</f>
        <v>6540</v>
      </c>
      <c r="H33" s="1272">
        <f>F33*$H$22</f>
        <v>480</v>
      </c>
      <c r="I33" s="1272">
        <f>F33*$I$22*11</f>
        <v>2244.0000000000005</v>
      </c>
      <c r="J33" s="601"/>
      <c r="K33" s="1272" t="s">
        <v>122</v>
      </c>
      <c r="L33" s="1243" t="s">
        <v>122</v>
      </c>
      <c r="M33" s="140">
        <f>G33+H33</f>
        <v>7020</v>
      </c>
      <c r="N33" s="135">
        <f>G33+H33+I33</f>
        <v>9264</v>
      </c>
      <c r="O33" s="141">
        <f>G33+H33+I33</f>
        <v>9264</v>
      </c>
      <c r="P33" s="137">
        <f>M33*$R$21</f>
        <v>6528.6</v>
      </c>
      <c r="Q33" s="138">
        <f>N33*$R$21</f>
        <v>8615.52</v>
      </c>
      <c r="R33" s="139">
        <f>O33*$R$21</f>
        <v>8615.52</v>
      </c>
      <c r="S33" s="140">
        <f>M33*$U$21</f>
        <v>6037.2</v>
      </c>
      <c r="T33" s="138">
        <f t="shared" ref="T33:U33" si="5">N33*$U$21</f>
        <v>7967.04</v>
      </c>
      <c r="U33" s="141">
        <f t="shared" si="5"/>
        <v>7967.04</v>
      </c>
      <c r="V33" s="140">
        <f>M33*$X$21</f>
        <v>5826.5999999999995</v>
      </c>
      <c r="W33" s="138">
        <f>N33*$X$21</f>
        <v>7689.12</v>
      </c>
      <c r="X33" s="141">
        <f>O33*$X$21</f>
        <v>7689.12</v>
      </c>
      <c r="Y33" s="140">
        <f>M33*$AA$21</f>
        <v>5265</v>
      </c>
      <c r="Z33" s="138">
        <f>N33*$AA$21</f>
        <v>6948</v>
      </c>
      <c r="AA33" s="141">
        <f>O33*$AA$21</f>
        <v>6948</v>
      </c>
      <c r="AB33" s="137">
        <f>M33*$AD$21</f>
        <v>4914</v>
      </c>
      <c r="AC33" s="139">
        <f>N33*$AD$21</f>
        <v>6484.7999999999993</v>
      </c>
      <c r="AD33" s="141">
        <f>O33*$AD$21</f>
        <v>6484.7999999999993</v>
      </c>
    </row>
    <row r="34" spans="1:30" s="115" customFormat="1" ht="18" customHeight="1">
      <c r="A34" s="123"/>
      <c r="B34" s="281" t="s">
        <v>583</v>
      </c>
      <c r="C34" s="339">
        <v>2.4</v>
      </c>
      <c r="D34" s="340" t="s">
        <v>122</v>
      </c>
      <c r="E34" s="1278"/>
      <c r="F34" s="1273"/>
      <c r="G34" s="1273"/>
      <c r="H34" s="1273"/>
      <c r="I34" s="1273"/>
      <c r="J34" s="600"/>
      <c r="K34" s="1273"/>
      <c r="L34" s="1244"/>
      <c r="M34" s="90">
        <f>M33/E33</f>
        <v>7.02</v>
      </c>
      <c r="N34" s="27">
        <f>N33/E33</f>
        <v>9.2639999999999993</v>
      </c>
      <c r="O34" s="28">
        <f>O33/E33</f>
        <v>9.2639999999999993</v>
      </c>
      <c r="P34" s="129">
        <f>P33/E33</f>
        <v>6.5286</v>
      </c>
      <c r="Q34" s="130">
        <f>Q33/E33</f>
        <v>8.6155200000000001</v>
      </c>
      <c r="R34" s="131">
        <f>R33/E33</f>
        <v>8.6155200000000001</v>
      </c>
      <c r="S34" s="132">
        <f>S33/E33</f>
        <v>6.0371999999999995</v>
      </c>
      <c r="T34" s="130">
        <f>T33/E33</f>
        <v>7.9670399999999999</v>
      </c>
      <c r="U34" s="133">
        <f>U33/E33</f>
        <v>7.9670399999999999</v>
      </c>
      <c r="V34" s="132">
        <f>V33/E33</f>
        <v>5.8265999999999991</v>
      </c>
      <c r="W34" s="130">
        <f>W33/E33</f>
        <v>7.68912</v>
      </c>
      <c r="X34" s="133">
        <f>X33/E33</f>
        <v>7.68912</v>
      </c>
      <c r="Y34" s="132">
        <f>Y33/E33</f>
        <v>5.2649999999999997</v>
      </c>
      <c r="Z34" s="130">
        <f>Z33/E33</f>
        <v>6.9480000000000004</v>
      </c>
      <c r="AA34" s="133">
        <f>AA33/E33</f>
        <v>6.9480000000000004</v>
      </c>
      <c r="AB34" s="129">
        <f>AB33/E33</f>
        <v>4.9139999999999997</v>
      </c>
      <c r="AC34" s="131">
        <f>AC33/E33</f>
        <v>6.484799999999999</v>
      </c>
      <c r="AD34" s="133">
        <f>AD33/E33</f>
        <v>6.484799999999999</v>
      </c>
    </row>
    <row r="35" spans="1:30" s="115" customFormat="1" ht="18" customHeight="1">
      <c r="A35" s="123"/>
      <c r="B35" s="828" t="s">
        <v>591</v>
      </c>
      <c r="C35" s="829"/>
      <c r="D35" s="830"/>
      <c r="E35" s="1277">
        <v>1000</v>
      </c>
      <c r="F35" s="1272">
        <f>E35*C36</f>
        <v>300</v>
      </c>
      <c r="G35" s="1272">
        <f>F35*36%</f>
        <v>108</v>
      </c>
      <c r="H35" s="1272">
        <v>0</v>
      </c>
      <c r="I35" s="1272">
        <f>F35*32%*11+F35*7%*5+F35*12%</f>
        <v>1197</v>
      </c>
      <c r="J35" s="1298">
        <f>F35*32%*11</f>
        <v>1056</v>
      </c>
      <c r="K35" s="1272" t="s">
        <v>122</v>
      </c>
      <c r="L35" s="1243" t="s">
        <v>122</v>
      </c>
      <c r="M35" s="140">
        <f>G35+H35</f>
        <v>108</v>
      </c>
      <c r="N35" s="135">
        <f>G35+H35+J35</f>
        <v>1164</v>
      </c>
      <c r="O35" s="141">
        <f>G35+H35+I35</f>
        <v>1305</v>
      </c>
      <c r="P35" s="137">
        <f>M35*$R$21</f>
        <v>100.44000000000001</v>
      </c>
      <c r="Q35" s="138">
        <f>N35*$R$21</f>
        <v>1082.52</v>
      </c>
      <c r="R35" s="139">
        <f>O35*$R$21</f>
        <v>1213.6500000000001</v>
      </c>
      <c r="S35" s="140">
        <f>M35*$U$21</f>
        <v>92.88</v>
      </c>
      <c r="T35" s="138">
        <f t="shared" ref="T35:U35" si="6">N35*$U$21</f>
        <v>1001.04</v>
      </c>
      <c r="U35" s="141">
        <f t="shared" si="6"/>
        <v>1122.3</v>
      </c>
      <c r="V35" s="140">
        <f>M35*$X$21</f>
        <v>89.64</v>
      </c>
      <c r="W35" s="138">
        <f>N35*$X$21</f>
        <v>966.12</v>
      </c>
      <c r="X35" s="141">
        <f>O35*$X$21</f>
        <v>1083.1499999999999</v>
      </c>
      <c r="Y35" s="140">
        <f>M35*$AA$21</f>
        <v>81</v>
      </c>
      <c r="Z35" s="138">
        <f>N35*$AA$21</f>
        <v>873</v>
      </c>
      <c r="AA35" s="141">
        <f>O35*$AA$21</f>
        <v>978.75</v>
      </c>
      <c r="AB35" s="137">
        <f>M35*$AD$21</f>
        <v>75.599999999999994</v>
      </c>
      <c r="AC35" s="139">
        <f>N35*$AD$21</f>
        <v>814.8</v>
      </c>
      <c r="AD35" s="141">
        <f>O35*$AD$21</f>
        <v>913.49999999999989</v>
      </c>
    </row>
    <row r="36" spans="1:30" s="115" customFormat="1" ht="18" customHeight="1">
      <c r="A36" s="123"/>
      <c r="B36" s="281" t="s">
        <v>592</v>
      </c>
      <c r="C36" s="339">
        <v>0.3</v>
      </c>
      <c r="D36" s="340" t="s">
        <v>122</v>
      </c>
      <c r="E36" s="1278"/>
      <c r="F36" s="1273"/>
      <c r="G36" s="1273"/>
      <c r="H36" s="1273"/>
      <c r="I36" s="1273"/>
      <c r="J36" s="1299"/>
      <c r="K36" s="1273"/>
      <c r="L36" s="1244"/>
      <c r="M36" s="90">
        <f>M35/E35</f>
        <v>0.108</v>
      </c>
      <c r="N36" s="27">
        <f>N35/E35</f>
        <v>1.1639999999999999</v>
      </c>
      <c r="O36" s="28">
        <f>O35/E35</f>
        <v>1.3049999999999999</v>
      </c>
      <c r="P36" s="129">
        <f>P35/E35</f>
        <v>0.10044000000000002</v>
      </c>
      <c r="Q36" s="130">
        <f>Q35/E35</f>
        <v>1.0825199999999999</v>
      </c>
      <c r="R36" s="131">
        <f>R35/E35</f>
        <v>1.2136500000000001</v>
      </c>
      <c r="S36" s="132">
        <f>S35/E35</f>
        <v>9.287999999999999E-2</v>
      </c>
      <c r="T36" s="130">
        <f>T35/E35</f>
        <v>1.0010399999999999</v>
      </c>
      <c r="U36" s="133">
        <f>U35/E35</f>
        <v>1.1222999999999999</v>
      </c>
      <c r="V36" s="132">
        <f>V35/E35</f>
        <v>8.9639999999999997E-2</v>
      </c>
      <c r="W36" s="130">
        <f>W35/E35</f>
        <v>0.96611999999999998</v>
      </c>
      <c r="X36" s="133">
        <f>X35/E35</f>
        <v>1.0831499999999998</v>
      </c>
      <c r="Y36" s="132">
        <f>Y35/E35</f>
        <v>8.1000000000000003E-2</v>
      </c>
      <c r="Z36" s="130">
        <f>Z35/E35</f>
        <v>0.873</v>
      </c>
      <c r="AA36" s="133">
        <f>AA35/E35</f>
        <v>0.97875000000000001</v>
      </c>
      <c r="AB36" s="129">
        <f>AB35/E35</f>
        <v>7.5600000000000001E-2</v>
      </c>
      <c r="AC36" s="131">
        <f>AC35/E35</f>
        <v>0.81479999999999997</v>
      </c>
      <c r="AD36" s="133">
        <f>AD35/E35</f>
        <v>0.91349999999999987</v>
      </c>
    </row>
    <row r="37" spans="1:30" s="115" customFormat="1" ht="18" customHeight="1">
      <c r="A37" s="123"/>
      <c r="B37" s="828" t="s">
        <v>593</v>
      </c>
      <c r="C37" s="829"/>
      <c r="D37" s="830"/>
      <c r="E37" s="1277">
        <v>1000</v>
      </c>
      <c r="F37" s="1272">
        <f>E37*C38</f>
        <v>180</v>
      </c>
      <c r="G37" s="1272">
        <f>F37*$G$22</f>
        <v>490.5</v>
      </c>
      <c r="H37" s="1272">
        <v>0</v>
      </c>
      <c r="I37" s="1272">
        <f>F37*$I$22*11</f>
        <v>168.3</v>
      </c>
      <c r="J37" s="601"/>
      <c r="K37" s="1272">
        <f>F37*D38*11</f>
        <v>89.1</v>
      </c>
      <c r="L37" s="1243">
        <f>F37*D38*35</f>
        <v>283.5</v>
      </c>
      <c r="M37" s="134">
        <f>G37+H37</f>
        <v>490.5</v>
      </c>
      <c r="N37" s="135">
        <f>G37+H37+I37+K37</f>
        <v>747.9</v>
      </c>
      <c r="O37" s="136">
        <f>G37+H37+I37+L37</f>
        <v>942.3</v>
      </c>
      <c r="P37" s="142">
        <f>M37*$R$21</f>
        <v>456.16500000000002</v>
      </c>
      <c r="Q37" s="135">
        <f>N37*$R$21</f>
        <v>695.54700000000003</v>
      </c>
      <c r="R37" s="143">
        <f>O37*$R$21</f>
        <v>876.33900000000006</v>
      </c>
      <c r="S37" s="134">
        <f>M37*$U$21</f>
        <v>421.83</v>
      </c>
      <c r="T37" s="135">
        <f t="shared" ref="T37:U37" si="7">N37*$U$21</f>
        <v>643.19399999999996</v>
      </c>
      <c r="U37" s="136">
        <f t="shared" si="7"/>
        <v>810.37799999999993</v>
      </c>
      <c r="V37" s="134">
        <f>M37*$X$21</f>
        <v>407.11499999999995</v>
      </c>
      <c r="W37" s="135">
        <f>N37*$X$21</f>
        <v>620.75699999999995</v>
      </c>
      <c r="X37" s="136">
        <f>O37*$X$21</f>
        <v>782.10899999999992</v>
      </c>
      <c r="Y37" s="134">
        <f>M37*$AA$21</f>
        <v>367.875</v>
      </c>
      <c r="Z37" s="135">
        <f>N37*$AA$21</f>
        <v>560.92499999999995</v>
      </c>
      <c r="AA37" s="136">
        <f>O37*$AA$21</f>
        <v>706.72499999999991</v>
      </c>
      <c r="AB37" s="142">
        <f>M37*$AD$21</f>
        <v>343.34999999999997</v>
      </c>
      <c r="AC37" s="143">
        <f>N37*$AD$21</f>
        <v>523.53</v>
      </c>
      <c r="AD37" s="136">
        <f>O37*$AD$21</f>
        <v>659.6099999999999</v>
      </c>
    </row>
    <row r="38" spans="1:30" s="115" customFormat="1" ht="18" customHeight="1">
      <c r="A38" s="123"/>
      <c r="B38" s="341" t="s">
        <v>557</v>
      </c>
      <c r="C38" s="342">
        <v>0.18</v>
      </c>
      <c r="D38" s="340">
        <v>4.4999999999999998E-2</v>
      </c>
      <c r="E38" s="1278"/>
      <c r="F38" s="1273"/>
      <c r="G38" s="1273"/>
      <c r="H38" s="1273"/>
      <c r="I38" s="1273"/>
      <c r="J38" s="600"/>
      <c r="K38" s="1273"/>
      <c r="L38" s="1244"/>
      <c r="M38" s="90">
        <f>M37/E37</f>
        <v>0.49049999999999999</v>
      </c>
      <c r="N38" s="27">
        <f>N37/E37</f>
        <v>0.74790000000000001</v>
      </c>
      <c r="O38" s="28">
        <f>O37/E37</f>
        <v>0.94229999999999992</v>
      </c>
      <c r="P38" s="129">
        <f>P37/E37</f>
        <v>0.45616500000000004</v>
      </c>
      <c r="Q38" s="130">
        <f>Q37/E37</f>
        <v>0.69554700000000003</v>
      </c>
      <c r="R38" s="131">
        <f>R37/E37</f>
        <v>0.87633900000000009</v>
      </c>
      <c r="S38" s="132">
        <f>S37/E37</f>
        <v>0.42182999999999998</v>
      </c>
      <c r="T38" s="130">
        <f>T37/E37</f>
        <v>0.64319399999999993</v>
      </c>
      <c r="U38" s="133">
        <f>U37/E37</f>
        <v>0.81037799999999993</v>
      </c>
      <c r="V38" s="132">
        <f>V37/E37</f>
        <v>0.40711499999999995</v>
      </c>
      <c r="W38" s="130">
        <f>W37/E37</f>
        <v>0.620757</v>
      </c>
      <c r="X38" s="133">
        <f>X37/E37</f>
        <v>0.78210899999999994</v>
      </c>
      <c r="Y38" s="132">
        <f>Y37/E37</f>
        <v>0.36787500000000001</v>
      </c>
      <c r="Z38" s="130">
        <f>Z37/E37</f>
        <v>0.56092500000000001</v>
      </c>
      <c r="AA38" s="133">
        <f>AA37/E37</f>
        <v>0.70672499999999994</v>
      </c>
      <c r="AB38" s="129">
        <f>AB37/E37</f>
        <v>0.34334999999999999</v>
      </c>
      <c r="AC38" s="131">
        <f>AC37/E37</f>
        <v>0.52352999999999994</v>
      </c>
      <c r="AD38" s="133">
        <f>AD37/E37</f>
        <v>0.65960999999999992</v>
      </c>
    </row>
    <row r="39" spans="1:30" s="115" customFormat="1" ht="18" customHeight="1">
      <c r="A39" s="123"/>
      <c r="B39" s="828" t="s">
        <v>593</v>
      </c>
      <c r="C39" s="829"/>
      <c r="D39" s="830"/>
      <c r="E39" s="1277">
        <v>1000</v>
      </c>
      <c r="F39" s="1272">
        <f>E39*C40</f>
        <v>330</v>
      </c>
      <c r="G39" s="1272">
        <f>F39*$G$22</f>
        <v>899.25</v>
      </c>
      <c r="H39" s="1272">
        <v>0</v>
      </c>
      <c r="I39" s="1272">
        <f>F39*$I$22*11</f>
        <v>308.55</v>
      </c>
      <c r="J39" s="601"/>
      <c r="K39" s="1272">
        <f>F39*D40*11</f>
        <v>127.05000000000001</v>
      </c>
      <c r="L39" s="1243">
        <f>F39*D40*47</f>
        <v>542.85</v>
      </c>
      <c r="M39" s="134">
        <f>G39+H39</f>
        <v>899.25</v>
      </c>
      <c r="N39" s="135">
        <f>G39+H39+I39+K39</f>
        <v>1334.85</v>
      </c>
      <c r="O39" s="136">
        <f>G39+H39+I39+L39</f>
        <v>1750.65</v>
      </c>
      <c r="P39" s="142">
        <f>M39*$R$21</f>
        <v>836.30250000000001</v>
      </c>
      <c r="Q39" s="135">
        <f>N39*$R$21</f>
        <v>1241.4105</v>
      </c>
      <c r="R39" s="143">
        <f>O39*$R$21</f>
        <v>1628.1045000000001</v>
      </c>
      <c r="S39" s="134">
        <f>M39*$U$21</f>
        <v>773.35500000000002</v>
      </c>
      <c r="T39" s="135">
        <f t="shared" ref="T39:U39" si="8">N39*$U$21</f>
        <v>1147.971</v>
      </c>
      <c r="U39" s="136">
        <f t="shared" si="8"/>
        <v>1505.559</v>
      </c>
      <c r="V39" s="134">
        <f>M39*$X$21</f>
        <v>746.37749999999994</v>
      </c>
      <c r="W39" s="135">
        <f>N39*$X$21</f>
        <v>1107.9254999999998</v>
      </c>
      <c r="X39" s="136">
        <f>O39*$X$21</f>
        <v>1453.0395000000001</v>
      </c>
      <c r="Y39" s="134">
        <f>M39*$AA$21</f>
        <v>674.4375</v>
      </c>
      <c r="Z39" s="135">
        <f>N39*$AA$21</f>
        <v>1001.1374999999999</v>
      </c>
      <c r="AA39" s="136">
        <f>O39*$AA$21</f>
        <v>1312.9875000000002</v>
      </c>
      <c r="AB39" s="142">
        <f>M39*$AD$21</f>
        <v>629.47499999999991</v>
      </c>
      <c r="AC39" s="143">
        <f>N39*$AD$21</f>
        <v>934.39499999999987</v>
      </c>
      <c r="AD39" s="136">
        <f>O39*$AD$21</f>
        <v>1225.4549999999999</v>
      </c>
    </row>
    <row r="40" spans="1:30" s="115" customFormat="1" ht="18" customHeight="1">
      <c r="A40" s="123"/>
      <c r="B40" s="341" t="s">
        <v>134</v>
      </c>
      <c r="C40" s="342">
        <v>0.33</v>
      </c>
      <c r="D40" s="340">
        <v>3.5000000000000003E-2</v>
      </c>
      <c r="E40" s="1278"/>
      <c r="F40" s="1273"/>
      <c r="G40" s="1273"/>
      <c r="H40" s="1273"/>
      <c r="I40" s="1273"/>
      <c r="J40" s="600"/>
      <c r="K40" s="1273"/>
      <c r="L40" s="1244"/>
      <c r="M40" s="90">
        <f>M39/E39</f>
        <v>0.89924999999999999</v>
      </c>
      <c r="N40" s="27">
        <f>N39/E39</f>
        <v>1.3348499999999999</v>
      </c>
      <c r="O40" s="28">
        <f>O39/E39</f>
        <v>1.75065</v>
      </c>
      <c r="P40" s="129">
        <f>P39/E39</f>
        <v>0.83630250000000006</v>
      </c>
      <c r="Q40" s="130">
        <f>Q39/E39</f>
        <v>1.2414105</v>
      </c>
      <c r="R40" s="131">
        <f>R39/E39</f>
        <v>1.6281045000000001</v>
      </c>
      <c r="S40" s="132">
        <f>S39/E39</f>
        <v>0.77335500000000001</v>
      </c>
      <c r="T40" s="130">
        <f>T39/E39</f>
        <v>1.1479710000000001</v>
      </c>
      <c r="U40" s="133">
        <f>U39/E39</f>
        <v>1.5055589999999999</v>
      </c>
      <c r="V40" s="132">
        <f>V39/E39</f>
        <v>0.74637749999999992</v>
      </c>
      <c r="W40" s="130">
        <f>W39/E39</f>
        <v>1.1079254999999999</v>
      </c>
      <c r="X40" s="133">
        <f>X39/E39</f>
        <v>1.4530395</v>
      </c>
      <c r="Y40" s="132">
        <f>Y39/E39</f>
        <v>0.67443750000000002</v>
      </c>
      <c r="Z40" s="130">
        <f>Z39/E39</f>
        <v>1.0011375</v>
      </c>
      <c r="AA40" s="133">
        <f>AA39/E39</f>
        <v>1.3129875000000002</v>
      </c>
      <c r="AB40" s="129">
        <f>AB39/E39</f>
        <v>0.6294749999999999</v>
      </c>
      <c r="AC40" s="131">
        <f>AC39/E39</f>
        <v>0.93439499999999986</v>
      </c>
      <c r="AD40" s="133">
        <f>AD39/E39</f>
        <v>1.225455</v>
      </c>
    </row>
    <row r="41" spans="1:30" s="115" customFormat="1" ht="18" customHeight="1">
      <c r="A41" s="123"/>
      <c r="B41" s="828" t="s">
        <v>594</v>
      </c>
      <c r="C41" s="829"/>
      <c r="D41" s="830"/>
      <c r="E41" s="1277">
        <v>1000</v>
      </c>
      <c r="F41" s="1272">
        <f>E41*C42</f>
        <v>400</v>
      </c>
      <c r="G41" s="1272">
        <f>F41*$G$22</f>
        <v>1090</v>
      </c>
      <c r="H41" s="1272">
        <v>0</v>
      </c>
      <c r="I41" s="1272">
        <f>F41*$I$22*11</f>
        <v>374</v>
      </c>
      <c r="J41" s="601"/>
      <c r="K41" s="1272">
        <f>F41*D42*11</f>
        <v>154.00000000000003</v>
      </c>
      <c r="L41" s="1243">
        <f>F41*D42*47</f>
        <v>658.00000000000011</v>
      </c>
      <c r="M41" s="134">
        <f>G41+H41</f>
        <v>1090</v>
      </c>
      <c r="N41" s="135">
        <f>G41+H41+I41+K41</f>
        <v>1618</v>
      </c>
      <c r="O41" s="136">
        <f>G41+H41+I41+L41</f>
        <v>2122</v>
      </c>
      <c r="P41" s="142">
        <f>M41*$R$21</f>
        <v>1013.7</v>
      </c>
      <c r="Q41" s="135">
        <f>N41*$R$21</f>
        <v>1504.74</v>
      </c>
      <c r="R41" s="143">
        <f>O41*$R$21</f>
        <v>1973.46</v>
      </c>
      <c r="S41" s="134">
        <f>M41*$U$21</f>
        <v>937.4</v>
      </c>
      <c r="T41" s="135">
        <f t="shared" ref="T41:U41" si="9">N41*$U$21</f>
        <v>1391.48</v>
      </c>
      <c r="U41" s="136">
        <f t="shared" si="9"/>
        <v>1824.92</v>
      </c>
      <c r="V41" s="134">
        <f>M41*$X$21</f>
        <v>904.69999999999993</v>
      </c>
      <c r="W41" s="135">
        <f>N41*$X$21</f>
        <v>1342.9399999999998</v>
      </c>
      <c r="X41" s="136">
        <f>O41*$X$21</f>
        <v>1761.26</v>
      </c>
      <c r="Y41" s="134">
        <f>M41*$AA$21</f>
        <v>817.5</v>
      </c>
      <c r="Z41" s="135">
        <f>N41*$AA$21</f>
        <v>1213.5</v>
      </c>
      <c r="AA41" s="136">
        <f>O41*$AA$21</f>
        <v>1591.5</v>
      </c>
      <c r="AB41" s="142">
        <f>M41*$AD$21</f>
        <v>763</v>
      </c>
      <c r="AC41" s="143">
        <f>N41*$AD$21</f>
        <v>1132.5999999999999</v>
      </c>
      <c r="AD41" s="136">
        <f>O41*$AD$21</f>
        <v>1485.3999999999999</v>
      </c>
    </row>
    <row r="42" spans="1:30" s="115" customFormat="1" ht="18" customHeight="1">
      <c r="A42" s="123"/>
      <c r="B42" s="281" t="s">
        <v>595</v>
      </c>
      <c r="C42" s="342">
        <v>0.4</v>
      </c>
      <c r="D42" s="340">
        <v>3.5000000000000003E-2</v>
      </c>
      <c r="E42" s="1278"/>
      <c r="F42" s="1273"/>
      <c r="G42" s="1273"/>
      <c r="H42" s="1273"/>
      <c r="I42" s="1273"/>
      <c r="J42" s="600"/>
      <c r="K42" s="1273"/>
      <c r="L42" s="1244"/>
      <c r="M42" s="90">
        <f>M41/E41</f>
        <v>1.0900000000000001</v>
      </c>
      <c r="N42" s="27">
        <f>N41/E41</f>
        <v>1.6180000000000001</v>
      </c>
      <c r="O42" s="28">
        <f>O41/E41</f>
        <v>2.1219999999999999</v>
      </c>
      <c r="P42" s="129">
        <f>P41/E41</f>
        <v>1.0137</v>
      </c>
      <c r="Q42" s="130">
        <f>Q41/E41</f>
        <v>1.50474</v>
      </c>
      <c r="R42" s="131">
        <f>R41/E41</f>
        <v>1.97346</v>
      </c>
      <c r="S42" s="132">
        <f>S41/E41</f>
        <v>0.93740000000000001</v>
      </c>
      <c r="T42" s="130">
        <f>T41/E41</f>
        <v>1.3914800000000001</v>
      </c>
      <c r="U42" s="133">
        <f>U41/E41</f>
        <v>1.8249200000000001</v>
      </c>
      <c r="V42" s="132">
        <f>V41/E41</f>
        <v>0.90469999999999995</v>
      </c>
      <c r="W42" s="130">
        <f>W41/E41</f>
        <v>1.3429399999999998</v>
      </c>
      <c r="X42" s="133">
        <f>X41/E41</f>
        <v>1.76126</v>
      </c>
      <c r="Y42" s="132">
        <f>Y41/E41</f>
        <v>0.8175</v>
      </c>
      <c r="Z42" s="130">
        <f>Z41/E41</f>
        <v>1.2135</v>
      </c>
      <c r="AA42" s="133">
        <f>AA41/E41</f>
        <v>1.5914999999999999</v>
      </c>
      <c r="AB42" s="129">
        <f>AB41/E41</f>
        <v>0.76300000000000001</v>
      </c>
      <c r="AC42" s="131">
        <f>AC41/E41</f>
        <v>1.1325999999999998</v>
      </c>
      <c r="AD42" s="133">
        <f>AD41/E41</f>
        <v>1.4853999999999998</v>
      </c>
    </row>
    <row r="43" spans="1:30" s="115" customFormat="1" ht="18" customHeight="1">
      <c r="A43" s="123"/>
      <c r="B43" s="828" t="s">
        <v>596</v>
      </c>
      <c r="C43" s="829"/>
      <c r="D43" s="830"/>
      <c r="E43" s="1277">
        <v>1000</v>
      </c>
      <c r="F43" s="1272">
        <f>E43*C44</f>
        <v>2200</v>
      </c>
      <c r="G43" s="1272">
        <f>F43*$G$22</f>
        <v>5995</v>
      </c>
      <c r="H43" s="1272">
        <f>F43*$H$22</f>
        <v>440</v>
      </c>
      <c r="I43" s="1272">
        <f>F43*$I$22*11</f>
        <v>2057</v>
      </c>
      <c r="J43" s="601"/>
      <c r="K43" s="1272" t="s">
        <v>122</v>
      </c>
      <c r="L43" s="1243" t="s">
        <v>122</v>
      </c>
      <c r="M43" s="134">
        <f>G43+H43</f>
        <v>6435</v>
      </c>
      <c r="N43" s="135">
        <f>G43+H43+I43</f>
        <v>8492</v>
      </c>
      <c r="O43" s="136">
        <f>G43+H43+I43</f>
        <v>8492</v>
      </c>
      <c r="P43" s="142">
        <f>M43*$R$21</f>
        <v>5984.55</v>
      </c>
      <c r="Q43" s="135">
        <f>N43*$R$21</f>
        <v>7897.56</v>
      </c>
      <c r="R43" s="143">
        <f>O43*$R$21</f>
        <v>7897.56</v>
      </c>
      <c r="S43" s="134">
        <f>M43*$U$21</f>
        <v>5534.1</v>
      </c>
      <c r="T43" s="135">
        <f t="shared" ref="T43:U43" si="10">N43*$U$21</f>
        <v>7303.12</v>
      </c>
      <c r="U43" s="136">
        <f t="shared" si="10"/>
        <v>7303.12</v>
      </c>
      <c r="V43" s="134">
        <f>M43*$X$21</f>
        <v>5341.05</v>
      </c>
      <c r="W43" s="135">
        <f>N43*$X$21</f>
        <v>7048.36</v>
      </c>
      <c r="X43" s="136">
        <f>O43*$X$21</f>
        <v>7048.36</v>
      </c>
      <c r="Y43" s="134">
        <f>M43*$AA$21</f>
        <v>4826.25</v>
      </c>
      <c r="Z43" s="135">
        <f>N43*$AA$21</f>
        <v>6369</v>
      </c>
      <c r="AA43" s="136">
        <f>O43*$AA$21</f>
        <v>6369</v>
      </c>
      <c r="AB43" s="142">
        <f>M43*$AD$21</f>
        <v>4504.5</v>
      </c>
      <c r="AC43" s="143">
        <f>N43*$AD$21</f>
        <v>5944.4</v>
      </c>
      <c r="AD43" s="136">
        <f>O43*$AD$21</f>
        <v>5944.4</v>
      </c>
    </row>
    <row r="44" spans="1:30" s="115" customFormat="1" ht="18" customHeight="1">
      <c r="A44" s="123"/>
      <c r="B44" s="281" t="s">
        <v>597</v>
      </c>
      <c r="C44" s="342">
        <v>2.2000000000000002</v>
      </c>
      <c r="D44" s="340" t="s">
        <v>122</v>
      </c>
      <c r="E44" s="1278"/>
      <c r="F44" s="1273"/>
      <c r="G44" s="1273"/>
      <c r="H44" s="1273"/>
      <c r="I44" s="1273"/>
      <c r="J44" s="600"/>
      <c r="K44" s="1273"/>
      <c r="L44" s="1244"/>
      <c r="M44" s="90">
        <f>M43/E43</f>
        <v>6.4349999999999996</v>
      </c>
      <c r="N44" s="27">
        <f>N43/E43</f>
        <v>8.4920000000000009</v>
      </c>
      <c r="O44" s="28">
        <f>O43/E43</f>
        <v>8.4920000000000009</v>
      </c>
      <c r="P44" s="129">
        <f>P43/E43</f>
        <v>5.9845500000000005</v>
      </c>
      <c r="Q44" s="130">
        <f>Q43/E43</f>
        <v>7.8975600000000004</v>
      </c>
      <c r="R44" s="131">
        <f>R43/E43</f>
        <v>7.8975600000000004</v>
      </c>
      <c r="S44" s="132">
        <f>S43/E43</f>
        <v>5.5341000000000005</v>
      </c>
      <c r="T44" s="130">
        <f>T43/E43</f>
        <v>7.3031199999999998</v>
      </c>
      <c r="U44" s="133">
        <f>U43/E43</f>
        <v>7.3031199999999998</v>
      </c>
      <c r="V44" s="132">
        <f>V43/E43</f>
        <v>5.3410500000000001</v>
      </c>
      <c r="W44" s="130">
        <f>W43/E43</f>
        <v>7.0483599999999997</v>
      </c>
      <c r="X44" s="133">
        <f>X43/E43</f>
        <v>7.0483599999999997</v>
      </c>
      <c r="Y44" s="132">
        <f>Y43/E43</f>
        <v>4.8262499999999999</v>
      </c>
      <c r="Z44" s="130">
        <f>Z43/E43</f>
        <v>6.3689999999999998</v>
      </c>
      <c r="AA44" s="133">
        <f>AA43/E43</f>
        <v>6.3689999999999998</v>
      </c>
      <c r="AB44" s="129">
        <f>AB43/E43</f>
        <v>4.5045000000000002</v>
      </c>
      <c r="AC44" s="131">
        <f>AC43/E43</f>
        <v>5.9443999999999999</v>
      </c>
      <c r="AD44" s="133">
        <f>AD43/E43</f>
        <v>5.9443999999999999</v>
      </c>
    </row>
    <row r="45" spans="1:30" s="115" customFormat="1" ht="18" customHeight="1">
      <c r="A45" s="123"/>
      <c r="B45" s="828" t="s">
        <v>598</v>
      </c>
      <c r="C45" s="829"/>
      <c r="D45" s="830"/>
      <c r="E45" s="1277">
        <v>1000</v>
      </c>
      <c r="F45" s="1272">
        <f>E45*C46</f>
        <v>1150</v>
      </c>
      <c r="G45" s="1272">
        <f>F45*$G$22</f>
        <v>3133.75</v>
      </c>
      <c r="H45" s="1272">
        <f>F45*$H$22</f>
        <v>230</v>
      </c>
      <c r="I45" s="1272">
        <f>F45*$I$22*11</f>
        <v>1075.25</v>
      </c>
      <c r="J45" s="601"/>
      <c r="K45" s="1272" t="s">
        <v>122</v>
      </c>
      <c r="L45" s="1243" t="s">
        <v>122</v>
      </c>
      <c r="M45" s="134">
        <f>G45+H45</f>
        <v>3363.75</v>
      </c>
      <c r="N45" s="135">
        <f>G45+H45+I45</f>
        <v>4439</v>
      </c>
      <c r="O45" s="136">
        <f>G45+H45+I45</f>
        <v>4439</v>
      </c>
      <c r="P45" s="142">
        <f>M45*$R$21</f>
        <v>3128.2875000000004</v>
      </c>
      <c r="Q45" s="135">
        <f>N45*$R$21</f>
        <v>4128.2700000000004</v>
      </c>
      <c r="R45" s="143">
        <f>O45*$R$21</f>
        <v>4128.2700000000004</v>
      </c>
      <c r="S45" s="134">
        <f>M45*$U$21</f>
        <v>2892.8249999999998</v>
      </c>
      <c r="T45" s="135">
        <f t="shared" ref="T45:U45" si="11">N45*$U$21</f>
        <v>3817.54</v>
      </c>
      <c r="U45" s="136">
        <f t="shared" si="11"/>
        <v>3817.54</v>
      </c>
      <c r="V45" s="134">
        <f>M45*$X$21</f>
        <v>2791.9124999999999</v>
      </c>
      <c r="W45" s="135">
        <f>N45*$X$21</f>
        <v>3684.37</v>
      </c>
      <c r="X45" s="136">
        <f>O45*$X$21</f>
        <v>3684.37</v>
      </c>
      <c r="Y45" s="134">
        <f>M45*$AA$21</f>
        <v>2522.8125</v>
      </c>
      <c r="Z45" s="135">
        <f>N45*$AA$21</f>
        <v>3329.25</v>
      </c>
      <c r="AA45" s="136">
        <f>O45*$AA$21</f>
        <v>3329.25</v>
      </c>
      <c r="AB45" s="142">
        <f>M45*$AD$21</f>
        <v>2354.625</v>
      </c>
      <c r="AC45" s="143">
        <f>N45*$AD$21</f>
        <v>3107.2999999999997</v>
      </c>
      <c r="AD45" s="136">
        <f>O45*$AD$21</f>
        <v>3107.2999999999997</v>
      </c>
    </row>
    <row r="46" spans="1:30" s="115" customFormat="1" ht="18" customHeight="1">
      <c r="A46" s="123"/>
      <c r="B46" s="281" t="s">
        <v>134</v>
      </c>
      <c r="C46" s="342">
        <v>1.1499999999999999</v>
      </c>
      <c r="D46" s="340" t="s">
        <v>122</v>
      </c>
      <c r="E46" s="1278"/>
      <c r="F46" s="1273"/>
      <c r="G46" s="1273"/>
      <c r="H46" s="1273"/>
      <c r="I46" s="1273"/>
      <c r="J46" s="600"/>
      <c r="K46" s="1273"/>
      <c r="L46" s="1244"/>
      <c r="M46" s="90">
        <f>M45/E45</f>
        <v>3.36375</v>
      </c>
      <c r="N46" s="27">
        <f>N45/E45</f>
        <v>4.4390000000000001</v>
      </c>
      <c r="O46" s="28">
        <f>O45/E45</f>
        <v>4.4390000000000001</v>
      </c>
      <c r="P46" s="129">
        <f>P45/E45</f>
        <v>3.1282875000000003</v>
      </c>
      <c r="Q46" s="130">
        <f>Q45/E45</f>
        <v>4.1282700000000006</v>
      </c>
      <c r="R46" s="131">
        <f>R45/E45</f>
        <v>4.1282700000000006</v>
      </c>
      <c r="S46" s="132">
        <f>S45/E45</f>
        <v>2.8928249999999998</v>
      </c>
      <c r="T46" s="130">
        <f>T45/E45</f>
        <v>3.8175400000000002</v>
      </c>
      <c r="U46" s="133">
        <f>U45/E45</f>
        <v>3.8175400000000002</v>
      </c>
      <c r="V46" s="132">
        <f>V45/E45</f>
        <v>2.7919125</v>
      </c>
      <c r="W46" s="130">
        <f>W45/E45</f>
        <v>3.6843699999999999</v>
      </c>
      <c r="X46" s="133">
        <f>X45/E45</f>
        <v>3.6843699999999999</v>
      </c>
      <c r="Y46" s="132">
        <f>Y45/E45</f>
        <v>2.5228125000000001</v>
      </c>
      <c r="Z46" s="130">
        <f>Z45/E45</f>
        <v>3.32925</v>
      </c>
      <c r="AA46" s="133">
        <f>AA45/E45</f>
        <v>3.32925</v>
      </c>
      <c r="AB46" s="129">
        <f>AB45/E45</f>
        <v>2.354625</v>
      </c>
      <c r="AC46" s="131">
        <f>AC45/E45</f>
        <v>3.1072999999999995</v>
      </c>
      <c r="AD46" s="133">
        <f>AD45/E45</f>
        <v>3.1072999999999995</v>
      </c>
    </row>
    <row r="47" spans="1:30" s="115" customFormat="1" ht="18.75" customHeight="1">
      <c r="A47" s="123"/>
      <c r="B47" s="828" t="s">
        <v>599</v>
      </c>
      <c r="C47" s="829"/>
      <c r="D47" s="830"/>
      <c r="E47" s="1277">
        <v>1000</v>
      </c>
      <c r="F47" s="1272" t="s">
        <v>122</v>
      </c>
      <c r="G47" s="1272" t="s">
        <v>122</v>
      </c>
      <c r="H47" s="1272" t="s">
        <v>122</v>
      </c>
      <c r="I47" s="1272" t="s">
        <v>122</v>
      </c>
      <c r="J47" s="601"/>
      <c r="K47" s="1272" t="s">
        <v>122</v>
      </c>
      <c r="L47" s="1243" t="s">
        <v>122</v>
      </c>
      <c r="M47" s="140">
        <f>E47*C48</f>
        <v>30</v>
      </c>
      <c r="N47" s="138">
        <f>E47*C48</f>
        <v>30</v>
      </c>
      <c r="O47" s="141">
        <f>E47*C48</f>
        <v>30</v>
      </c>
      <c r="P47" s="137">
        <f>M47*$R$21</f>
        <v>27.900000000000002</v>
      </c>
      <c r="Q47" s="138">
        <f>N47*$R$21</f>
        <v>27.900000000000002</v>
      </c>
      <c r="R47" s="139">
        <f>O47*$R$21</f>
        <v>27.900000000000002</v>
      </c>
      <c r="S47" s="134">
        <f>M47*$U$21</f>
        <v>25.8</v>
      </c>
      <c r="T47" s="138">
        <f t="shared" ref="T47:U47" si="12">N47*$U$21</f>
        <v>25.8</v>
      </c>
      <c r="U47" s="141">
        <f t="shared" si="12"/>
        <v>25.8</v>
      </c>
      <c r="V47" s="134">
        <f>M47*$X$21</f>
        <v>24.9</v>
      </c>
      <c r="W47" s="138">
        <f>N47*$X$21</f>
        <v>24.9</v>
      </c>
      <c r="X47" s="141">
        <f>O47*$X$21</f>
        <v>24.9</v>
      </c>
      <c r="Y47" s="134">
        <f>M47*$AA$21</f>
        <v>22.5</v>
      </c>
      <c r="Z47" s="138">
        <f>N47*$AA$21</f>
        <v>22.5</v>
      </c>
      <c r="AA47" s="141">
        <f>O47*$AA$21</f>
        <v>22.5</v>
      </c>
      <c r="AB47" s="142">
        <f>M47*$AD$21</f>
        <v>21</v>
      </c>
      <c r="AC47" s="139">
        <f>N47*$AD$21</f>
        <v>21</v>
      </c>
      <c r="AD47" s="141">
        <f>O47*$AD$21</f>
        <v>21</v>
      </c>
    </row>
    <row r="48" spans="1:30" s="115" customFormat="1" ht="18.75" customHeight="1" thickBot="1">
      <c r="A48" s="123"/>
      <c r="B48" s="343" t="s">
        <v>600</v>
      </c>
      <c r="C48" s="344">
        <v>0.03</v>
      </c>
      <c r="D48" s="345" t="s">
        <v>122</v>
      </c>
      <c r="E48" s="1300"/>
      <c r="F48" s="1301"/>
      <c r="G48" s="1301"/>
      <c r="H48" s="1301"/>
      <c r="I48" s="1301"/>
      <c r="J48" s="602"/>
      <c r="K48" s="1301"/>
      <c r="L48" s="1245"/>
      <c r="M48" s="97">
        <f>M47/E47</f>
        <v>0.03</v>
      </c>
      <c r="N48" s="144">
        <f>N47/E47</f>
        <v>0.03</v>
      </c>
      <c r="O48" s="99">
        <f>O47/E47</f>
        <v>0.03</v>
      </c>
      <c r="P48" s="145">
        <f>P47/E47</f>
        <v>2.7900000000000001E-2</v>
      </c>
      <c r="Q48" s="146">
        <f>Q47/E47</f>
        <v>2.7900000000000001E-2</v>
      </c>
      <c r="R48" s="346">
        <f>R47/E47</f>
        <v>2.7900000000000001E-2</v>
      </c>
      <c r="S48" s="148">
        <f>S47/E47</f>
        <v>2.58E-2</v>
      </c>
      <c r="T48" s="146">
        <f>T47/E47</f>
        <v>2.58E-2</v>
      </c>
      <c r="U48" s="99">
        <f>U47/E47</f>
        <v>2.58E-2</v>
      </c>
      <c r="V48" s="148">
        <f>V47/E47</f>
        <v>2.4899999999999999E-2</v>
      </c>
      <c r="W48" s="146">
        <f>W47/E47</f>
        <v>2.4899999999999999E-2</v>
      </c>
      <c r="X48" s="99">
        <f>X47/E47</f>
        <v>2.4899999999999999E-2</v>
      </c>
      <c r="Y48" s="148">
        <f>Y47/E47</f>
        <v>2.2499999999999999E-2</v>
      </c>
      <c r="Z48" s="146">
        <f>Z47/E47</f>
        <v>2.2499999999999999E-2</v>
      </c>
      <c r="AA48" s="99">
        <f>AA47/E47</f>
        <v>2.2499999999999999E-2</v>
      </c>
      <c r="AB48" s="145">
        <f>AB47/E47</f>
        <v>2.1000000000000001E-2</v>
      </c>
      <c r="AC48" s="147">
        <f>AC47/E47</f>
        <v>2.1000000000000001E-2</v>
      </c>
      <c r="AD48" s="99">
        <f>AD47/E47</f>
        <v>2.1000000000000001E-2</v>
      </c>
    </row>
    <row r="49" spans="1:16" s="115" customFormat="1" ht="18.75" customHeight="1">
      <c r="C49" s="114"/>
      <c r="D49" s="114"/>
      <c r="E49" s="114"/>
      <c r="F49" s="114"/>
      <c r="G49" s="114"/>
    </row>
    <row r="50" spans="1:16" s="115" customFormat="1" ht="18.75" customHeight="1">
      <c r="B50" s="116" t="s">
        <v>601</v>
      </c>
      <c r="C50" s="114"/>
      <c r="D50" s="114"/>
      <c r="E50" s="114"/>
      <c r="F50" s="114"/>
      <c r="G50" s="114"/>
    </row>
    <row r="51" spans="1:16" s="151" customFormat="1" ht="18.75" customHeight="1">
      <c r="B51" s="152" t="s">
        <v>602</v>
      </c>
      <c r="C51" s="121"/>
      <c r="D51" s="121"/>
      <c r="E51" s="121"/>
      <c r="F51" s="121"/>
      <c r="G51" s="121"/>
    </row>
    <row r="52" spans="1:16" s="153" customFormat="1" ht="18" customHeight="1">
      <c r="B52" s="153" t="s">
        <v>603</v>
      </c>
      <c r="C52" s="154"/>
      <c r="D52" s="154"/>
      <c r="E52" s="154"/>
      <c r="F52" s="154"/>
    </row>
    <row r="53" spans="1:16" s="73" customFormat="1" ht="18" customHeight="1">
      <c r="B53" s="73" t="s">
        <v>718</v>
      </c>
      <c r="C53" s="76"/>
      <c r="D53" s="76"/>
      <c r="E53" s="76"/>
      <c r="O53" s="483"/>
      <c r="P53" s="244"/>
    </row>
    <row r="54" spans="1:16" s="115" customFormat="1" ht="18" customHeight="1">
      <c r="B54" s="152" t="s">
        <v>604</v>
      </c>
      <c r="C54" s="114"/>
      <c r="D54" s="114"/>
      <c r="E54" s="114"/>
      <c r="F54" s="114"/>
      <c r="G54" s="114"/>
    </row>
    <row r="55" spans="1:16" s="21" customFormat="1" ht="18" customHeight="1">
      <c r="B55" s="388" t="s">
        <v>605</v>
      </c>
    </row>
    <row r="56" spans="1:16" customFormat="1" ht="16.5">
      <c r="A56" s="18"/>
      <c r="B56" s="389" t="s">
        <v>606</v>
      </c>
      <c r="C56" s="369"/>
      <c r="D56" s="368"/>
      <c r="E56" s="377"/>
      <c r="F56" s="370"/>
      <c r="G56" s="370"/>
      <c r="H56" s="370"/>
    </row>
  </sheetData>
  <mergeCells count="133">
    <mergeCell ref="K43:K44"/>
    <mergeCell ref="B41:D41"/>
    <mergeCell ref="E41:E42"/>
    <mergeCell ref="F41:F42"/>
    <mergeCell ref="G41:G42"/>
    <mergeCell ref="H41:H42"/>
    <mergeCell ref="B47:D47"/>
    <mergeCell ref="E47:E48"/>
    <mergeCell ref="F47:F48"/>
    <mergeCell ref="G47:G48"/>
    <mergeCell ref="H47:H48"/>
    <mergeCell ref="I47:I48"/>
    <mergeCell ref="K47:K48"/>
    <mergeCell ref="B45:D45"/>
    <mergeCell ref="E45:E46"/>
    <mergeCell ref="F45:F46"/>
    <mergeCell ref="G45:G46"/>
    <mergeCell ref="H45:H46"/>
    <mergeCell ref="I45:I46"/>
    <mergeCell ref="K45:K46"/>
    <mergeCell ref="I41:I42"/>
    <mergeCell ref="K41:K42"/>
    <mergeCell ref="G29:G30"/>
    <mergeCell ref="H29:H30"/>
    <mergeCell ref="I29:I30"/>
    <mergeCell ref="B43:D43"/>
    <mergeCell ref="E43:E44"/>
    <mergeCell ref="F43:F44"/>
    <mergeCell ref="G43:G44"/>
    <mergeCell ref="H43:H44"/>
    <mergeCell ref="I43:I44"/>
    <mergeCell ref="F35:F36"/>
    <mergeCell ref="G35:G36"/>
    <mergeCell ref="H35:H36"/>
    <mergeCell ref="I35:I36"/>
    <mergeCell ref="K39:K40"/>
    <mergeCell ref="B39:D39"/>
    <mergeCell ref="E39:E40"/>
    <mergeCell ref="F39:F40"/>
    <mergeCell ref="G39:G40"/>
    <mergeCell ref="H39:H40"/>
    <mergeCell ref="I39:I40"/>
    <mergeCell ref="J35:J36"/>
    <mergeCell ref="K35:K36"/>
    <mergeCell ref="B37:D37"/>
    <mergeCell ref="E37:E38"/>
    <mergeCell ref="F37:F38"/>
    <mergeCell ref="G37:G38"/>
    <mergeCell ref="H37:H38"/>
    <mergeCell ref="I37:I38"/>
    <mergeCell ref="K37:K38"/>
    <mergeCell ref="B35:D35"/>
    <mergeCell ref="E35:E36"/>
    <mergeCell ref="K31:K32"/>
    <mergeCell ref="B33:D33"/>
    <mergeCell ref="E33:E34"/>
    <mergeCell ref="F33:F34"/>
    <mergeCell ref="G33:G34"/>
    <mergeCell ref="H33:H34"/>
    <mergeCell ref="I33:I34"/>
    <mergeCell ref="K33:K34"/>
    <mergeCell ref="B31:D31"/>
    <mergeCell ref="E31:E32"/>
    <mergeCell ref="F31:F32"/>
    <mergeCell ref="G31:G32"/>
    <mergeCell ref="H31:H32"/>
    <mergeCell ref="I31:I32"/>
    <mergeCell ref="S13:X15"/>
    <mergeCell ref="K21:L21"/>
    <mergeCell ref="M21:O21"/>
    <mergeCell ref="P21:Q21"/>
    <mergeCell ref="S21:T21"/>
    <mergeCell ref="V21:W21"/>
    <mergeCell ref="B23:D23"/>
    <mergeCell ref="E23:E24"/>
    <mergeCell ref="F23:F24"/>
    <mergeCell ref="G23:G24"/>
    <mergeCell ref="H23:H24"/>
    <mergeCell ref="I23:I24"/>
    <mergeCell ref="K23:K24"/>
    <mergeCell ref="K29:K30"/>
    <mergeCell ref="B11:D12"/>
    <mergeCell ref="B13:D15"/>
    <mergeCell ref="K25:K26"/>
    <mergeCell ref="B27:D27"/>
    <mergeCell ref="E27:E28"/>
    <mergeCell ref="F27:F28"/>
    <mergeCell ref="G27:G28"/>
    <mergeCell ref="H27:H28"/>
    <mergeCell ref="I27:I28"/>
    <mergeCell ref="K27:K28"/>
    <mergeCell ref="B25:D25"/>
    <mergeCell ref="E25:E26"/>
    <mergeCell ref="F25:F26"/>
    <mergeCell ref="G25:G26"/>
    <mergeCell ref="H25:H26"/>
    <mergeCell ref="I25:I26"/>
    <mergeCell ref="B21:D21"/>
    <mergeCell ref="E21:E22"/>
    <mergeCell ref="F21:F22"/>
    <mergeCell ref="E13:N15"/>
    <mergeCell ref="B29:D29"/>
    <mergeCell ref="E29:E30"/>
    <mergeCell ref="F29:F30"/>
    <mergeCell ref="B1:AD1"/>
    <mergeCell ref="E7:N7"/>
    <mergeCell ref="O7:X7"/>
    <mergeCell ref="E8:N8"/>
    <mergeCell ref="O8:X9"/>
    <mergeCell ref="E9:N9"/>
    <mergeCell ref="E10:N10"/>
    <mergeCell ref="O10:X10"/>
    <mergeCell ref="E11:N11"/>
    <mergeCell ref="O11:X12"/>
    <mergeCell ref="E12:N12"/>
    <mergeCell ref="B10:D10"/>
    <mergeCell ref="B7:D7"/>
    <mergeCell ref="B8:D9"/>
    <mergeCell ref="L39:L40"/>
    <mergeCell ref="L41:L42"/>
    <mergeCell ref="L43:L44"/>
    <mergeCell ref="L45:L46"/>
    <mergeCell ref="L47:L48"/>
    <mergeCell ref="AB21:AC21"/>
    <mergeCell ref="L23:L24"/>
    <mergeCell ref="L25:L26"/>
    <mergeCell ref="L27:L28"/>
    <mergeCell ref="L29:L30"/>
    <mergeCell ref="L31:L32"/>
    <mergeCell ref="L33:L34"/>
    <mergeCell ref="L35:L36"/>
    <mergeCell ref="L37:L38"/>
    <mergeCell ref="Y21:Z21"/>
  </mergeCells>
  <phoneticPr fontId="4" type="noConversion"/>
  <printOptions horizontalCentered="1"/>
  <pageMargins left="0.15748031496062992" right="0.15748031496062992" top="0.23" bottom="0.19685039370078741" header="0.31496062992125984" footer="0.31496062992125984"/>
  <pageSetup paperSize="9" scale="53"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90"/>
  <sheetViews>
    <sheetView workbookViewId="0"/>
  </sheetViews>
  <sheetFormatPr defaultColWidth="8.875" defaultRowHeight="12"/>
  <cols>
    <col min="1" max="1" width="0.875" style="18" customWidth="1"/>
    <col min="2" max="2" width="5.625" style="18" customWidth="1"/>
    <col min="3" max="3" width="24" style="18" customWidth="1"/>
    <col min="4" max="5" width="7.5" style="18" bestFit="1" customWidth="1"/>
    <col min="6" max="7" width="8.625" style="18" customWidth="1"/>
    <col min="8" max="11" width="7.625" style="18" customWidth="1"/>
    <col min="12" max="29" width="8.125" style="18" customWidth="1"/>
    <col min="30" max="16384" width="8.875" style="18"/>
  </cols>
  <sheetData>
    <row r="1" spans="1:29" s="24" customFormat="1" ht="30" customHeight="1" thickBot="1">
      <c r="B1" s="1390" t="s">
        <v>734</v>
      </c>
      <c r="C1" s="1390"/>
      <c r="D1" s="1390"/>
      <c r="E1" s="1390"/>
      <c r="F1" s="1390"/>
      <c r="G1" s="1390"/>
      <c r="H1" s="1390"/>
      <c r="I1" s="1390"/>
      <c r="J1" s="1390"/>
      <c r="K1" s="1390"/>
      <c r="L1" s="1390"/>
      <c r="M1" s="1390"/>
      <c r="N1" s="1390"/>
      <c r="O1" s="1390"/>
      <c r="P1" s="1390"/>
      <c r="Q1" s="1390"/>
      <c r="R1" s="1390"/>
      <c r="S1" s="1390"/>
      <c r="T1" s="1390"/>
      <c r="U1" s="1390"/>
      <c r="V1" s="1390"/>
      <c r="W1" s="1390"/>
      <c r="X1" s="1390"/>
      <c r="Y1" s="1390"/>
      <c r="Z1" s="1390"/>
      <c r="AA1" s="1390"/>
      <c r="AB1" s="1390"/>
      <c r="AC1" s="1390"/>
    </row>
    <row r="2" spans="1:29" s="112" customFormat="1" ht="5.25" customHeight="1" thickTop="1">
      <c r="A2" s="77"/>
      <c r="B2" s="77"/>
      <c r="C2" s="77"/>
      <c r="D2" s="77"/>
      <c r="E2" s="77"/>
      <c r="F2" s="77"/>
      <c r="G2" s="77"/>
      <c r="H2" s="77"/>
      <c r="I2" s="77"/>
      <c r="J2" s="77"/>
      <c r="K2" s="77"/>
      <c r="L2" s="77"/>
      <c r="M2" s="77"/>
      <c r="N2" s="77"/>
      <c r="O2" s="77"/>
      <c r="P2" s="77"/>
      <c r="Q2" s="77"/>
      <c r="R2" s="77"/>
      <c r="S2" s="77"/>
      <c r="T2" s="77"/>
      <c r="U2" s="77"/>
      <c r="V2" s="77"/>
      <c r="W2" s="77"/>
      <c r="X2" s="77"/>
      <c r="Y2" s="77"/>
      <c r="AB2" s="113"/>
    </row>
    <row r="3" spans="1:29" s="113" customFormat="1" ht="18" customHeight="1">
      <c r="A3" s="78"/>
      <c r="B3" s="79" t="s">
        <v>735</v>
      </c>
      <c r="C3" s="78"/>
      <c r="D3" s="78"/>
      <c r="E3" s="78"/>
      <c r="F3" s="78"/>
      <c r="G3" s="78"/>
      <c r="H3" s="78"/>
      <c r="I3" s="78"/>
      <c r="J3" s="78"/>
      <c r="K3" s="78"/>
      <c r="L3" s="78"/>
      <c r="M3" s="78"/>
      <c r="N3" s="78"/>
      <c r="O3" s="78"/>
      <c r="P3" s="78"/>
      <c r="Q3" s="78"/>
      <c r="R3" s="78"/>
      <c r="S3" s="78"/>
      <c r="T3" s="78"/>
      <c r="U3" s="78"/>
      <c r="V3" s="78"/>
      <c r="W3" s="78"/>
      <c r="X3" s="78"/>
      <c r="Y3" s="78"/>
    </row>
    <row r="4" spans="1:29" s="113" customFormat="1" ht="18" customHeight="1">
      <c r="A4" s="78"/>
      <c r="B4" s="80" t="s">
        <v>736</v>
      </c>
      <c r="C4" s="78"/>
      <c r="D4" s="78"/>
      <c r="E4" s="78"/>
      <c r="F4" s="78"/>
      <c r="G4" s="78"/>
      <c r="H4" s="78"/>
      <c r="I4" s="78"/>
      <c r="J4" s="78"/>
      <c r="K4" s="78"/>
      <c r="L4" s="78"/>
      <c r="M4" s="78"/>
      <c r="N4" s="78"/>
      <c r="O4" s="78"/>
      <c r="P4" s="78"/>
      <c r="Q4" s="78"/>
      <c r="R4" s="78"/>
      <c r="S4" s="78"/>
      <c r="T4" s="78"/>
      <c r="U4" s="78"/>
      <c r="V4" s="78"/>
      <c r="W4" s="78"/>
      <c r="X4" s="78"/>
      <c r="Y4" s="78"/>
    </row>
    <row r="5" spans="1:29" s="357" customFormat="1" ht="18.95" customHeight="1">
      <c r="B5" s="25"/>
      <c r="C5" s="25"/>
      <c r="F5" s="358"/>
      <c r="G5" s="358"/>
      <c r="H5" s="358"/>
      <c r="I5" s="358"/>
      <c r="J5" s="358"/>
      <c r="K5" s="358"/>
    </row>
    <row r="6" spans="1:29" s="357" customFormat="1" ht="18.95" customHeight="1" thickBot="1">
      <c r="B6" s="359" t="s">
        <v>737</v>
      </c>
      <c r="C6" s="25"/>
      <c r="F6" s="358"/>
      <c r="G6" s="358"/>
      <c r="K6" s="358"/>
    </row>
    <row r="7" spans="1:29" s="357" customFormat="1" ht="18.95" customHeight="1">
      <c r="B7" s="701" t="s">
        <v>738</v>
      </c>
      <c r="C7" s="706"/>
      <c r="D7" s="701" t="s">
        <v>739</v>
      </c>
      <c r="E7" s="702"/>
      <c r="F7" s="702"/>
      <c r="G7" s="702"/>
      <c r="H7" s="702"/>
      <c r="I7" s="702"/>
      <c r="J7" s="706"/>
      <c r="K7" s="701" t="s">
        <v>740</v>
      </c>
      <c r="L7" s="702"/>
      <c r="M7" s="702"/>
      <c r="N7" s="702"/>
      <c r="O7" s="702"/>
      <c r="P7" s="706"/>
    </row>
    <row r="8" spans="1:29" s="357" customFormat="1" ht="18.95" customHeight="1" thickBot="1">
      <c r="B8" s="707" t="s">
        <v>741</v>
      </c>
      <c r="C8" s="1038"/>
      <c r="D8" s="1346" t="s">
        <v>742</v>
      </c>
      <c r="E8" s="1347"/>
      <c r="F8" s="1347"/>
      <c r="G8" s="1347"/>
      <c r="H8" s="1347"/>
      <c r="I8" s="1347"/>
      <c r="J8" s="1348"/>
      <c r="K8" s="725"/>
      <c r="L8" s="726"/>
      <c r="M8" s="726"/>
      <c r="N8" s="726"/>
      <c r="O8" s="726"/>
      <c r="P8" s="727"/>
    </row>
    <row r="9" spans="1:29" s="357" customFormat="1" ht="18.95" customHeight="1">
      <c r="B9" s="709"/>
      <c r="C9" s="1201"/>
      <c r="D9" s="351" t="s">
        <v>743</v>
      </c>
      <c r="E9" s="1344" t="s">
        <v>744</v>
      </c>
      <c r="F9" s="1345"/>
      <c r="G9" s="1344" t="s">
        <v>745</v>
      </c>
      <c r="H9" s="1345"/>
      <c r="I9" s="1344" t="s">
        <v>746</v>
      </c>
      <c r="J9" s="1385"/>
      <c r="K9" s="1338"/>
      <c r="L9" s="1339"/>
      <c r="M9" s="1339"/>
      <c r="N9" s="1339"/>
      <c r="O9" s="1339"/>
      <c r="P9" s="1340"/>
    </row>
    <row r="10" spans="1:29" s="357" customFormat="1" ht="18.95" customHeight="1" thickBot="1">
      <c r="B10" s="709"/>
      <c r="C10" s="1201"/>
      <c r="D10" s="352" t="s">
        <v>747</v>
      </c>
      <c r="E10" s="1386">
        <v>2.93</v>
      </c>
      <c r="F10" s="1387"/>
      <c r="G10" s="1388">
        <v>8.7999999999999995E-2</v>
      </c>
      <c r="H10" s="1389"/>
      <c r="I10" s="1386">
        <v>7.0000000000000007E-2</v>
      </c>
      <c r="J10" s="1394"/>
      <c r="K10" s="1341"/>
      <c r="L10" s="1342"/>
      <c r="M10" s="1342"/>
      <c r="N10" s="1342"/>
      <c r="O10" s="1342"/>
      <c r="P10" s="1343"/>
    </row>
    <row r="11" spans="1:29" s="357" customFormat="1" ht="18.95" customHeight="1" thickBot="1">
      <c r="B11" s="709"/>
      <c r="C11" s="1201"/>
      <c r="D11" s="1395" t="s">
        <v>748</v>
      </c>
      <c r="E11" s="1396"/>
      <c r="F11" s="1396"/>
      <c r="G11" s="1396"/>
      <c r="H11" s="1396"/>
      <c r="I11" s="1396"/>
      <c r="J11" s="1397"/>
      <c r="K11" s="1398" t="s">
        <v>749</v>
      </c>
      <c r="L11" s="1399"/>
      <c r="M11" s="1399"/>
      <c r="N11" s="1399"/>
      <c r="O11" s="1399"/>
      <c r="P11" s="1400"/>
    </row>
    <row r="12" spans="1:29" s="357" customFormat="1" ht="18.95" customHeight="1">
      <c r="B12" s="709"/>
      <c r="C12" s="1201"/>
      <c r="D12" s="351" t="s">
        <v>743</v>
      </c>
      <c r="E12" s="1344" t="s">
        <v>744</v>
      </c>
      <c r="F12" s="1345"/>
      <c r="G12" s="1344" t="s">
        <v>750</v>
      </c>
      <c r="H12" s="1385"/>
      <c r="I12" s="476"/>
      <c r="J12" s="477"/>
      <c r="K12" s="1401"/>
      <c r="L12" s="1402"/>
      <c r="M12" s="1402"/>
      <c r="N12" s="1402"/>
      <c r="O12" s="1402"/>
      <c r="P12" s="1403"/>
    </row>
    <row r="13" spans="1:29" s="357" customFormat="1" ht="18.95" customHeight="1" thickBot="1">
      <c r="B13" s="1039"/>
      <c r="C13" s="1040"/>
      <c r="D13" s="352" t="s">
        <v>747</v>
      </c>
      <c r="E13" s="1386">
        <v>2.15</v>
      </c>
      <c r="F13" s="1387"/>
      <c r="G13" s="1388">
        <v>0.312</v>
      </c>
      <c r="H13" s="1407"/>
      <c r="I13" s="478"/>
      <c r="J13" s="479"/>
      <c r="K13" s="1404"/>
      <c r="L13" s="1405"/>
      <c r="M13" s="1405"/>
      <c r="N13" s="1405"/>
      <c r="O13" s="1405"/>
      <c r="P13" s="1406"/>
    </row>
    <row r="14" spans="1:29" s="357" customFormat="1" ht="18.95" customHeight="1" thickBot="1">
      <c r="B14" s="1193" t="s">
        <v>751</v>
      </c>
      <c r="C14" s="1194"/>
      <c r="D14" s="1377" t="s">
        <v>752</v>
      </c>
      <c r="E14" s="1378"/>
      <c r="F14" s="1378"/>
      <c r="G14" s="1378"/>
      <c r="H14" s="1378"/>
      <c r="I14" s="1378"/>
      <c r="J14" s="1379"/>
      <c r="K14" s="1382" t="s">
        <v>753</v>
      </c>
      <c r="L14" s="1383"/>
      <c r="M14" s="1383"/>
      <c r="N14" s="1383"/>
      <c r="O14" s="1383"/>
      <c r="P14" s="1384"/>
    </row>
    <row r="15" spans="1:29" s="357" customFormat="1" ht="18.95" customHeight="1">
      <c r="B15" s="25"/>
      <c r="C15" s="25"/>
      <c r="F15" s="358"/>
      <c r="G15" s="358"/>
      <c r="K15" s="358"/>
    </row>
    <row r="16" spans="1:29" s="357" customFormat="1" ht="18.95" customHeight="1" thickBot="1">
      <c r="B16" s="210" t="s">
        <v>754</v>
      </c>
      <c r="C16" s="25"/>
      <c r="F16" s="358"/>
      <c r="G16" s="358"/>
      <c r="H16" s="358"/>
      <c r="I16" s="358"/>
      <c r="J16" s="358"/>
      <c r="K16" s="358"/>
    </row>
    <row r="17" spans="1:29" s="357" customFormat="1" ht="18.95" customHeight="1">
      <c r="B17" s="701" t="s">
        <v>738</v>
      </c>
      <c r="C17" s="706"/>
      <c r="D17" s="701" t="s">
        <v>739</v>
      </c>
      <c r="E17" s="702"/>
      <c r="F17" s="702"/>
      <c r="G17" s="702"/>
      <c r="H17" s="702"/>
      <c r="I17" s="702"/>
      <c r="J17" s="706"/>
      <c r="K17" s="701" t="s">
        <v>755</v>
      </c>
      <c r="L17" s="702"/>
      <c r="M17" s="702"/>
      <c r="N17" s="702"/>
      <c r="O17" s="702"/>
      <c r="P17" s="706"/>
    </row>
    <row r="18" spans="1:29" s="357" customFormat="1" ht="18.95" customHeight="1">
      <c r="B18" s="1349" t="s">
        <v>82</v>
      </c>
      <c r="C18" s="1350"/>
      <c r="D18" s="1353" t="s">
        <v>756</v>
      </c>
      <c r="E18" s="1354"/>
      <c r="F18" s="1354"/>
      <c r="G18" s="1354"/>
      <c r="H18" s="1354"/>
      <c r="I18" s="1354"/>
      <c r="J18" s="1355"/>
      <c r="K18" s="1357" t="s">
        <v>757</v>
      </c>
      <c r="L18" s="1358"/>
      <c r="M18" s="1358"/>
      <c r="N18" s="1358"/>
      <c r="O18" s="1358"/>
      <c r="P18" s="1359"/>
    </row>
    <row r="19" spans="1:29" s="357" customFormat="1" ht="18.95" customHeight="1" thickBot="1">
      <c r="B19" s="1351"/>
      <c r="C19" s="1352"/>
      <c r="D19" s="1356"/>
      <c r="E19" s="800"/>
      <c r="F19" s="800"/>
      <c r="G19" s="800"/>
      <c r="H19" s="800"/>
      <c r="I19" s="800"/>
      <c r="J19" s="801"/>
      <c r="K19" s="1360"/>
      <c r="L19" s="1361"/>
      <c r="M19" s="1361"/>
      <c r="N19" s="1361"/>
      <c r="O19" s="1361"/>
      <c r="P19" s="1362"/>
    </row>
    <row r="20" spans="1:29" s="357" customFormat="1" ht="18.95" customHeight="1">
      <c r="B20" s="211"/>
      <c r="C20" s="211"/>
      <c r="D20" s="653"/>
      <c r="F20" s="358"/>
      <c r="G20" s="358"/>
      <c r="H20" s="358"/>
      <c r="I20" s="358"/>
      <c r="J20" s="358"/>
      <c r="K20" s="358"/>
    </row>
    <row r="21" spans="1:29" s="357" customFormat="1" ht="18.95" customHeight="1">
      <c r="B21" s="359" t="s">
        <v>758</v>
      </c>
      <c r="C21" s="25"/>
      <c r="F21" s="358"/>
      <c r="G21" s="358"/>
      <c r="H21" s="358"/>
      <c r="I21" s="358"/>
      <c r="J21" s="358"/>
      <c r="K21" s="358"/>
    </row>
    <row r="22" spans="1:29" s="34" customFormat="1" ht="25.5" customHeight="1">
      <c r="B22" s="423" t="s">
        <v>759</v>
      </c>
      <c r="C22" s="423"/>
      <c r="D22" s="423"/>
      <c r="E22" s="423"/>
      <c r="F22" s="423"/>
      <c r="G22" s="423"/>
      <c r="H22" s="424"/>
      <c r="I22" s="424"/>
      <c r="J22" s="425"/>
      <c r="K22" s="425"/>
      <c r="L22" s="425"/>
      <c r="M22" s="424"/>
      <c r="N22" s="424"/>
      <c r="O22" s="424"/>
      <c r="P22" s="424"/>
      <c r="Q22" s="424"/>
      <c r="R22" s="424"/>
      <c r="S22" s="424"/>
      <c r="T22" s="424"/>
      <c r="U22" s="424"/>
      <c r="V22" s="424"/>
      <c r="W22" s="424"/>
      <c r="X22" s="424"/>
      <c r="Y22" s="424"/>
    </row>
    <row r="23" spans="1:29" s="34" customFormat="1" ht="24" customHeight="1">
      <c r="A23" s="29"/>
      <c r="B23" s="30" t="s">
        <v>760</v>
      </c>
      <c r="C23" s="31"/>
      <c r="D23" s="31"/>
      <c r="E23" s="31"/>
      <c r="F23" s="31"/>
      <c r="G23" s="31"/>
      <c r="H23" s="32"/>
      <c r="I23" s="32"/>
      <c r="J23" s="33"/>
      <c r="K23" s="33"/>
      <c r="L23" s="33"/>
      <c r="M23" s="32"/>
      <c r="N23" s="32"/>
      <c r="O23" s="32"/>
      <c r="P23" s="32"/>
      <c r="Q23" s="32"/>
      <c r="R23" s="32"/>
      <c r="S23" s="32"/>
      <c r="T23" s="32"/>
      <c r="U23" s="32"/>
      <c r="V23" s="32"/>
      <c r="W23" s="32"/>
      <c r="X23" s="32"/>
      <c r="Y23" s="32"/>
      <c r="Z23" s="29"/>
      <c r="AA23" s="29"/>
    </row>
    <row r="24" spans="1:29" s="34" customFormat="1" ht="6" customHeight="1" thickBot="1">
      <c r="A24" s="29"/>
      <c r="B24" s="30"/>
      <c r="C24" s="31"/>
      <c r="D24" s="31"/>
      <c r="E24" s="31"/>
      <c r="F24" s="31"/>
      <c r="G24" s="31"/>
      <c r="H24" s="32"/>
      <c r="I24" s="32"/>
      <c r="J24" s="33"/>
      <c r="K24" s="33"/>
      <c r="L24" s="33"/>
      <c r="M24" s="32"/>
      <c r="N24" s="32"/>
      <c r="O24" s="32"/>
      <c r="P24" s="32"/>
      <c r="Q24" s="32"/>
      <c r="R24" s="32"/>
      <c r="S24" s="32"/>
      <c r="T24" s="32"/>
      <c r="U24" s="32"/>
      <c r="V24" s="32"/>
      <c r="W24" s="32"/>
      <c r="X24" s="32"/>
      <c r="Y24" s="32"/>
      <c r="Z24" s="29"/>
      <c r="AA24" s="29"/>
    </row>
    <row r="25" spans="1:29" s="37" customFormat="1" ht="19.5" customHeight="1">
      <c r="B25" s="1392" t="s">
        <v>761</v>
      </c>
      <c r="C25" s="750"/>
      <c r="D25" s="750"/>
      <c r="E25" s="1393"/>
      <c r="F25" s="949" t="s">
        <v>762</v>
      </c>
      <c r="G25" s="1369" t="s">
        <v>83</v>
      </c>
      <c r="H25" s="1372" t="s">
        <v>741</v>
      </c>
      <c r="I25" s="1373"/>
      <c r="J25" s="1374"/>
      <c r="K25" s="651" t="s">
        <v>763</v>
      </c>
      <c r="L25" s="691" t="s">
        <v>764</v>
      </c>
      <c r="M25" s="754"/>
      <c r="N25" s="755"/>
      <c r="O25" s="1391" t="s">
        <v>765</v>
      </c>
      <c r="P25" s="690"/>
      <c r="Q25" s="652">
        <v>0.93</v>
      </c>
      <c r="R25" s="1391" t="s">
        <v>766</v>
      </c>
      <c r="S25" s="690"/>
      <c r="T25" s="539">
        <v>0.86</v>
      </c>
      <c r="U25" s="1391" t="s">
        <v>767</v>
      </c>
      <c r="V25" s="690"/>
      <c r="W25" s="539">
        <v>0.83</v>
      </c>
      <c r="X25" s="1391" t="s">
        <v>768</v>
      </c>
      <c r="Y25" s="690"/>
      <c r="Z25" s="652">
        <v>0.75</v>
      </c>
      <c r="AA25" s="691" t="s">
        <v>769</v>
      </c>
      <c r="AB25" s="692"/>
      <c r="AC25" s="539">
        <v>0.7</v>
      </c>
    </row>
    <row r="26" spans="1:29" s="37" customFormat="1" ht="16.5" customHeight="1">
      <c r="B26" s="1020" t="s">
        <v>770</v>
      </c>
      <c r="C26" s="1375" t="s">
        <v>771</v>
      </c>
      <c r="D26" s="1375" t="s">
        <v>43</v>
      </c>
      <c r="E26" s="1380" t="s">
        <v>772</v>
      </c>
      <c r="F26" s="950"/>
      <c r="G26" s="1370"/>
      <c r="H26" s="250" t="s">
        <v>773</v>
      </c>
      <c r="I26" s="250" t="s">
        <v>774</v>
      </c>
      <c r="J26" s="250" t="s">
        <v>775</v>
      </c>
      <c r="K26" s="250" t="s">
        <v>776</v>
      </c>
      <c r="L26" s="1367" t="s">
        <v>777</v>
      </c>
      <c r="M26" s="1363" t="s">
        <v>778</v>
      </c>
      <c r="N26" s="1365" t="s">
        <v>779</v>
      </c>
      <c r="O26" s="1367" t="s">
        <v>777</v>
      </c>
      <c r="P26" s="1363" t="s">
        <v>778</v>
      </c>
      <c r="Q26" s="1365" t="s">
        <v>779</v>
      </c>
      <c r="R26" s="1367" t="s">
        <v>777</v>
      </c>
      <c r="S26" s="1363" t="s">
        <v>778</v>
      </c>
      <c r="T26" s="1365" t="s">
        <v>779</v>
      </c>
      <c r="U26" s="1367" t="s">
        <v>777</v>
      </c>
      <c r="V26" s="1363" t="s">
        <v>778</v>
      </c>
      <c r="W26" s="1365" t="s">
        <v>779</v>
      </c>
      <c r="X26" s="1367" t="s">
        <v>777</v>
      </c>
      <c r="Y26" s="1363" t="s">
        <v>778</v>
      </c>
      <c r="Z26" s="1365" t="s">
        <v>779</v>
      </c>
      <c r="AA26" s="1367" t="s">
        <v>777</v>
      </c>
      <c r="AB26" s="1363" t="s">
        <v>778</v>
      </c>
      <c r="AC26" s="1365" t="s">
        <v>779</v>
      </c>
    </row>
    <row r="27" spans="1:29" s="37" customFormat="1" ht="16.5" customHeight="1" thickBot="1">
      <c r="B27" s="951"/>
      <c r="C27" s="1376"/>
      <c r="D27" s="1376"/>
      <c r="E27" s="1381"/>
      <c r="F27" s="951"/>
      <c r="G27" s="1371"/>
      <c r="H27" s="353">
        <v>2.93</v>
      </c>
      <c r="I27" s="354">
        <v>8.7999999999999995E-2</v>
      </c>
      <c r="J27" s="354">
        <v>7.0000000000000007E-2</v>
      </c>
      <c r="K27" s="354"/>
      <c r="L27" s="1368"/>
      <c r="M27" s="1364"/>
      <c r="N27" s="1366"/>
      <c r="O27" s="1368"/>
      <c r="P27" s="1364"/>
      <c r="Q27" s="1366"/>
      <c r="R27" s="1368"/>
      <c r="S27" s="1364"/>
      <c r="T27" s="1366"/>
      <c r="U27" s="1368"/>
      <c r="V27" s="1364"/>
      <c r="W27" s="1366"/>
      <c r="X27" s="1368"/>
      <c r="Y27" s="1364"/>
      <c r="Z27" s="1366"/>
      <c r="AA27" s="1368"/>
      <c r="AB27" s="1364"/>
      <c r="AC27" s="1366"/>
    </row>
    <row r="28" spans="1:29" s="212" customFormat="1" ht="18.95" customHeight="1">
      <c r="B28" s="996" t="s">
        <v>780</v>
      </c>
      <c r="C28" s="1319" t="s">
        <v>781</v>
      </c>
      <c r="D28" s="1320"/>
      <c r="E28" s="1321"/>
      <c r="F28" s="1302">
        <v>1000</v>
      </c>
      <c r="G28" s="1304">
        <f>F28*D29</f>
        <v>2400</v>
      </c>
      <c r="H28" s="1304">
        <f>G28*$H$27</f>
        <v>7032</v>
      </c>
      <c r="I28" s="1317">
        <f>G28*$I$27*11</f>
        <v>2323.1999999999998</v>
      </c>
      <c r="J28" s="1304">
        <f>G28*$J$27*2</f>
        <v>336.00000000000006</v>
      </c>
      <c r="K28" s="1310"/>
      <c r="L28" s="213">
        <f>H28</f>
        <v>7032</v>
      </c>
      <c r="M28" s="214">
        <f>H28+I28</f>
        <v>9355.2000000000007</v>
      </c>
      <c r="N28" s="215">
        <f>H28+I28+J28</f>
        <v>9691.2000000000007</v>
      </c>
      <c r="O28" s="213">
        <f>L28*$Q$25</f>
        <v>6539.76</v>
      </c>
      <c r="P28" s="214">
        <f>M28*$Q$25</f>
        <v>8700.3360000000011</v>
      </c>
      <c r="Q28" s="217">
        <f>N28*$Q$25</f>
        <v>9012.8160000000007</v>
      </c>
      <c r="R28" s="213">
        <f>L28*$T$25</f>
        <v>6047.5199999999995</v>
      </c>
      <c r="S28" s="214">
        <f t="shared" ref="S28:T28" si="0">M28*$T$25</f>
        <v>8045.4720000000007</v>
      </c>
      <c r="T28" s="217">
        <f t="shared" si="0"/>
        <v>8334.4320000000007</v>
      </c>
      <c r="U28" s="213">
        <f>L28*$W$25</f>
        <v>5836.5599999999995</v>
      </c>
      <c r="V28" s="214">
        <f>M28*$W$25</f>
        <v>7764.8159999999998</v>
      </c>
      <c r="W28" s="217">
        <f>N28*$W$25</f>
        <v>8043.6959999999999</v>
      </c>
      <c r="X28" s="213">
        <f>L28*$Z$25</f>
        <v>5274</v>
      </c>
      <c r="Y28" s="214">
        <f>M28*$Z$25</f>
        <v>7016.4000000000005</v>
      </c>
      <c r="Z28" s="217">
        <f>N28*$Z$25</f>
        <v>7268.4000000000005</v>
      </c>
      <c r="AA28" s="213">
        <f>L28*$AC$25</f>
        <v>4922.3999999999996</v>
      </c>
      <c r="AB28" s="214">
        <f>M28*$AC$25</f>
        <v>6548.64</v>
      </c>
      <c r="AC28" s="219">
        <f>N28*$AC$25</f>
        <v>6783.84</v>
      </c>
    </row>
    <row r="29" spans="1:29" s="212" customFormat="1" ht="18.95" customHeight="1">
      <c r="B29" s="997"/>
      <c r="C29" s="347" t="s">
        <v>782</v>
      </c>
      <c r="D29" s="300">
        <v>2.4</v>
      </c>
      <c r="E29" s="348"/>
      <c r="F29" s="1303"/>
      <c r="G29" s="1305"/>
      <c r="H29" s="1305"/>
      <c r="I29" s="1326"/>
      <c r="J29" s="1305"/>
      <c r="K29" s="1327"/>
      <c r="L29" s="220">
        <f t="shared" ref="L29:AC29" si="1">L28/$F28</f>
        <v>7.032</v>
      </c>
      <c r="M29" s="221">
        <f t="shared" si="1"/>
        <v>9.3552</v>
      </c>
      <c r="N29" s="222">
        <f t="shared" si="1"/>
        <v>9.6912000000000003</v>
      </c>
      <c r="O29" s="355">
        <f t="shared" si="1"/>
        <v>6.5397600000000002</v>
      </c>
      <c r="P29" s="221">
        <f t="shared" si="1"/>
        <v>8.7003360000000018</v>
      </c>
      <c r="Q29" s="223">
        <f t="shared" si="1"/>
        <v>9.0128160000000008</v>
      </c>
      <c r="R29" s="355">
        <f t="shared" si="1"/>
        <v>6.0475199999999996</v>
      </c>
      <c r="S29" s="221">
        <f t="shared" si="1"/>
        <v>8.0454720000000002</v>
      </c>
      <c r="T29" s="224">
        <f t="shared" si="1"/>
        <v>8.3344320000000014</v>
      </c>
      <c r="U29" s="355">
        <f t="shared" si="1"/>
        <v>5.8365599999999995</v>
      </c>
      <c r="V29" s="221">
        <f t="shared" si="1"/>
        <v>7.7648159999999997</v>
      </c>
      <c r="W29" s="224">
        <f t="shared" si="1"/>
        <v>8.0436960000000006</v>
      </c>
      <c r="X29" s="355">
        <f t="shared" si="1"/>
        <v>5.274</v>
      </c>
      <c r="Y29" s="221">
        <f t="shared" si="1"/>
        <v>7.0164000000000009</v>
      </c>
      <c r="Z29" s="223">
        <f t="shared" si="1"/>
        <v>7.2684000000000006</v>
      </c>
      <c r="AA29" s="220">
        <f t="shared" si="1"/>
        <v>4.9223999999999997</v>
      </c>
      <c r="AB29" s="221">
        <f t="shared" si="1"/>
        <v>6.5486400000000007</v>
      </c>
      <c r="AC29" s="224">
        <f t="shared" si="1"/>
        <v>6.7838400000000005</v>
      </c>
    </row>
    <row r="30" spans="1:29" s="212" customFormat="1" ht="18.95" customHeight="1">
      <c r="B30" s="997"/>
      <c r="C30" s="1334" t="s">
        <v>783</v>
      </c>
      <c r="D30" s="1335"/>
      <c r="E30" s="1336"/>
      <c r="F30" s="1337">
        <v>1000</v>
      </c>
      <c r="G30" s="1306">
        <f>F30*D31</f>
        <v>2600</v>
      </c>
      <c r="H30" s="1306">
        <f t="shared" ref="H30" si="2">G30*$H$27</f>
        <v>7618</v>
      </c>
      <c r="I30" s="1325">
        <f t="shared" ref="I30" si="3">G30*$I$27*11</f>
        <v>2516.7999999999997</v>
      </c>
      <c r="J30" s="1306">
        <f t="shared" ref="J30" si="4">G30*$J$27*2</f>
        <v>364.00000000000006</v>
      </c>
      <c r="K30" s="1308"/>
      <c r="L30" s="226">
        <f>H30</f>
        <v>7618</v>
      </c>
      <c r="M30" s="227">
        <f>H30+I30</f>
        <v>10134.799999999999</v>
      </c>
      <c r="N30" s="228">
        <f>H30+I30+J30</f>
        <v>10498.8</v>
      </c>
      <c r="O30" s="229">
        <f t="shared" ref="O30:Q30" si="5">L30*$Q$25</f>
        <v>7084.7400000000007</v>
      </c>
      <c r="P30" s="230">
        <f t="shared" si="5"/>
        <v>9425.3639999999996</v>
      </c>
      <c r="Q30" s="231">
        <f t="shared" si="5"/>
        <v>9763.884</v>
      </c>
      <c r="R30" s="232">
        <f>L30*$T$25</f>
        <v>6551.48</v>
      </c>
      <c r="S30" s="230">
        <f t="shared" ref="S30:T30" si="6">M30*$T$25</f>
        <v>8715.9279999999999</v>
      </c>
      <c r="T30" s="231">
        <f t="shared" si="6"/>
        <v>9028.9679999999989</v>
      </c>
      <c r="U30" s="232">
        <f>L30*$W$25</f>
        <v>6322.94</v>
      </c>
      <c r="V30" s="230">
        <f>M30*$W$25</f>
        <v>8411.8839999999982</v>
      </c>
      <c r="W30" s="231">
        <f>N30*$W$25</f>
        <v>8714.003999999999</v>
      </c>
      <c r="X30" s="232">
        <f>L30*$Z$25</f>
        <v>5713.5</v>
      </c>
      <c r="Y30" s="230">
        <f>M30*$Z$25</f>
        <v>7601.0999999999995</v>
      </c>
      <c r="Z30" s="231">
        <f>N30*$Z$25</f>
        <v>7874.0999999999995</v>
      </c>
      <c r="AA30" s="240">
        <f>L30*$AC$25</f>
        <v>5332.5999999999995</v>
      </c>
      <c r="AB30" s="230">
        <f>M30*$AC$25</f>
        <v>7094.3599999999988</v>
      </c>
      <c r="AC30" s="233">
        <f>N30*$AC$25</f>
        <v>7349.1599999999989</v>
      </c>
    </row>
    <row r="31" spans="1:29" s="212" customFormat="1" ht="18.95" customHeight="1">
      <c r="B31" s="997"/>
      <c r="C31" s="300" t="s">
        <v>784</v>
      </c>
      <c r="D31" s="300">
        <v>2.6</v>
      </c>
      <c r="E31" s="348"/>
      <c r="F31" s="1303"/>
      <c r="G31" s="1305"/>
      <c r="H31" s="1305"/>
      <c r="I31" s="1326"/>
      <c r="J31" s="1305"/>
      <c r="K31" s="1327"/>
      <c r="L31" s="220">
        <f t="shared" ref="L31:AC31" si="7">L30/$F30</f>
        <v>7.6180000000000003</v>
      </c>
      <c r="M31" s="221">
        <f t="shared" si="7"/>
        <v>10.134799999999998</v>
      </c>
      <c r="N31" s="222">
        <f t="shared" si="7"/>
        <v>10.498799999999999</v>
      </c>
      <c r="O31" s="234">
        <f t="shared" si="7"/>
        <v>7.0847400000000009</v>
      </c>
      <c r="P31" s="221">
        <f t="shared" si="7"/>
        <v>9.4253640000000001</v>
      </c>
      <c r="Q31" s="234">
        <f t="shared" si="7"/>
        <v>9.7638840000000009</v>
      </c>
      <c r="R31" s="225">
        <f t="shared" si="7"/>
        <v>6.5514799999999997</v>
      </c>
      <c r="S31" s="221">
        <f t="shared" si="7"/>
        <v>8.7159279999999999</v>
      </c>
      <c r="T31" s="235">
        <f t="shared" si="7"/>
        <v>9.028967999999999</v>
      </c>
      <c r="U31" s="225">
        <f t="shared" si="7"/>
        <v>6.32294</v>
      </c>
      <c r="V31" s="221">
        <f t="shared" si="7"/>
        <v>8.4118839999999988</v>
      </c>
      <c r="W31" s="235">
        <f t="shared" si="7"/>
        <v>8.7140039999999992</v>
      </c>
      <c r="X31" s="234">
        <f t="shared" si="7"/>
        <v>5.7134999999999998</v>
      </c>
      <c r="Y31" s="221">
        <f t="shared" si="7"/>
        <v>7.6010999999999997</v>
      </c>
      <c r="Z31" s="234">
        <f t="shared" si="7"/>
        <v>7.8740999999999994</v>
      </c>
      <c r="AA31" s="225">
        <f t="shared" si="7"/>
        <v>5.3325999999999993</v>
      </c>
      <c r="AB31" s="221">
        <f t="shared" si="7"/>
        <v>7.0943599999999991</v>
      </c>
      <c r="AC31" s="235">
        <f t="shared" si="7"/>
        <v>7.3491599999999986</v>
      </c>
    </row>
    <row r="32" spans="1:29" s="212" customFormat="1" ht="18.95" customHeight="1">
      <c r="B32" s="997"/>
      <c r="C32" s="1334" t="s">
        <v>785</v>
      </c>
      <c r="D32" s="1335"/>
      <c r="E32" s="1336"/>
      <c r="F32" s="1337">
        <v>1000</v>
      </c>
      <c r="G32" s="1306">
        <f>F32*D33</f>
        <v>2400</v>
      </c>
      <c r="H32" s="1306">
        <f t="shared" ref="H32" si="8">G32*$H$27</f>
        <v>7032</v>
      </c>
      <c r="I32" s="1325">
        <f t="shared" ref="I32" si="9">G32*$I$27*11</f>
        <v>2323.1999999999998</v>
      </c>
      <c r="J32" s="1306">
        <f t="shared" ref="J32" si="10">G32*$J$27*2</f>
        <v>336.00000000000006</v>
      </c>
      <c r="K32" s="1308"/>
      <c r="L32" s="226">
        <f>H32</f>
        <v>7032</v>
      </c>
      <c r="M32" s="227">
        <f>H32+I32</f>
        <v>9355.2000000000007</v>
      </c>
      <c r="N32" s="228">
        <f>H32+I32+J32</f>
        <v>9691.2000000000007</v>
      </c>
      <c r="O32" s="229">
        <f t="shared" ref="O32:Q32" si="11">L32*$Q$25</f>
        <v>6539.76</v>
      </c>
      <c r="P32" s="230">
        <f t="shared" si="11"/>
        <v>8700.3360000000011</v>
      </c>
      <c r="Q32" s="231">
        <f t="shared" si="11"/>
        <v>9012.8160000000007</v>
      </c>
      <c r="R32" s="232">
        <f t="shared" ref="R32:T32" si="12">L32*$T$25</f>
        <v>6047.5199999999995</v>
      </c>
      <c r="S32" s="230">
        <f t="shared" si="12"/>
        <v>8045.4720000000007</v>
      </c>
      <c r="T32" s="231">
        <f t="shared" si="12"/>
        <v>8334.4320000000007</v>
      </c>
      <c r="U32" s="232">
        <f>L32*$W$25</f>
        <v>5836.5599999999995</v>
      </c>
      <c r="V32" s="230">
        <f>M32*$W$25</f>
        <v>7764.8159999999998</v>
      </c>
      <c r="W32" s="231">
        <f>N32*$W$25</f>
        <v>8043.6959999999999</v>
      </c>
      <c r="X32" s="232">
        <f>L32*$Z$25</f>
        <v>5274</v>
      </c>
      <c r="Y32" s="230">
        <f>M32*$Z$25</f>
        <v>7016.4000000000005</v>
      </c>
      <c r="Z32" s="231">
        <f>N32*$Z$25</f>
        <v>7268.4000000000005</v>
      </c>
      <c r="AA32" s="240">
        <f>L32*$AC$25</f>
        <v>4922.3999999999996</v>
      </c>
      <c r="AB32" s="230">
        <f>M32*$AC$25</f>
        <v>6548.64</v>
      </c>
      <c r="AC32" s="233">
        <f>N32*$AC$25</f>
        <v>6783.84</v>
      </c>
    </row>
    <row r="33" spans="2:29" s="212" customFormat="1" ht="18.95" customHeight="1">
      <c r="B33" s="997"/>
      <c r="C33" s="347" t="s">
        <v>85</v>
      </c>
      <c r="D33" s="300">
        <v>2.4</v>
      </c>
      <c r="E33" s="348"/>
      <c r="F33" s="1303"/>
      <c r="G33" s="1305"/>
      <c r="H33" s="1305"/>
      <c r="I33" s="1326"/>
      <c r="J33" s="1305"/>
      <c r="K33" s="1327"/>
      <c r="L33" s="220">
        <f t="shared" ref="L33:AC33" si="13">L32/$F32</f>
        <v>7.032</v>
      </c>
      <c r="M33" s="221">
        <f t="shared" si="13"/>
        <v>9.3552</v>
      </c>
      <c r="N33" s="222">
        <f t="shared" si="13"/>
        <v>9.6912000000000003</v>
      </c>
      <c r="O33" s="234">
        <f t="shared" si="13"/>
        <v>6.5397600000000002</v>
      </c>
      <c r="P33" s="221">
        <f t="shared" si="13"/>
        <v>8.7003360000000018</v>
      </c>
      <c r="Q33" s="234">
        <f t="shared" si="13"/>
        <v>9.0128160000000008</v>
      </c>
      <c r="R33" s="225">
        <f t="shared" si="13"/>
        <v>6.0475199999999996</v>
      </c>
      <c r="S33" s="221">
        <f t="shared" si="13"/>
        <v>8.0454720000000002</v>
      </c>
      <c r="T33" s="235">
        <f t="shared" si="13"/>
        <v>8.3344320000000014</v>
      </c>
      <c r="U33" s="225">
        <f t="shared" si="13"/>
        <v>5.8365599999999995</v>
      </c>
      <c r="V33" s="221">
        <f t="shared" si="13"/>
        <v>7.7648159999999997</v>
      </c>
      <c r="W33" s="235">
        <f t="shared" si="13"/>
        <v>8.0436960000000006</v>
      </c>
      <c r="X33" s="234">
        <f t="shared" si="13"/>
        <v>5.274</v>
      </c>
      <c r="Y33" s="221">
        <f t="shared" si="13"/>
        <v>7.0164000000000009</v>
      </c>
      <c r="Z33" s="234">
        <f t="shared" si="13"/>
        <v>7.2684000000000006</v>
      </c>
      <c r="AA33" s="225">
        <f t="shared" si="13"/>
        <v>4.9223999999999997</v>
      </c>
      <c r="AB33" s="221">
        <f t="shared" si="13"/>
        <v>6.5486400000000007</v>
      </c>
      <c r="AC33" s="235">
        <f t="shared" si="13"/>
        <v>6.7838400000000005</v>
      </c>
    </row>
    <row r="34" spans="2:29" s="212" customFormat="1" ht="18.95" customHeight="1">
      <c r="B34" s="997"/>
      <c r="C34" s="1334" t="s">
        <v>786</v>
      </c>
      <c r="D34" s="1335"/>
      <c r="E34" s="1336"/>
      <c r="F34" s="1337">
        <v>1000</v>
      </c>
      <c r="G34" s="1306">
        <f>F34*D35</f>
        <v>2350</v>
      </c>
      <c r="H34" s="1306">
        <f t="shared" ref="H34" si="14">G34*$H$27</f>
        <v>6885.5</v>
      </c>
      <c r="I34" s="1325">
        <f t="shared" ref="I34" si="15">G34*$I$27*11</f>
        <v>2274.7999999999997</v>
      </c>
      <c r="J34" s="1306">
        <f t="shared" ref="J34" si="16">G34*$J$27*2</f>
        <v>329.00000000000006</v>
      </c>
      <c r="K34" s="1308"/>
      <c r="L34" s="226">
        <f>H34</f>
        <v>6885.5</v>
      </c>
      <c r="M34" s="227">
        <f>H34+I34</f>
        <v>9160.2999999999993</v>
      </c>
      <c r="N34" s="228">
        <f>H34+I34+J34</f>
        <v>9489.2999999999993</v>
      </c>
      <c r="O34" s="229">
        <f t="shared" ref="O34:Q34" si="17">L34*$Q$25</f>
        <v>6403.5150000000003</v>
      </c>
      <c r="P34" s="230">
        <f t="shared" si="17"/>
        <v>8519.0789999999997</v>
      </c>
      <c r="Q34" s="231">
        <f t="shared" si="17"/>
        <v>8825.0489999999991</v>
      </c>
      <c r="R34" s="232">
        <f t="shared" ref="R34:T34" si="18">L34*$T$25</f>
        <v>5921.53</v>
      </c>
      <c r="S34" s="230">
        <f t="shared" si="18"/>
        <v>7877.8579999999993</v>
      </c>
      <c r="T34" s="231">
        <f t="shared" si="18"/>
        <v>8160.7979999999989</v>
      </c>
      <c r="U34" s="232">
        <f>L34*$W$25</f>
        <v>5714.9650000000001</v>
      </c>
      <c r="V34" s="230">
        <f>M34*$W$25</f>
        <v>7603.0489999999991</v>
      </c>
      <c r="W34" s="231">
        <f>N34*$W$25</f>
        <v>7876.1189999999988</v>
      </c>
      <c r="X34" s="232">
        <f>L34*$Z$25</f>
        <v>5164.125</v>
      </c>
      <c r="Y34" s="230">
        <f>M34*$Z$25</f>
        <v>6870.2249999999995</v>
      </c>
      <c r="Z34" s="231">
        <f>N34*$Z$25</f>
        <v>7116.9749999999995</v>
      </c>
      <c r="AA34" s="240">
        <f>L34*$AC$25</f>
        <v>4819.8499999999995</v>
      </c>
      <c r="AB34" s="230">
        <f>M34*$AC$25</f>
        <v>6412.2099999999991</v>
      </c>
      <c r="AC34" s="233">
        <f>N34*$AC$25</f>
        <v>6642.5099999999993</v>
      </c>
    </row>
    <row r="35" spans="2:29" s="212" customFormat="1" ht="18.95" customHeight="1">
      <c r="B35" s="997"/>
      <c r="C35" s="347" t="s">
        <v>787</v>
      </c>
      <c r="D35" s="300">
        <v>2.35</v>
      </c>
      <c r="E35" s="348"/>
      <c r="F35" s="1303"/>
      <c r="G35" s="1305"/>
      <c r="H35" s="1305"/>
      <c r="I35" s="1326"/>
      <c r="J35" s="1305"/>
      <c r="K35" s="1327"/>
      <c r="L35" s="220">
        <f t="shared" ref="L35:AC35" si="19">L34/$F34</f>
        <v>6.8855000000000004</v>
      </c>
      <c r="M35" s="221">
        <f t="shared" si="19"/>
        <v>9.1602999999999994</v>
      </c>
      <c r="N35" s="222">
        <f t="shared" si="19"/>
        <v>9.4893000000000001</v>
      </c>
      <c r="O35" s="234">
        <f t="shared" si="19"/>
        <v>6.4035150000000005</v>
      </c>
      <c r="P35" s="221">
        <f t="shared" si="19"/>
        <v>8.5190789999999996</v>
      </c>
      <c r="Q35" s="234">
        <f t="shared" si="19"/>
        <v>8.8250489999999999</v>
      </c>
      <c r="R35" s="225">
        <f t="shared" si="19"/>
        <v>5.9215299999999997</v>
      </c>
      <c r="S35" s="221">
        <f t="shared" si="19"/>
        <v>7.8778579999999989</v>
      </c>
      <c r="T35" s="235">
        <f t="shared" si="19"/>
        <v>8.160797999999998</v>
      </c>
      <c r="U35" s="225">
        <f t="shared" si="19"/>
        <v>5.7149650000000003</v>
      </c>
      <c r="V35" s="221">
        <f t="shared" si="19"/>
        <v>7.6030489999999995</v>
      </c>
      <c r="W35" s="235">
        <f t="shared" si="19"/>
        <v>7.8761189999999992</v>
      </c>
      <c r="X35" s="234">
        <f t="shared" si="19"/>
        <v>5.1641250000000003</v>
      </c>
      <c r="Y35" s="221">
        <f t="shared" si="19"/>
        <v>6.8702249999999996</v>
      </c>
      <c r="Z35" s="234">
        <f t="shared" si="19"/>
        <v>7.1169749999999992</v>
      </c>
      <c r="AA35" s="225">
        <f t="shared" si="19"/>
        <v>4.8198499999999997</v>
      </c>
      <c r="AB35" s="221">
        <f t="shared" si="19"/>
        <v>6.4122099999999991</v>
      </c>
      <c r="AC35" s="235">
        <f t="shared" si="19"/>
        <v>6.6425099999999997</v>
      </c>
    </row>
    <row r="36" spans="2:29" s="212" customFormat="1" ht="18.95" customHeight="1">
      <c r="B36" s="997"/>
      <c r="C36" s="1334" t="s">
        <v>788</v>
      </c>
      <c r="D36" s="1335"/>
      <c r="E36" s="1336"/>
      <c r="F36" s="1337">
        <v>1000</v>
      </c>
      <c r="G36" s="1306">
        <f>F36*D37</f>
        <v>2100</v>
      </c>
      <c r="H36" s="1306">
        <f t="shared" ref="H36" si="20">G36*$H$27</f>
        <v>6153</v>
      </c>
      <c r="I36" s="1325">
        <f t="shared" ref="I36" si="21">G36*$I$27*11</f>
        <v>2032.7999999999997</v>
      </c>
      <c r="J36" s="1306">
        <f t="shared" ref="J36" si="22">G36*$J$27*2</f>
        <v>294</v>
      </c>
      <c r="K36" s="1308"/>
      <c r="L36" s="226">
        <f>H36</f>
        <v>6153</v>
      </c>
      <c r="M36" s="227">
        <f>H36+I36</f>
        <v>8185.7999999999993</v>
      </c>
      <c r="N36" s="228">
        <f>H36+I36+J36</f>
        <v>8479.7999999999993</v>
      </c>
      <c r="O36" s="229">
        <f t="shared" ref="O36:Q36" si="23">L36*$Q$25</f>
        <v>5722.29</v>
      </c>
      <c r="P36" s="230">
        <f t="shared" si="23"/>
        <v>7612.7939999999999</v>
      </c>
      <c r="Q36" s="231">
        <f t="shared" si="23"/>
        <v>7886.2139999999999</v>
      </c>
      <c r="R36" s="232">
        <f t="shared" ref="R36:T36" si="24">L36*$T$25</f>
        <v>5291.58</v>
      </c>
      <c r="S36" s="230">
        <f t="shared" si="24"/>
        <v>7039.7879999999996</v>
      </c>
      <c r="T36" s="231">
        <f t="shared" si="24"/>
        <v>7292.6279999999997</v>
      </c>
      <c r="U36" s="232">
        <f>L36*$W$25</f>
        <v>5106.99</v>
      </c>
      <c r="V36" s="230">
        <f>M36*$W$25</f>
        <v>6794.213999999999</v>
      </c>
      <c r="W36" s="231">
        <f>N36*$W$25</f>
        <v>7038.2339999999995</v>
      </c>
      <c r="X36" s="232">
        <f>L36*$Z$25</f>
        <v>4614.75</v>
      </c>
      <c r="Y36" s="230">
        <f>M36*$Z$25</f>
        <v>6139.3499999999995</v>
      </c>
      <c r="Z36" s="231">
        <f>N36*$Z$25</f>
        <v>6359.8499999999995</v>
      </c>
      <c r="AA36" s="240">
        <f>L36*$AC$25</f>
        <v>4307.0999999999995</v>
      </c>
      <c r="AB36" s="230">
        <f>M36*$AC$25</f>
        <v>5730.0599999999995</v>
      </c>
      <c r="AC36" s="233">
        <f>N36*$AC$25</f>
        <v>5935.8599999999988</v>
      </c>
    </row>
    <row r="37" spans="2:29" s="212" customFormat="1" ht="18.95" customHeight="1">
      <c r="B37" s="997"/>
      <c r="C37" s="347" t="s">
        <v>789</v>
      </c>
      <c r="D37" s="300">
        <v>2.1</v>
      </c>
      <c r="E37" s="348"/>
      <c r="F37" s="1303"/>
      <c r="G37" s="1305"/>
      <c r="H37" s="1305"/>
      <c r="I37" s="1326"/>
      <c r="J37" s="1305"/>
      <c r="K37" s="1327"/>
      <c r="L37" s="220">
        <f t="shared" ref="L37:AC37" si="25">L36/$F36</f>
        <v>6.1529999999999996</v>
      </c>
      <c r="M37" s="221">
        <f t="shared" si="25"/>
        <v>8.1857999999999986</v>
      </c>
      <c r="N37" s="222">
        <f t="shared" si="25"/>
        <v>8.4797999999999991</v>
      </c>
      <c r="O37" s="234">
        <f t="shared" si="25"/>
        <v>5.7222900000000001</v>
      </c>
      <c r="P37" s="221">
        <f t="shared" si="25"/>
        <v>7.6127940000000001</v>
      </c>
      <c r="Q37" s="234">
        <f t="shared" si="25"/>
        <v>7.8862139999999998</v>
      </c>
      <c r="R37" s="225">
        <f t="shared" si="25"/>
        <v>5.2915799999999997</v>
      </c>
      <c r="S37" s="221">
        <f t="shared" si="25"/>
        <v>7.0397879999999997</v>
      </c>
      <c r="T37" s="235">
        <f t="shared" si="25"/>
        <v>7.2926279999999997</v>
      </c>
      <c r="U37" s="225">
        <f t="shared" si="25"/>
        <v>5.1069899999999997</v>
      </c>
      <c r="V37" s="221">
        <f t="shared" si="25"/>
        <v>6.7942139999999993</v>
      </c>
      <c r="W37" s="235">
        <f t="shared" si="25"/>
        <v>7.0382339999999992</v>
      </c>
      <c r="X37" s="234">
        <f t="shared" si="25"/>
        <v>4.6147499999999999</v>
      </c>
      <c r="Y37" s="221">
        <f t="shared" si="25"/>
        <v>6.1393499999999994</v>
      </c>
      <c r="Z37" s="234">
        <f t="shared" si="25"/>
        <v>6.3598499999999998</v>
      </c>
      <c r="AA37" s="225">
        <f t="shared" si="25"/>
        <v>4.3070999999999993</v>
      </c>
      <c r="AB37" s="221">
        <f t="shared" si="25"/>
        <v>5.7300599999999999</v>
      </c>
      <c r="AC37" s="235">
        <f t="shared" si="25"/>
        <v>5.935859999999999</v>
      </c>
    </row>
    <row r="38" spans="2:29" s="212" customFormat="1" ht="18.95" customHeight="1">
      <c r="B38" s="997"/>
      <c r="C38" s="1334" t="s">
        <v>790</v>
      </c>
      <c r="D38" s="1335"/>
      <c r="E38" s="1336"/>
      <c r="F38" s="1337">
        <v>1000</v>
      </c>
      <c r="G38" s="1306">
        <f>F38*D39</f>
        <v>1566</v>
      </c>
      <c r="H38" s="1306">
        <f t="shared" ref="H38" si="26">G38*$H$27</f>
        <v>4588.38</v>
      </c>
      <c r="I38" s="1325">
        <f t="shared" ref="I38" si="27">G38*$I$27*11</f>
        <v>1515.8879999999999</v>
      </c>
      <c r="J38" s="1306">
        <f t="shared" ref="J38" si="28">G38*$J$27*2</f>
        <v>219.24</v>
      </c>
      <c r="K38" s="1308"/>
      <c r="L38" s="226">
        <f>H38</f>
        <v>4588.38</v>
      </c>
      <c r="M38" s="227">
        <f>H38+I38</f>
        <v>6104.268</v>
      </c>
      <c r="N38" s="228">
        <f>H38+I38+J38</f>
        <v>6323.5079999999998</v>
      </c>
      <c r="O38" s="480">
        <f t="shared" ref="O38:Q38" si="29">L38*$Q$25</f>
        <v>4267.1934000000001</v>
      </c>
      <c r="P38" s="227">
        <f t="shared" si="29"/>
        <v>5676.9692400000004</v>
      </c>
      <c r="Q38" s="382">
        <f t="shared" si="29"/>
        <v>5880.8624399999999</v>
      </c>
      <c r="R38" s="481">
        <f t="shared" ref="R38:T38" si="30">L38*$T$25</f>
        <v>3946.0068000000001</v>
      </c>
      <c r="S38" s="227">
        <f t="shared" si="30"/>
        <v>5249.6704799999998</v>
      </c>
      <c r="T38" s="382">
        <f t="shared" si="30"/>
        <v>5438.2168799999999</v>
      </c>
      <c r="U38" s="481">
        <f>L38*$W$25</f>
        <v>3808.3553999999999</v>
      </c>
      <c r="V38" s="227">
        <f>M38*$W$25</f>
        <v>5066.5424400000002</v>
      </c>
      <c r="W38" s="382">
        <f>N38*$W$25</f>
        <v>5248.5116399999997</v>
      </c>
      <c r="X38" s="481">
        <f>L38*$Z$25</f>
        <v>3441.2849999999999</v>
      </c>
      <c r="Y38" s="227">
        <f>M38*$Z$25</f>
        <v>4578.201</v>
      </c>
      <c r="Z38" s="382">
        <f>N38*$Z$25</f>
        <v>4742.6309999999994</v>
      </c>
      <c r="AA38" s="481">
        <f>L38*$AC$25</f>
        <v>3211.866</v>
      </c>
      <c r="AB38" s="227">
        <f>M38*$AC$25</f>
        <v>4272.9875999999995</v>
      </c>
      <c r="AC38" s="482">
        <f>N38*$AC$25</f>
        <v>4426.4555999999993</v>
      </c>
    </row>
    <row r="39" spans="2:29" s="212" customFormat="1" ht="18.95" customHeight="1">
      <c r="B39" s="997"/>
      <c r="C39" s="347" t="s">
        <v>791</v>
      </c>
      <c r="D39" s="347">
        <v>1.5660000000000001</v>
      </c>
      <c r="E39" s="348"/>
      <c r="F39" s="1303"/>
      <c r="G39" s="1305"/>
      <c r="H39" s="1305"/>
      <c r="I39" s="1326"/>
      <c r="J39" s="1305"/>
      <c r="K39" s="1327"/>
      <c r="L39" s="220">
        <f t="shared" ref="L39:AC39" si="31">L38/$F38</f>
        <v>4.5883799999999999</v>
      </c>
      <c r="M39" s="221">
        <f t="shared" si="31"/>
        <v>6.1042680000000002</v>
      </c>
      <c r="N39" s="222">
        <f t="shared" si="31"/>
        <v>6.3235079999999995</v>
      </c>
      <c r="O39" s="234">
        <f t="shared" si="31"/>
        <v>4.2671934</v>
      </c>
      <c r="P39" s="221">
        <f t="shared" si="31"/>
        <v>5.67696924</v>
      </c>
      <c r="Q39" s="234">
        <f t="shared" si="31"/>
        <v>5.8808624399999996</v>
      </c>
      <c r="R39" s="225">
        <f t="shared" si="31"/>
        <v>3.9460068000000001</v>
      </c>
      <c r="S39" s="221">
        <f t="shared" si="31"/>
        <v>5.2496704799999998</v>
      </c>
      <c r="T39" s="235">
        <f t="shared" si="31"/>
        <v>5.4382168799999997</v>
      </c>
      <c r="U39" s="225">
        <f t="shared" si="31"/>
        <v>3.8083553999999999</v>
      </c>
      <c r="V39" s="221">
        <f t="shared" si="31"/>
        <v>5.0665424400000001</v>
      </c>
      <c r="W39" s="235">
        <f t="shared" si="31"/>
        <v>5.2485116399999994</v>
      </c>
      <c r="X39" s="234">
        <f t="shared" si="31"/>
        <v>3.4412849999999997</v>
      </c>
      <c r="Y39" s="221">
        <f t="shared" si="31"/>
        <v>4.578201</v>
      </c>
      <c r="Z39" s="234">
        <f t="shared" si="31"/>
        <v>4.7426309999999994</v>
      </c>
      <c r="AA39" s="225">
        <f t="shared" si="31"/>
        <v>3.2118660000000001</v>
      </c>
      <c r="AB39" s="221">
        <f t="shared" si="31"/>
        <v>4.2729875999999996</v>
      </c>
      <c r="AC39" s="235">
        <f t="shared" si="31"/>
        <v>4.4264555999999997</v>
      </c>
    </row>
    <row r="40" spans="2:29" s="212" customFormat="1" ht="18.95" customHeight="1">
      <c r="B40" s="997"/>
      <c r="C40" s="1334" t="s">
        <v>792</v>
      </c>
      <c r="D40" s="1335"/>
      <c r="E40" s="1336"/>
      <c r="F40" s="1337">
        <v>1000</v>
      </c>
      <c r="G40" s="1306">
        <f>F40*D41</f>
        <v>750</v>
      </c>
      <c r="H40" s="1306">
        <f t="shared" ref="H40" si="32">G40*$H$27</f>
        <v>2197.5</v>
      </c>
      <c r="I40" s="1325">
        <f t="shared" ref="I40" si="33">G40*$I$27*11</f>
        <v>726</v>
      </c>
      <c r="J40" s="1306">
        <f t="shared" ref="J40" si="34">G40*$J$27*2</f>
        <v>105.00000000000001</v>
      </c>
      <c r="K40" s="1308"/>
      <c r="L40" s="226">
        <f>H40</f>
        <v>2197.5</v>
      </c>
      <c r="M40" s="227">
        <f>H40+I40</f>
        <v>2923.5</v>
      </c>
      <c r="N40" s="228">
        <f>H40+I40+J40</f>
        <v>3028.5</v>
      </c>
      <c r="O40" s="480">
        <f t="shared" ref="O40:Q40" si="35">L40*$Q$25</f>
        <v>2043.6750000000002</v>
      </c>
      <c r="P40" s="227">
        <f t="shared" si="35"/>
        <v>2718.855</v>
      </c>
      <c r="Q40" s="382">
        <f t="shared" si="35"/>
        <v>2816.5050000000001</v>
      </c>
      <c r="R40" s="481">
        <f t="shared" ref="R40:T40" si="36">L40*$T$25</f>
        <v>1889.85</v>
      </c>
      <c r="S40" s="227">
        <f t="shared" si="36"/>
        <v>2514.21</v>
      </c>
      <c r="T40" s="382">
        <f t="shared" si="36"/>
        <v>2604.5099999999998</v>
      </c>
      <c r="U40" s="481">
        <f>L40*$W$25</f>
        <v>1823.925</v>
      </c>
      <c r="V40" s="227">
        <f>M40*$W$25</f>
        <v>2426.5050000000001</v>
      </c>
      <c r="W40" s="382">
        <f>N40*$W$25</f>
        <v>2513.6549999999997</v>
      </c>
      <c r="X40" s="481">
        <f>L40*$Z$25</f>
        <v>1648.125</v>
      </c>
      <c r="Y40" s="227">
        <f>M40*$Z$25</f>
        <v>2192.625</v>
      </c>
      <c r="Z40" s="382">
        <f>N40*$Z$25</f>
        <v>2271.375</v>
      </c>
      <c r="AA40" s="481">
        <f>L40*$AC$25</f>
        <v>1538.25</v>
      </c>
      <c r="AB40" s="227">
        <f>M40*$AC$25</f>
        <v>2046.4499999999998</v>
      </c>
      <c r="AC40" s="482">
        <f>N40*$AC$25</f>
        <v>2119.9499999999998</v>
      </c>
    </row>
    <row r="41" spans="2:29" s="212" customFormat="1" ht="18.95" customHeight="1">
      <c r="B41" s="997"/>
      <c r="C41" s="347" t="s">
        <v>793</v>
      </c>
      <c r="D41" s="300">
        <v>0.75</v>
      </c>
      <c r="E41" s="348"/>
      <c r="F41" s="1303"/>
      <c r="G41" s="1305"/>
      <c r="H41" s="1305"/>
      <c r="I41" s="1326"/>
      <c r="J41" s="1305"/>
      <c r="K41" s="1327"/>
      <c r="L41" s="220">
        <f t="shared" ref="L41:AC41" si="37">L40/$F40</f>
        <v>2.1974999999999998</v>
      </c>
      <c r="M41" s="221">
        <f t="shared" si="37"/>
        <v>2.9235000000000002</v>
      </c>
      <c r="N41" s="222">
        <f t="shared" si="37"/>
        <v>3.0285000000000002</v>
      </c>
      <c r="O41" s="234">
        <f t="shared" si="37"/>
        <v>2.0436750000000004</v>
      </c>
      <c r="P41" s="221">
        <f t="shared" si="37"/>
        <v>2.718855</v>
      </c>
      <c r="Q41" s="234">
        <f t="shared" si="37"/>
        <v>2.8165050000000003</v>
      </c>
      <c r="R41" s="225">
        <f t="shared" si="37"/>
        <v>1.8898499999999998</v>
      </c>
      <c r="S41" s="221">
        <f t="shared" si="37"/>
        <v>2.5142099999999998</v>
      </c>
      <c r="T41" s="235">
        <f t="shared" si="37"/>
        <v>2.6045099999999999</v>
      </c>
      <c r="U41" s="225">
        <f t="shared" si="37"/>
        <v>1.823925</v>
      </c>
      <c r="V41" s="221">
        <f t="shared" si="37"/>
        <v>2.4265050000000001</v>
      </c>
      <c r="W41" s="235">
        <f t="shared" si="37"/>
        <v>2.5136549999999995</v>
      </c>
      <c r="X41" s="234">
        <f t="shared" si="37"/>
        <v>1.6481250000000001</v>
      </c>
      <c r="Y41" s="221">
        <f t="shared" si="37"/>
        <v>2.192625</v>
      </c>
      <c r="Z41" s="234">
        <f t="shared" si="37"/>
        <v>2.2713749999999999</v>
      </c>
      <c r="AA41" s="225">
        <f t="shared" si="37"/>
        <v>1.5382499999999999</v>
      </c>
      <c r="AB41" s="221">
        <f t="shared" si="37"/>
        <v>2.0464499999999997</v>
      </c>
      <c r="AC41" s="235">
        <f t="shared" si="37"/>
        <v>2.1199499999999998</v>
      </c>
    </row>
    <row r="42" spans="2:29" s="212" customFormat="1" ht="18.95" customHeight="1">
      <c r="B42" s="997"/>
      <c r="C42" s="1328" t="s">
        <v>794</v>
      </c>
      <c r="D42" s="1329"/>
      <c r="E42" s="1330"/>
      <c r="F42" s="1331">
        <v>1000</v>
      </c>
      <c r="G42" s="1332">
        <f>F42*D43</f>
        <v>2040</v>
      </c>
      <c r="H42" s="1332">
        <f t="shared" ref="H42" si="38">G42*$H$27</f>
        <v>5977.2000000000007</v>
      </c>
      <c r="I42" s="1333">
        <f t="shared" ref="I42" si="39">G42*$I$27*11</f>
        <v>1974.7199999999998</v>
      </c>
      <c r="J42" s="1332">
        <f t="shared" ref="J42" si="40">G42*$J$27*2</f>
        <v>285.60000000000002</v>
      </c>
      <c r="K42" s="1322"/>
      <c r="L42" s="240">
        <f>H42</f>
        <v>5977.2000000000007</v>
      </c>
      <c r="M42" s="230">
        <f>H42+I42</f>
        <v>7951.92</v>
      </c>
      <c r="N42" s="241">
        <f>H42+I42+J42</f>
        <v>8237.52</v>
      </c>
      <c r="O42" s="229">
        <f t="shared" ref="O42:Q42" si="41">L42*$Q$25</f>
        <v>5558.7960000000012</v>
      </c>
      <c r="P42" s="230">
        <f t="shared" si="41"/>
        <v>7395.2856000000002</v>
      </c>
      <c r="Q42" s="231">
        <f t="shared" si="41"/>
        <v>7660.8936000000012</v>
      </c>
      <c r="R42" s="232">
        <f t="shared" ref="R42:T42" si="42">L42*$T$25</f>
        <v>5140.3920000000007</v>
      </c>
      <c r="S42" s="230">
        <f t="shared" si="42"/>
        <v>6838.6512000000002</v>
      </c>
      <c r="T42" s="231">
        <f t="shared" si="42"/>
        <v>7084.2672000000002</v>
      </c>
      <c r="U42" s="232">
        <f>L42*$W$25</f>
        <v>4961.076</v>
      </c>
      <c r="V42" s="230">
        <f>M42*$W$25</f>
        <v>6600.0936000000002</v>
      </c>
      <c r="W42" s="231">
        <f>N42*$W$25</f>
        <v>6837.1415999999999</v>
      </c>
      <c r="X42" s="232">
        <f>L42*$Z$25</f>
        <v>4482.9000000000005</v>
      </c>
      <c r="Y42" s="230">
        <f>M42*$Z$25</f>
        <v>5963.9400000000005</v>
      </c>
      <c r="Z42" s="231">
        <f>N42*$Z$25</f>
        <v>6178.14</v>
      </c>
      <c r="AA42" s="232">
        <f>L42*$AC$25</f>
        <v>4184.04</v>
      </c>
      <c r="AB42" s="230">
        <f>M42*$AC$25</f>
        <v>5566.3440000000001</v>
      </c>
      <c r="AC42" s="233">
        <f>N42*$AC$25</f>
        <v>5766.2640000000001</v>
      </c>
    </row>
    <row r="43" spans="2:29" s="212" customFormat="1" ht="18.95" customHeight="1" thickBot="1">
      <c r="B43" s="998"/>
      <c r="C43" s="349" t="s">
        <v>795</v>
      </c>
      <c r="D43" s="349">
        <v>2.04</v>
      </c>
      <c r="E43" s="350"/>
      <c r="F43" s="1316"/>
      <c r="G43" s="1307"/>
      <c r="H43" s="1307"/>
      <c r="I43" s="1318"/>
      <c r="J43" s="1307"/>
      <c r="K43" s="1309"/>
      <c r="L43" s="220">
        <f t="shared" ref="L43:AC43" si="43">L42/$F42</f>
        <v>5.9772000000000007</v>
      </c>
      <c r="M43" s="221">
        <f t="shared" si="43"/>
        <v>7.9519200000000003</v>
      </c>
      <c r="N43" s="222">
        <f t="shared" si="43"/>
        <v>8.23752</v>
      </c>
      <c r="O43" s="236">
        <f t="shared" si="43"/>
        <v>5.558796000000001</v>
      </c>
      <c r="P43" s="237">
        <f t="shared" si="43"/>
        <v>7.3952856000000002</v>
      </c>
      <c r="Q43" s="236">
        <f t="shared" si="43"/>
        <v>7.6608936000000014</v>
      </c>
      <c r="R43" s="238">
        <f t="shared" si="43"/>
        <v>5.1403920000000003</v>
      </c>
      <c r="S43" s="237">
        <f t="shared" si="43"/>
        <v>6.8386512000000002</v>
      </c>
      <c r="T43" s="239">
        <f t="shared" si="43"/>
        <v>7.0842672000000002</v>
      </c>
      <c r="U43" s="238">
        <f t="shared" si="43"/>
        <v>4.9610760000000003</v>
      </c>
      <c r="V43" s="237">
        <f t="shared" si="43"/>
        <v>6.6000936000000001</v>
      </c>
      <c r="W43" s="239">
        <f t="shared" si="43"/>
        <v>6.8371415999999998</v>
      </c>
      <c r="X43" s="236">
        <f t="shared" si="43"/>
        <v>4.4829000000000008</v>
      </c>
      <c r="Y43" s="237">
        <f t="shared" si="43"/>
        <v>5.9639400000000009</v>
      </c>
      <c r="Z43" s="236">
        <f t="shared" si="43"/>
        <v>6.17814</v>
      </c>
      <c r="AA43" s="238">
        <f t="shared" si="43"/>
        <v>4.1840399999999995</v>
      </c>
      <c r="AB43" s="237">
        <f t="shared" si="43"/>
        <v>5.566344</v>
      </c>
      <c r="AC43" s="239">
        <f t="shared" si="43"/>
        <v>5.7662640000000005</v>
      </c>
    </row>
    <row r="44" spans="2:29" s="212" customFormat="1" ht="18.95" customHeight="1">
      <c r="B44" s="996" t="s">
        <v>796</v>
      </c>
      <c r="C44" s="1319" t="s">
        <v>797</v>
      </c>
      <c r="D44" s="1320"/>
      <c r="E44" s="1321"/>
      <c r="F44" s="1302">
        <v>1000</v>
      </c>
      <c r="G44" s="1304">
        <f>F44*D45</f>
        <v>1016.9999999999999</v>
      </c>
      <c r="H44" s="1304">
        <f t="shared" ref="H44" si="44">G44*$H$27</f>
        <v>2979.81</v>
      </c>
      <c r="I44" s="1317">
        <f t="shared" ref="I44" si="45">G44*$I$27*11</f>
        <v>984.45599999999979</v>
      </c>
      <c r="J44" s="1304">
        <f t="shared" ref="J44" si="46">G44*$J$27*2</f>
        <v>142.38</v>
      </c>
      <c r="K44" s="1310"/>
      <c r="L44" s="213">
        <f>H44</f>
        <v>2979.81</v>
      </c>
      <c r="M44" s="214">
        <f>H44+I44</f>
        <v>3964.2659999999996</v>
      </c>
      <c r="N44" s="215">
        <f>H44+I44+J44</f>
        <v>4106.6459999999997</v>
      </c>
      <c r="O44" s="216">
        <f t="shared" ref="O44:Q44" si="47">L44*$Q$25</f>
        <v>2771.2233000000001</v>
      </c>
      <c r="P44" s="214">
        <f t="shared" si="47"/>
        <v>3686.7673799999998</v>
      </c>
      <c r="Q44" s="217">
        <f t="shared" si="47"/>
        <v>3819.1807800000001</v>
      </c>
      <c r="R44" s="218">
        <f t="shared" ref="R44:T44" si="48">L44*$T$25</f>
        <v>2562.6365999999998</v>
      </c>
      <c r="S44" s="214">
        <f t="shared" si="48"/>
        <v>3409.2687599999995</v>
      </c>
      <c r="T44" s="217">
        <f t="shared" si="48"/>
        <v>3531.7155599999996</v>
      </c>
      <c r="U44" s="218">
        <f>L44*$W$25</f>
        <v>2473.2422999999999</v>
      </c>
      <c r="V44" s="214">
        <f>M44*$W$25</f>
        <v>3290.3407799999995</v>
      </c>
      <c r="W44" s="217">
        <f>N44*$W$25</f>
        <v>3408.5161799999996</v>
      </c>
      <c r="X44" s="218">
        <f>L44*$Z$25</f>
        <v>2234.8575000000001</v>
      </c>
      <c r="Y44" s="214">
        <f>M44*$Z$25</f>
        <v>2973.1994999999997</v>
      </c>
      <c r="Z44" s="217">
        <f>N44*$Z$25</f>
        <v>3079.9844999999996</v>
      </c>
      <c r="AA44" s="218">
        <f>L44*$AC$25</f>
        <v>2085.8669999999997</v>
      </c>
      <c r="AB44" s="214">
        <f>M44*$AC$25</f>
        <v>2774.9861999999994</v>
      </c>
      <c r="AC44" s="219">
        <f>N44*$AC$25</f>
        <v>2874.6521999999995</v>
      </c>
    </row>
    <row r="45" spans="2:29" s="212" customFormat="1" ht="18.95" customHeight="1">
      <c r="B45" s="997"/>
      <c r="C45" s="347" t="s">
        <v>798</v>
      </c>
      <c r="D45" s="347">
        <v>1.0169999999999999</v>
      </c>
      <c r="E45" s="348"/>
      <c r="F45" s="1303"/>
      <c r="G45" s="1305"/>
      <c r="H45" s="1305"/>
      <c r="I45" s="1326"/>
      <c r="J45" s="1305"/>
      <c r="K45" s="1327"/>
      <c r="L45" s="220">
        <f t="shared" ref="L45:AC45" si="49">L44/$F44</f>
        <v>2.9798100000000001</v>
      </c>
      <c r="M45" s="221">
        <f t="shared" si="49"/>
        <v>3.9642659999999994</v>
      </c>
      <c r="N45" s="222">
        <f t="shared" si="49"/>
        <v>4.1066459999999996</v>
      </c>
      <c r="O45" s="234">
        <f t="shared" si="49"/>
        <v>2.7712232999999999</v>
      </c>
      <c r="P45" s="221">
        <f t="shared" si="49"/>
        <v>3.6867673799999996</v>
      </c>
      <c r="Q45" s="234">
        <f t="shared" si="49"/>
        <v>3.8191807799999999</v>
      </c>
      <c r="R45" s="225">
        <f t="shared" si="49"/>
        <v>2.5626365999999998</v>
      </c>
      <c r="S45" s="221">
        <f t="shared" si="49"/>
        <v>3.4092687599999993</v>
      </c>
      <c r="T45" s="235">
        <f t="shared" si="49"/>
        <v>3.5317155599999994</v>
      </c>
      <c r="U45" s="225">
        <f t="shared" si="49"/>
        <v>2.4732422999999999</v>
      </c>
      <c r="V45" s="221">
        <f t="shared" si="49"/>
        <v>3.2903407799999997</v>
      </c>
      <c r="W45" s="235">
        <f t="shared" si="49"/>
        <v>3.4085161799999995</v>
      </c>
      <c r="X45" s="234">
        <f t="shared" si="49"/>
        <v>2.2348574999999999</v>
      </c>
      <c r="Y45" s="221">
        <f t="shared" si="49"/>
        <v>2.9731994999999998</v>
      </c>
      <c r="Z45" s="234">
        <f t="shared" si="49"/>
        <v>3.0799844999999997</v>
      </c>
      <c r="AA45" s="225">
        <f t="shared" si="49"/>
        <v>2.0858669999999999</v>
      </c>
      <c r="AB45" s="221">
        <f t="shared" si="49"/>
        <v>2.7749861999999994</v>
      </c>
      <c r="AC45" s="235">
        <f t="shared" si="49"/>
        <v>2.8746521999999994</v>
      </c>
    </row>
    <row r="46" spans="2:29" s="212" customFormat="1" ht="18.95" customHeight="1">
      <c r="B46" s="997"/>
      <c r="C46" s="1334" t="s">
        <v>799</v>
      </c>
      <c r="D46" s="1335"/>
      <c r="E46" s="1336"/>
      <c r="F46" s="1337">
        <v>1000</v>
      </c>
      <c r="G46" s="1306">
        <f>F46*D47</f>
        <v>2097</v>
      </c>
      <c r="H46" s="1306">
        <f t="shared" ref="H46" si="50">G46*$H$27</f>
        <v>6144.21</v>
      </c>
      <c r="I46" s="1325">
        <f t="shared" ref="I46" si="51">G46*$I$27*11</f>
        <v>2029.896</v>
      </c>
      <c r="J46" s="1306">
        <f t="shared" ref="J46" si="52">G46*$J$27*2</f>
        <v>293.58000000000004</v>
      </c>
      <c r="K46" s="1308"/>
      <c r="L46" s="240">
        <f>H46</f>
        <v>6144.21</v>
      </c>
      <c r="M46" s="230">
        <f>H46+I46</f>
        <v>8174.1059999999998</v>
      </c>
      <c r="N46" s="241">
        <f>H46+I46+J46</f>
        <v>8467.6859999999997</v>
      </c>
      <c r="O46" s="229">
        <f t="shared" ref="O46:Q46" si="53">L46*$Q$25</f>
        <v>5714.1153000000004</v>
      </c>
      <c r="P46" s="230">
        <f t="shared" si="53"/>
        <v>7601.9185800000005</v>
      </c>
      <c r="Q46" s="231">
        <f t="shared" si="53"/>
        <v>7874.9479799999999</v>
      </c>
      <c r="R46" s="232">
        <f t="shared" ref="R46:T46" si="54">L46*$T$25</f>
        <v>5284.0205999999998</v>
      </c>
      <c r="S46" s="230">
        <f t="shared" si="54"/>
        <v>7029.7311599999994</v>
      </c>
      <c r="T46" s="231">
        <f t="shared" si="54"/>
        <v>7282.2099599999992</v>
      </c>
      <c r="U46" s="232">
        <f>L46*$W$25</f>
        <v>5099.6943000000001</v>
      </c>
      <c r="V46" s="230">
        <f>M46*$W$25</f>
        <v>6784.5079799999994</v>
      </c>
      <c r="W46" s="231">
        <f>N46*$W$25</f>
        <v>7028.1793799999996</v>
      </c>
      <c r="X46" s="232">
        <f>L46*$Z$25</f>
        <v>4608.1575000000003</v>
      </c>
      <c r="Y46" s="230">
        <f>M46*$Z$25</f>
        <v>6130.5794999999998</v>
      </c>
      <c r="Z46" s="231">
        <f>N46*$Z$25</f>
        <v>6350.7644999999993</v>
      </c>
      <c r="AA46" s="232">
        <f>L46*$AC$25</f>
        <v>4300.9470000000001</v>
      </c>
      <c r="AB46" s="230">
        <f>M46*$AC$25</f>
        <v>5721.8741999999993</v>
      </c>
      <c r="AC46" s="233">
        <f>N46*$AC$25</f>
        <v>5927.3801999999996</v>
      </c>
    </row>
    <row r="47" spans="2:29" s="212" customFormat="1" ht="18.95" customHeight="1" thickBot="1">
      <c r="B47" s="998"/>
      <c r="C47" s="349" t="s">
        <v>800</v>
      </c>
      <c r="D47" s="349">
        <v>2.097</v>
      </c>
      <c r="E47" s="350"/>
      <c r="F47" s="1316"/>
      <c r="G47" s="1307"/>
      <c r="H47" s="1307"/>
      <c r="I47" s="1318"/>
      <c r="J47" s="1307"/>
      <c r="K47" s="1309"/>
      <c r="L47" s="220">
        <f t="shared" ref="L47:AC47" si="55">L46/$F46</f>
        <v>6.1442100000000002</v>
      </c>
      <c r="M47" s="221">
        <f t="shared" si="55"/>
        <v>8.1741060000000001</v>
      </c>
      <c r="N47" s="222">
        <f t="shared" si="55"/>
        <v>8.4676860000000005</v>
      </c>
      <c r="O47" s="236">
        <f t="shared" si="55"/>
        <v>5.7141153000000005</v>
      </c>
      <c r="P47" s="237">
        <f t="shared" si="55"/>
        <v>7.6019185800000004</v>
      </c>
      <c r="Q47" s="236">
        <f t="shared" si="55"/>
        <v>7.87494798</v>
      </c>
      <c r="R47" s="238">
        <f t="shared" si="55"/>
        <v>5.2840205999999998</v>
      </c>
      <c r="S47" s="237">
        <f t="shared" si="55"/>
        <v>7.029731159999999</v>
      </c>
      <c r="T47" s="239">
        <f t="shared" si="55"/>
        <v>7.2822099599999994</v>
      </c>
      <c r="U47" s="238">
        <f t="shared" si="55"/>
        <v>5.0996943000000003</v>
      </c>
      <c r="V47" s="237">
        <f t="shared" si="55"/>
        <v>6.784507979999999</v>
      </c>
      <c r="W47" s="239">
        <f t="shared" si="55"/>
        <v>7.0281793799999992</v>
      </c>
      <c r="X47" s="236">
        <f t="shared" si="55"/>
        <v>4.6081574999999999</v>
      </c>
      <c r="Y47" s="237">
        <f t="shared" si="55"/>
        <v>6.1305794999999996</v>
      </c>
      <c r="Z47" s="236">
        <f t="shared" si="55"/>
        <v>6.3507644999999995</v>
      </c>
      <c r="AA47" s="238">
        <f t="shared" si="55"/>
        <v>4.3009469999999999</v>
      </c>
      <c r="AB47" s="237">
        <f t="shared" si="55"/>
        <v>5.7218741999999994</v>
      </c>
      <c r="AC47" s="239">
        <f t="shared" si="55"/>
        <v>5.9273802</v>
      </c>
    </row>
    <row r="48" spans="2:29" s="212" customFormat="1" ht="18.95" customHeight="1">
      <c r="B48" s="949" t="s">
        <v>801</v>
      </c>
      <c r="C48" s="1319" t="s">
        <v>802</v>
      </c>
      <c r="D48" s="1320"/>
      <c r="E48" s="1321"/>
      <c r="F48" s="1302">
        <v>1000</v>
      </c>
      <c r="G48" s="1304">
        <f>F48*D49</f>
        <v>464</v>
      </c>
      <c r="H48" s="1304">
        <f t="shared" ref="H48" si="56">G48*$H$27</f>
        <v>1359.52</v>
      </c>
      <c r="I48" s="1317">
        <f t="shared" ref="I48" si="57">G48*$I$27*11</f>
        <v>449.15199999999999</v>
      </c>
      <c r="J48" s="1304">
        <f t="shared" ref="J48" si="58">G48*$J$27*2</f>
        <v>64.960000000000008</v>
      </c>
      <c r="K48" s="1323">
        <f>G48*E49*36</f>
        <v>818.49599999999998</v>
      </c>
      <c r="L48" s="213">
        <f>H48+(K48/36)</f>
        <v>1382.2560000000001</v>
      </c>
      <c r="M48" s="214">
        <f>H48+I48+(K48/3)</f>
        <v>2081.5039999999999</v>
      </c>
      <c r="N48" s="215">
        <f>H48+I48+J48+K48</f>
        <v>2692.1280000000002</v>
      </c>
      <c r="O48" s="216">
        <f>L48*$Q$25</f>
        <v>1285.4980800000001</v>
      </c>
      <c r="P48" s="214">
        <f>M48*$Q$25</f>
        <v>1935.79872</v>
      </c>
      <c r="Q48" s="217">
        <f>N48*$Q$25</f>
        <v>2503.6790400000004</v>
      </c>
      <c r="R48" s="218">
        <f t="shared" ref="R48:T48" si="59">L48*$T$25</f>
        <v>1188.7401600000001</v>
      </c>
      <c r="S48" s="214">
        <f t="shared" si="59"/>
        <v>1790.0934399999999</v>
      </c>
      <c r="T48" s="217">
        <f t="shared" si="59"/>
        <v>2315.2300800000003</v>
      </c>
      <c r="U48" s="218">
        <f>L48*$W$25</f>
        <v>1147.2724800000001</v>
      </c>
      <c r="V48" s="214">
        <f>M48*$W$25</f>
        <v>1727.6483199999998</v>
      </c>
      <c r="W48" s="217">
        <f>N48*$W$25</f>
        <v>2234.4662400000002</v>
      </c>
      <c r="X48" s="218">
        <f>L48*$Z$25</f>
        <v>1036.692</v>
      </c>
      <c r="Y48" s="214">
        <f>M48*$Z$25</f>
        <v>1561.1279999999999</v>
      </c>
      <c r="Z48" s="217">
        <f>N48*$Z$25</f>
        <v>2019.096</v>
      </c>
      <c r="AA48" s="218">
        <f>L48*$AC$25</f>
        <v>967.57920000000001</v>
      </c>
      <c r="AB48" s="214">
        <f>M48*$AC$25</f>
        <v>1457.0527999999999</v>
      </c>
      <c r="AC48" s="219">
        <f>N48*$AC$25</f>
        <v>1884.4895999999999</v>
      </c>
    </row>
    <row r="49" spans="1:29" s="212" customFormat="1" ht="18.95" customHeight="1">
      <c r="B49" s="950"/>
      <c r="C49" s="347" t="s">
        <v>803</v>
      </c>
      <c r="D49" s="347">
        <v>0.46400000000000002</v>
      </c>
      <c r="E49" s="348">
        <v>4.9000000000000002E-2</v>
      </c>
      <c r="F49" s="1303"/>
      <c r="G49" s="1305"/>
      <c r="H49" s="1305"/>
      <c r="I49" s="1326"/>
      <c r="J49" s="1305"/>
      <c r="K49" s="1324"/>
      <c r="L49" s="220">
        <f t="shared" ref="L49:AC49" si="60">L48/$F48</f>
        <v>1.3822560000000002</v>
      </c>
      <c r="M49" s="221">
        <f t="shared" si="60"/>
        <v>2.0815039999999998</v>
      </c>
      <c r="N49" s="222">
        <f t="shared" si="60"/>
        <v>2.6921280000000003</v>
      </c>
      <c r="O49" s="234">
        <f t="shared" si="60"/>
        <v>1.28549808</v>
      </c>
      <c r="P49" s="221">
        <f t="shared" si="60"/>
        <v>1.93579872</v>
      </c>
      <c r="Q49" s="234">
        <f t="shared" si="60"/>
        <v>2.5036790400000006</v>
      </c>
      <c r="R49" s="225">
        <f t="shared" si="60"/>
        <v>1.18874016</v>
      </c>
      <c r="S49" s="221">
        <f t="shared" si="60"/>
        <v>1.7900934399999999</v>
      </c>
      <c r="T49" s="235">
        <f t="shared" si="60"/>
        <v>2.3152300800000001</v>
      </c>
      <c r="U49" s="225">
        <f t="shared" si="60"/>
        <v>1.14727248</v>
      </c>
      <c r="V49" s="221">
        <f t="shared" si="60"/>
        <v>1.7276483199999997</v>
      </c>
      <c r="W49" s="235">
        <f t="shared" si="60"/>
        <v>2.2344662400000002</v>
      </c>
      <c r="X49" s="234">
        <f t="shared" si="60"/>
        <v>1.0366919999999999</v>
      </c>
      <c r="Y49" s="221">
        <f t="shared" si="60"/>
        <v>1.5611279999999998</v>
      </c>
      <c r="Z49" s="234">
        <f t="shared" si="60"/>
        <v>2.0190960000000002</v>
      </c>
      <c r="AA49" s="225">
        <f t="shared" si="60"/>
        <v>0.96757919999999997</v>
      </c>
      <c r="AB49" s="221">
        <f t="shared" si="60"/>
        <v>1.4570528</v>
      </c>
      <c r="AC49" s="235">
        <f t="shared" si="60"/>
        <v>1.8844896</v>
      </c>
    </row>
    <row r="50" spans="1:29" s="212" customFormat="1" ht="18.95" customHeight="1">
      <c r="B50" s="950"/>
      <c r="C50" s="1334" t="s">
        <v>804</v>
      </c>
      <c r="D50" s="1335"/>
      <c r="E50" s="1336"/>
      <c r="F50" s="1337">
        <v>1000</v>
      </c>
      <c r="G50" s="1306">
        <f>F50*D51</f>
        <v>150</v>
      </c>
      <c r="H50" s="1306">
        <f t="shared" ref="H50" si="61">G50*$H$27</f>
        <v>439.5</v>
      </c>
      <c r="I50" s="1325">
        <f t="shared" ref="I50" si="62">G50*$I$27*11</f>
        <v>145.19999999999999</v>
      </c>
      <c r="J50" s="1306">
        <f t="shared" ref="J50" si="63">G50*$J$27*2</f>
        <v>21.000000000000004</v>
      </c>
      <c r="K50" s="1408">
        <f>G50*E51*36</f>
        <v>264.60000000000002</v>
      </c>
      <c r="L50" s="240">
        <f>H50+(K50/36)</f>
        <v>446.85</v>
      </c>
      <c r="M50" s="230">
        <f>H50+I50+(K50/3)</f>
        <v>672.90000000000009</v>
      </c>
      <c r="N50" s="241">
        <f>H50+I50+J50+K50</f>
        <v>870.30000000000007</v>
      </c>
      <c r="O50" s="229">
        <f>L50*$Q$25</f>
        <v>415.57050000000004</v>
      </c>
      <c r="P50" s="230">
        <f>M50*$Q$25</f>
        <v>625.79700000000014</v>
      </c>
      <c r="Q50" s="231">
        <f>N50*$Q$25</f>
        <v>809.37900000000013</v>
      </c>
      <c r="R50" s="232">
        <f t="shared" ref="R50:T50" si="64">L50*$T$25</f>
        <v>384.291</v>
      </c>
      <c r="S50" s="230">
        <f t="shared" si="64"/>
        <v>578.69400000000007</v>
      </c>
      <c r="T50" s="231">
        <f t="shared" si="64"/>
        <v>748.45800000000008</v>
      </c>
      <c r="U50" s="232">
        <f>L50*$W$25</f>
        <v>370.88549999999998</v>
      </c>
      <c r="V50" s="230">
        <f>M50*$W$25</f>
        <v>558.50700000000006</v>
      </c>
      <c r="W50" s="231">
        <f>N50*$W$25</f>
        <v>722.34900000000005</v>
      </c>
      <c r="X50" s="232">
        <f>L50*$Z$25</f>
        <v>335.13750000000005</v>
      </c>
      <c r="Y50" s="230">
        <f>M50*$Z$25</f>
        <v>504.67500000000007</v>
      </c>
      <c r="Z50" s="231">
        <f>N50*$Z$25</f>
        <v>652.72500000000002</v>
      </c>
      <c r="AA50" s="232">
        <f>L50*$AC$25</f>
        <v>312.79500000000002</v>
      </c>
      <c r="AB50" s="230">
        <f>M50*$AC$25</f>
        <v>471.03000000000003</v>
      </c>
      <c r="AC50" s="233">
        <f>N50*$AC$25</f>
        <v>609.21</v>
      </c>
    </row>
    <row r="51" spans="1:29" s="212" customFormat="1" ht="18.95" customHeight="1" thickBot="1">
      <c r="A51" s="212">
        <v>3</v>
      </c>
      <c r="B51" s="951"/>
      <c r="C51" s="347" t="s">
        <v>805</v>
      </c>
      <c r="D51" s="347">
        <v>0.15</v>
      </c>
      <c r="E51" s="348">
        <v>4.9000000000000002E-2</v>
      </c>
      <c r="F51" s="1303"/>
      <c r="G51" s="1305"/>
      <c r="H51" s="1305"/>
      <c r="I51" s="1326"/>
      <c r="J51" s="1305"/>
      <c r="K51" s="1324"/>
      <c r="L51" s="220">
        <f t="shared" ref="L51:AC51" si="65">L50/$F50</f>
        <v>0.44685000000000002</v>
      </c>
      <c r="M51" s="221">
        <f t="shared" si="65"/>
        <v>0.67290000000000005</v>
      </c>
      <c r="N51" s="222">
        <f t="shared" si="65"/>
        <v>0.87030000000000007</v>
      </c>
      <c r="O51" s="234">
        <f t="shared" si="65"/>
        <v>0.41557050000000006</v>
      </c>
      <c r="P51" s="221">
        <f t="shared" si="65"/>
        <v>0.62579700000000016</v>
      </c>
      <c r="Q51" s="234">
        <f t="shared" si="65"/>
        <v>0.80937900000000018</v>
      </c>
      <c r="R51" s="225">
        <f t="shared" si="65"/>
        <v>0.38429099999999999</v>
      </c>
      <c r="S51" s="221">
        <f t="shared" si="65"/>
        <v>0.57869400000000004</v>
      </c>
      <c r="T51" s="235">
        <f t="shared" si="65"/>
        <v>0.74845800000000007</v>
      </c>
      <c r="U51" s="225">
        <f t="shared" si="65"/>
        <v>0.37088549999999998</v>
      </c>
      <c r="V51" s="221">
        <f t="shared" si="65"/>
        <v>0.55850700000000009</v>
      </c>
      <c r="W51" s="235">
        <f t="shared" si="65"/>
        <v>0.72234900000000002</v>
      </c>
      <c r="X51" s="234">
        <f t="shared" si="65"/>
        <v>0.33513750000000003</v>
      </c>
      <c r="Y51" s="221">
        <f t="shared" si="65"/>
        <v>0.5046750000000001</v>
      </c>
      <c r="Z51" s="234">
        <f t="shared" si="65"/>
        <v>0.652725</v>
      </c>
      <c r="AA51" s="225">
        <f t="shared" si="65"/>
        <v>0.31279499999999999</v>
      </c>
      <c r="AB51" s="221">
        <f t="shared" si="65"/>
        <v>0.47103</v>
      </c>
      <c r="AC51" s="235">
        <f t="shared" si="65"/>
        <v>0.60921000000000003</v>
      </c>
    </row>
    <row r="52" spans="1:29" s="212" customFormat="1" ht="18.95" customHeight="1">
      <c r="B52" s="949" t="s">
        <v>806</v>
      </c>
      <c r="C52" s="1319" t="s">
        <v>807</v>
      </c>
      <c r="D52" s="1320"/>
      <c r="E52" s="1321"/>
      <c r="F52" s="1302">
        <v>1000</v>
      </c>
      <c r="G52" s="1304">
        <f>F52*D53</f>
        <v>400</v>
      </c>
      <c r="H52" s="1304">
        <f>G52*215%</f>
        <v>860</v>
      </c>
      <c r="I52" s="1317">
        <f>G52*31.2%*6</f>
        <v>748.8</v>
      </c>
      <c r="J52" s="1304"/>
      <c r="K52" s="1310"/>
      <c r="L52" s="213">
        <f>H52</f>
        <v>860</v>
      </c>
      <c r="M52" s="214">
        <f>H52+I52</f>
        <v>1608.8</v>
      </c>
      <c r="N52" s="215">
        <f>M52</f>
        <v>1608.8</v>
      </c>
      <c r="O52" s="216">
        <f>L52*$Q$25</f>
        <v>799.80000000000007</v>
      </c>
      <c r="P52" s="214">
        <f>M52*$Q$25</f>
        <v>1496.184</v>
      </c>
      <c r="Q52" s="217">
        <f>N52*$Q$25</f>
        <v>1496.184</v>
      </c>
      <c r="R52" s="218">
        <f t="shared" ref="R52:T52" si="66">L52*$T$25</f>
        <v>739.6</v>
      </c>
      <c r="S52" s="214">
        <f t="shared" si="66"/>
        <v>1383.568</v>
      </c>
      <c r="T52" s="217">
        <f t="shared" si="66"/>
        <v>1383.568</v>
      </c>
      <c r="U52" s="218">
        <f>L52*$W$25</f>
        <v>713.8</v>
      </c>
      <c r="V52" s="214">
        <f>M52*$W$25</f>
        <v>1335.3039999999999</v>
      </c>
      <c r="W52" s="217">
        <f>N52*$W$25</f>
        <v>1335.3039999999999</v>
      </c>
      <c r="X52" s="218">
        <f>L52*$Z$25</f>
        <v>645</v>
      </c>
      <c r="Y52" s="214">
        <f>M52*$Z$25</f>
        <v>1206.5999999999999</v>
      </c>
      <c r="Z52" s="217">
        <f>N52*$Z$25</f>
        <v>1206.5999999999999</v>
      </c>
      <c r="AA52" s="213">
        <f>L52*$AC$25</f>
        <v>602</v>
      </c>
      <c r="AB52" s="214">
        <f>M52*$AC$25</f>
        <v>1126.1599999999999</v>
      </c>
      <c r="AC52" s="219">
        <f>N52*$AC$25</f>
        <v>1126.1599999999999</v>
      </c>
    </row>
    <row r="53" spans="1:29" s="212" customFormat="1" ht="18.95" customHeight="1" thickBot="1">
      <c r="B53" s="951"/>
      <c r="C53" s="378" t="s">
        <v>808</v>
      </c>
      <c r="D53" s="356">
        <v>0.4</v>
      </c>
      <c r="E53" s="379"/>
      <c r="F53" s="1316"/>
      <c r="G53" s="1307"/>
      <c r="H53" s="1307"/>
      <c r="I53" s="1318"/>
      <c r="J53" s="1307"/>
      <c r="K53" s="1309"/>
      <c r="L53" s="380">
        <f t="shared" ref="L53:AC53" si="67">L52/$F52</f>
        <v>0.86</v>
      </c>
      <c r="M53" s="237">
        <f t="shared" si="67"/>
        <v>1.6088</v>
      </c>
      <c r="N53" s="381">
        <f t="shared" si="67"/>
        <v>1.6088</v>
      </c>
      <c r="O53" s="236">
        <f t="shared" si="67"/>
        <v>0.79980000000000007</v>
      </c>
      <c r="P53" s="237">
        <f t="shared" si="67"/>
        <v>1.496184</v>
      </c>
      <c r="Q53" s="236">
        <f t="shared" si="67"/>
        <v>1.496184</v>
      </c>
      <c r="R53" s="238">
        <f t="shared" si="67"/>
        <v>0.73960000000000004</v>
      </c>
      <c r="S53" s="237">
        <f t="shared" si="67"/>
        <v>1.3835679999999999</v>
      </c>
      <c r="T53" s="239">
        <f t="shared" si="67"/>
        <v>1.3835679999999999</v>
      </c>
      <c r="U53" s="238">
        <f t="shared" si="67"/>
        <v>0.71379999999999999</v>
      </c>
      <c r="V53" s="237">
        <f t="shared" si="67"/>
        <v>1.3353039999999998</v>
      </c>
      <c r="W53" s="239">
        <f t="shared" si="67"/>
        <v>1.3353039999999998</v>
      </c>
      <c r="X53" s="236">
        <f t="shared" si="67"/>
        <v>0.64500000000000002</v>
      </c>
      <c r="Y53" s="237">
        <f t="shared" si="67"/>
        <v>1.2065999999999999</v>
      </c>
      <c r="Z53" s="236">
        <f t="shared" si="67"/>
        <v>1.2065999999999999</v>
      </c>
      <c r="AA53" s="238">
        <f t="shared" si="67"/>
        <v>0.60199999999999998</v>
      </c>
      <c r="AB53" s="237">
        <f t="shared" si="67"/>
        <v>1.1261599999999998</v>
      </c>
      <c r="AC53" s="239">
        <f t="shared" si="67"/>
        <v>1.1261599999999998</v>
      </c>
    </row>
    <row r="54" spans="1:29" s="212" customFormat="1" ht="18.95" customHeight="1">
      <c r="B54" s="1311" t="s">
        <v>809</v>
      </c>
      <c r="C54" s="1313" t="s">
        <v>612</v>
      </c>
      <c r="D54" s="1314"/>
      <c r="E54" s="1315"/>
      <c r="F54" s="1302">
        <v>1000</v>
      </c>
      <c r="G54" s="1304"/>
      <c r="H54" s="1304">
        <f>F54*D55</f>
        <v>17</v>
      </c>
      <c r="I54" s="1317"/>
      <c r="J54" s="1304"/>
      <c r="K54" s="1310"/>
      <c r="L54" s="213">
        <f>H54</f>
        <v>17</v>
      </c>
      <c r="M54" s="214">
        <f>H54+I54</f>
        <v>17</v>
      </c>
      <c r="N54" s="215">
        <f>M54</f>
        <v>17</v>
      </c>
      <c r="O54" s="216">
        <f>L54*$Q$25</f>
        <v>15.81</v>
      </c>
      <c r="P54" s="214">
        <f>M54*$Q$25</f>
        <v>15.81</v>
      </c>
      <c r="Q54" s="217">
        <f>N54*$Q$25</f>
        <v>15.81</v>
      </c>
      <c r="R54" s="218">
        <f t="shared" ref="R54:T54" si="68">L54*$T$25</f>
        <v>14.62</v>
      </c>
      <c r="S54" s="214">
        <f t="shared" si="68"/>
        <v>14.62</v>
      </c>
      <c r="T54" s="217">
        <f t="shared" si="68"/>
        <v>14.62</v>
      </c>
      <c r="U54" s="218">
        <f>L54*$W$25</f>
        <v>14.11</v>
      </c>
      <c r="V54" s="214">
        <f>M54*$W$25</f>
        <v>14.11</v>
      </c>
      <c r="W54" s="217">
        <f>N54*$W$25</f>
        <v>14.11</v>
      </c>
      <c r="X54" s="218">
        <f>L54*$Z$25</f>
        <v>12.75</v>
      </c>
      <c r="Y54" s="214">
        <f>M54*$Z$25</f>
        <v>12.75</v>
      </c>
      <c r="Z54" s="217">
        <f>N54*$Z$25</f>
        <v>12.75</v>
      </c>
      <c r="AA54" s="213">
        <f>L54*$AC$25</f>
        <v>11.899999999999999</v>
      </c>
      <c r="AB54" s="214">
        <f>M54*$AC$25</f>
        <v>11.899999999999999</v>
      </c>
      <c r="AC54" s="219">
        <f>N54*$AC$25</f>
        <v>11.899999999999999</v>
      </c>
    </row>
    <row r="55" spans="1:29" s="212" customFormat="1" ht="18.95" customHeight="1" thickBot="1">
      <c r="B55" s="1312"/>
      <c r="C55" s="604" t="s">
        <v>810</v>
      </c>
      <c r="D55" s="604">
        <v>1.7000000000000001E-2</v>
      </c>
      <c r="E55" s="605"/>
      <c r="F55" s="1316"/>
      <c r="G55" s="1307"/>
      <c r="H55" s="1307"/>
      <c r="I55" s="1318"/>
      <c r="J55" s="1307"/>
      <c r="K55" s="1309"/>
      <c r="L55" s="606">
        <f t="shared" ref="L55:AC55" si="69">L54/$F54</f>
        <v>1.7000000000000001E-2</v>
      </c>
      <c r="M55" s="607">
        <f t="shared" si="69"/>
        <v>1.7000000000000001E-2</v>
      </c>
      <c r="N55" s="608">
        <f t="shared" si="69"/>
        <v>1.7000000000000001E-2</v>
      </c>
      <c r="O55" s="609">
        <f t="shared" si="69"/>
        <v>1.5810000000000001E-2</v>
      </c>
      <c r="P55" s="607">
        <f t="shared" si="69"/>
        <v>1.5810000000000001E-2</v>
      </c>
      <c r="Q55" s="609">
        <f t="shared" si="69"/>
        <v>1.5810000000000001E-2</v>
      </c>
      <c r="R55" s="610">
        <f t="shared" si="69"/>
        <v>1.4619999999999999E-2</v>
      </c>
      <c r="S55" s="607">
        <f t="shared" si="69"/>
        <v>1.4619999999999999E-2</v>
      </c>
      <c r="T55" s="611">
        <f t="shared" si="69"/>
        <v>1.4619999999999999E-2</v>
      </c>
      <c r="U55" s="610">
        <f t="shared" si="69"/>
        <v>1.4109999999999999E-2</v>
      </c>
      <c r="V55" s="607">
        <f t="shared" si="69"/>
        <v>1.4109999999999999E-2</v>
      </c>
      <c r="W55" s="611">
        <f t="shared" si="69"/>
        <v>1.4109999999999999E-2</v>
      </c>
      <c r="X55" s="609">
        <f t="shared" si="69"/>
        <v>1.2749999999999999E-2</v>
      </c>
      <c r="Y55" s="607">
        <f t="shared" si="69"/>
        <v>1.2749999999999999E-2</v>
      </c>
      <c r="Z55" s="609">
        <f t="shared" si="69"/>
        <v>1.2749999999999999E-2</v>
      </c>
      <c r="AA55" s="610">
        <f t="shared" si="69"/>
        <v>1.1899999999999999E-2</v>
      </c>
      <c r="AB55" s="607">
        <f t="shared" si="69"/>
        <v>1.1899999999999999E-2</v>
      </c>
      <c r="AC55" s="611">
        <f t="shared" si="69"/>
        <v>1.1899999999999999E-2</v>
      </c>
    </row>
    <row r="56" spans="1:29" ht="18" customHeight="1">
      <c r="H56" s="242"/>
      <c r="I56" s="242"/>
      <c r="J56" s="243"/>
      <c r="K56" s="243"/>
      <c r="L56" s="242"/>
    </row>
    <row r="57" spans="1:29" s="71" customFormat="1" ht="18" customHeight="1">
      <c r="B57" s="72" t="s">
        <v>811</v>
      </c>
      <c r="C57" s="72"/>
      <c r="D57" s="73"/>
      <c r="E57" s="74"/>
      <c r="F57" s="74"/>
      <c r="N57" s="37"/>
    </row>
    <row r="58" spans="1:29" s="71" customFormat="1" ht="18" customHeight="1">
      <c r="B58" s="161" t="s">
        <v>812</v>
      </c>
      <c r="C58" s="72"/>
      <c r="D58" s="74"/>
      <c r="E58" s="74"/>
      <c r="F58" s="74"/>
      <c r="O58" s="483"/>
      <c r="P58" s="244"/>
    </row>
    <row r="59" spans="1:29" s="73" customFormat="1" ht="18" customHeight="1">
      <c r="B59" s="73" t="s">
        <v>813</v>
      </c>
      <c r="C59" s="76"/>
      <c r="D59" s="76"/>
      <c r="E59" s="76"/>
      <c r="O59" s="483"/>
    </row>
    <row r="60" spans="1:29" s="73" customFormat="1" ht="18" customHeight="1">
      <c r="B60" s="73" t="s">
        <v>814</v>
      </c>
      <c r="C60" s="76"/>
      <c r="D60" s="76"/>
      <c r="E60" s="76"/>
      <c r="O60" s="483"/>
      <c r="P60" s="244"/>
    </row>
    <row r="61" spans="1:29" s="71" customFormat="1" ht="18" customHeight="1">
      <c r="B61" s="75" t="s">
        <v>815</v>
      </c>
      <c r="C61" s="74"/>
      <c r="D61" s="74"/>
      <c r="E61" s="74"/>
      <c r="F61" s="74"/>
      <c r="O61" s="483"/>
    </row>
    <row r="62" spans="1:29" s="21" customFormat="1" ht="18" customHeight="1">
      <c r="B62" s="388" t="s">
        <v>816</v>
      </c>
      <c r="O62" s="483"/>
    </row>
    <row r="63" spans="1:29" customFormat="1" ht="18" customHeight="1">
      <c r="A63" s="18"/>
      <c r="B63" s="389" t="s">
        <v>130</v>
      </c>
      <c r="C63" s="369"/>
      <c r="D63" s="368"/>
      <c r="E63" s="377"/>
      <c r="F63" s="370"/>
      <c r="G63" s="370"/>
      <c r="H63" s="370"/>
      <c r="O63" s="483"/>
    </row>
    <row r="64" spans="1:29">
      <c r="O64" s="483"/>
    </row>
    <row r="65" spans="15:15">
      <c r="O65" s="483"/>
    </row>
    <row r="66" spans="15:15">
      <c r="O66" s="483"/>
    </row>
    <row r="67" spans="15:15">
      <c r="O67" s="483"/>
    </row>
    <row r="68" spans="15:15">
      <c r="O68" s="483"/>
    </row>
    <row r="69" spans="15:15">
      <c r="O69" s="483"/>
    </row>
    <row r="70" spans="15:15">
      <c r="O70" s="483"/>
    </row>
    <row r="71" spans="15:15">
      <c r="O71" s="483"/>
    </row>
    <row r="72" spans="15:15">
      <c r="O72" s="483"/>
    </row>
    <row r="73" spans="15:15">
      <c r="O73" s="483"/>
    </row>
    <row r="74" spans="15:15">
      <c r="O74" s="483"/>
    </row>
    <row r="75" spans="15:15">
      <c r="O75" s="483"/>
    </row>
    <row r="76" spans="15:15">
      <c r="O76" s="483"/>
    </row>
    <row r="77" spans="15:15">
      <c r="O77" s="483"/>
    </row>
    <row r="78" spans="15:15">
      <c r="O78" s="483"/>
    </row>
    <row r="79" spans="15:15">
      <c r="O79" s="483"/>
    </row>
    <row r="80" spans="15:15">
      <c r="O80" s="483"/>
    </row>
    <row r="81" spans="15:15">
      <c r="O81" s="483"/>
    </row>
    <row r="82" spans="15:15">
      <c r="O82" s="483"/>
    </row>
    <row r="83" spans="15:15">
      <c r="O83" s="483"/>
    </row>
    <row r="84" spans="15:15">
      <c r="O84" s="483"/>
    </row>
    <row r="85" spans="15:15">
      <c r="O85" s="483"/>
    </row>
    <row r="86" spans="15:15">
      <c r="O86" s="483"/>
    </row>
    <row r="87" spans="15:15">
      <c r="O87" s="483"/>
    </row>
    <row r="88" spans="15:15">
      <c r="O88" s="483"/>
    </row>
    <row r="89" spans="15:15">
      <c r="O89" s="483"/>
    </row>
    <row r="90" spans="15:15">
      <c r="O90" s="483"/>
    </row>
  </sheetData>
  <mergeCells count="163">
    <mergeCell ref="K32:K33"/>
    <mergeCell ref="C34:E34"/>
    <mergeCell ref="J50:J51"/>
    <mergeCell ref="K50:K51"/>
    <mergeCell ref="C50:E50"/>
    <mergeCell ref="F50:F51"/>
    <mergeCell ref="G50:G51"/>
    <mergeCell ref="H50:H51"/>
    <mergeCell ref="I50:I51"/>
    <mergeCell ref="J36:J37"/>
    <mergeCell ref="K36:K37"/>
    <mergeCell ref="C36:E36"/>
    <mergeCell ref="F36:F37"/>
    <mergeCell ref="G36:G37"/>
    <mergeCell ref="H36:H37"/>
    <mergeCell ref="C38:E38"/>
    <mergeCell ref="F38:F39"/>
    <mergeCell ref="G38:G39"/>
    <mergeCell ref="H38:H39"/>
    <mergeCell ref="I38:I39"/>
    <mergeCell ref="J38:J39"/>
    <mergeCell ref="K38:K39"/>
    <mergeCell ref="C40:E40"/>
    <mergeCell ref="F40:F41"/>
    <mergeCell ref="G40:G41"/>
    <mergeCell ref="H40:H41"/>
    <mergeCell ref="G9:H9"/>
    <mergeCell ref="I9:J9"/>
    <mergeCell ref="E10:F10"/>
    <mergeCell ref="G10:H10"/>
    <mergeCell ref="B1:AC1"/>
    <mergeCell ref="L25:N25"/>
    <mergeCell ref="O25:P25"/>
    <mergeCell ref="R25:S25"/>
    <mergeCell ref="U25:V25"/>
    <mergeCell ref="X25:Y25"/>
    <mergeCell ref="AA25:AB25"/>
    <mergeCell ref="B7:C7"/>
    <mergeCell ref="D7:J7"/>
    <mergeCell ref="K7:P7"/>
    <mergeCell ref="B25:E25"/>
    <mergeCell ref="I10:J10"/>
    <mergeCell ref="D11:J11"/>
    <mergeCell ref="K11:P13"/>
    <mergeCell ref="E12:F12"/>
    <mergeCell ref="G12:H12"/>
    <mergeCell ref="E13:F13"/>
    <mergeCell ref="G13:H13"/>
    <mergeCell ref="D14:J14"/>
    <mergeCell ref="L26:L27"/>
    <mergeCell ref="AB26:AB27"/>
    <mergeCell ref="AC26:AC27"/>
    <mergeCell ref="B26:B27"/>
    <mergeCell ref="P26:P27"/>
    <mergeCell ref="Q26:Q27"/>
    <mergeCell ref="R26:R27"/>
    <mergeCell ref="S26:S27"/>
    <mergeCell ref="T26:T27"/>
    <mergeCell ref="AA26:AA27"/>
    <mergeCell ref="Z26:Z27"/>
    <mergeCell ref="X26:X27"/>
    <mergeCell ref="Y26:Y27"/>
    <mergeCell ref="U26:U27"/>
    <mergeCell ref="V26:V27"/>
    <mergeCell ref="W26:W27"/>
    <mergeCell ref="E26:E27"/>
    <mergeCell ref="K14:P14"/>
    <mergeCell ref="K8:P10"/>
    <mergeCell ref="E9:F9"/>
    <mergeCell ref="B8:C13"/>
    <mergeCell ref="D8:J8"/>
    <mergeCell ref="C28:E28"/>
    <mergeCell ref="F28:F29"/>
    <mergeCell ref="G28:G29"/>
    <mergeCell ref="H28:H29"/>
    <mergeCell ref="I28:I29"/>
    <mergeCell ref="B17:C17"/>
    <mergeCell ref="D17:J17"/>
    <mergeCell ref="K17:P17"/>
    <mergeCell ref="B18:C19"/>
    <mergeCell ref="D18:J19"/>
    <mergeCell ref="K18:P19"/>
    <mergeCell ref="M26:M27"/>
    <mergeCell ref="N26:N27"/>
    <mergeCell ref="O26:O27"/>
    <mergeCell ref="F25:F27"/>
    <mergeCell ref="G25:G27"/>
    <mergeCell ref="H25:J25"/>
    <mergeCell ref="C26:C27"/>
    <mergeCell ref="D26:D27"/>
    <mergeCell ref="B14:C14"/>
    <mergeCell ref="H46:H47"/>
    <mergeCell ref="I46:I47"/>
    <mergeCell ref="J28:J29"/>
    <mergeCell ref="K28:K29"/>
    <mergeCell ref="C30:E30"/>
    <mergeCell ref="F30:F31"/>
    <mergeCell ref="G30:G31"/>
    <mergeCell ref="H30:H31"/>
    <mergeCell ref="I30:I31"/>
    <mergeCell ref="J30:J31"/>
    <mergeCell ref="K30:K31"/>
    <mergeCell ref="C32:E32"/>
    <mergeCell ref="F34:F35"/>
    <mergeCell ref="G34:G35"/>
    <mergeCell ref="H34:H35"/>
    <mergeCell ref="I34:I35"/>
    <mergeCell ref="J34:J35"/>
    <mergeCell ref="K34:K35"/>
    <mergeCell ref="I36:I37"/>
    <mergeCell ref="H32:H33"/>
    <mergeCell ref="I32:I33"/>
    <mergeCell ref="J32:J33"/>
    <mergeCell ref="F32:F33"/>
    <mergeCell ref="G32:G33"/>
    <mergeCell ref="K48:K49"/>
    <mergeCell ref="C44:E44"/>
    <mergeCell ref="I40:I41"/>
    <mergeCell ref="J40:J41"/>
    <mergeCell ref="K40:K41"/>
    <mergeCell ref="C42:E42"/>
    <mergeCell ref="F42:F43"/>
    <mergeCell ref="G42:G43"/>
    <mergeCell ref="C48:E48"/>
    <mergeCell ref="F48:F49"/>
    <mergeCell ref="G48:G49"/>
    <mergeCell ref="H48:H49"/>
    <mergeCell ref="I48:I49"/>
    <mergeCell ref="J48:J49"/>
    <mergeCell ref="H42:H43"/>
    <mergeCell ref="I42:I43"/>
    <mergeCell ref="J42:J43"/>
    <mergeCell ref="H44:H45"/>
    <mergeCell ref="I44:I45"/>
    <mergeCell ref="J44:J45"/>
    <mergeCell ref="K44:K45"/>
    <mergeCell ref="C46:E46"/>
    <mergeCell ref="F46:F47"/>
    <mergeCell ref="G46:G47"/>
    <mergeCell ref="B28:B43"/>
    <mergeCell ref="B44:B47"/>
    <mergeCell ref="B48:B51"/>
    <mergeCell ref="F44:F45"/>
    <mergeCell ref="G44:G45"/>
    <mergeCell ref="J46:J47"/>
    <mergeCell ref="K46:K47"/>
    <mergeCell ref="J54:J55"/>
    <mergeCell ref="K54:K55"/>
    <mergeCell ref="B54:B55"/>
    <mergeCell ref="C54:E54"/>
    <mergeCell ref="F54:F55"/>
    <mergeCell ref="G54:G55"/>
    <mergeCell ref="H54:H55"/>
    <mergeCell ref="I54:I55"/>
    <mergeCell ref="B52:B53"/>
    <mergeCell ref="C52:E52"/>
    <mergeCell ref="F52:F53"/>
    <mergeCell ref="G52:G53"/>
    <mergeCell ref="H52:H53"/>
    <mergeCell ref="I52:I53"/>
    <mergeCell ref="J52:J53"/>
    <mergeCell ref="K52:K53"/>
    <mergeCell ref="K42:K43"/>
  </mergeCells>
  <phoneticPr fontId="4" type="noConversion"/>
  <printOptions horizontalCentered="1"/>
  <pageMargins left="0.15748031496062992" right="0.15748031496062992" top="0.35433070866141736" bottom="0.19685039370078741" header="0.31496062992125984" footer="0.31496062992125984"/>
  <pageSetup paperSize="9" scale="48"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4"/>
  <sheetViews>
    <sheetView workbookViewId="0"/>
  </sheetViews>
  <sheetFormatPr defaultColWidth="9.25" defaultRowHeight="12"/>
  <cols>
    <col min="1" max="1" width="0.875" style="18" customWidth="1"/>
    <col min="2" max="2" width="5.625" style="18" customWidth="1"/>
    <col min="3" max="3" width="13" style="18" customWidth="1"/>
    <col min="4" max="5" width="9.25" style="18" customWidth="1"/>
    <col min="6" max="26" width="8.625" style="18" customWidth="1"/>
    <col min="27" max="16384" width="9.25" style="18"/>
  </cols>
  <sheetData>
    <row r="1" spans="1:30" s="532" customFormat="1" ht="30" customHeight="1" thickBot="1">
      <c r="B1" s="1409" t="s">
        <v>817</v>
      </c>
      <c r="C1" s="1409"/>
      <c r="D1" s="1409"/>
      <c r="E1" s="1409"/>
      <c r="F1" s="1409"/>
      <c r="G1" s="1409"/>
      <c r="H1" s="1409"/>
      <c r="I1" s="1409"/>
      <c r="J1" s="1409"/>
      <c r="K1" s="1409"/>
      <c r="L1" s="1409"/>
      <c r="M1" s="1409"/>
      <c r="N1" s="1409"/>
      <c r="O1" s="1409"/>
      <c r="P1" s="1409"/>
      <c r="Q1" s="1409"/>
      <c r="R1" s="1409"/>
      <c r="S1" s="1409"/>
      <c r="T1" s="1409"/>
      <c r="U1" s="1409"/>
      <c r="V1" s="1409"/>
      <c r="W1" s="1409"/>
      <c r="X1" s="1409"/>
      <c r="Y1" s="1409"/>
      <c r="Z1" s="1409"/>
      <c r="AA1" s="1409"/>
      <c r="AB1" s="1409"/>
      <c r="AC1" s="1409"/>
      <c r="AD1" s="1409"/>
    </row>
    <row r="2" spans="1:30" s="112" customFormat="1" ht="6"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0" s="113" customFormat="1" ht="18" customHeight="1">
      <c r="A3" s="78"/>
      <c r="B3" s="79" t="s">
        <v>319</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0" s="113" customFormat="1" ht="18"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0" s="113" customFormat="1" ht="18" customHeight="1">
      <c r="A5" s="78"/>
      <c r="B5" s="80"/>
      <c r="C5" s="78"/>
      <c r="D5" s="78"/>
      <c r="E5" s="78"/>
      <c r="F5" s="78"/>
      <c r="G5" s="78"/>
      <c r="H5" s="78"/>
      <c r="I5" s="78"/>
      <c r="J5" s="78"/>
      <c r="K5" s="78"/>
      <c r="L5" s="78"/>
      <c r="M5" s="78"/>
      <c r="N5" s="78"/>
      <c r="O5" s="78"/>
      <c r="P5" s="78"/>
      <c r="Q5" s="78"/>
      <c r="R5" s="78"/>
      <c r="S5" s="78"/>
      <c r="T5" s="78"/>
      <c r="U5" s="78"/>
      <c r="V5" s="78"/>
      <c r="W5" s="78"/>
      <c r="X5" s="78"/>
      <c r="Y5" s="78"/>
      <c r="Z5" s="78"/>
      <c r="AA5" s="78"/>
      <c r="AB5" s="78"/>
      <c r="AC5" s="78"/>
    </row>
    <row r="6" spans="1:30" s="166" customFormat="1" ht="18" customHeight="1" thickBot="1">
      <c r="B6" s="169" t="s">
        <v>318</v>
      </c>
      <c r="E6" s="170"/>
      <c r="F6" s="171"/>
      <c r="G6" s="171"/>
      <c r="H6" s="171"/>
      <c r="I6" s="171"/>
      <c r="J6" s="171"/>
      <c r="O6" s="172"/>
      <c r="P6" s="172"/>
    </row>
    <row r="7" spans="1:30" s="172" customFormat="1" ht="18" customHeight="1">
      <c r="B7" s="701" t="s">
        <v>317</v>
      </c>
      <c r="C7" s="825"/>
      <c r="D7" s="791" t="s">
        <v>316</v>
      </c>
      <c r="E7" s="702"/>
      <c r="F7" s="702"/>
      <c r="G7" s="702"/>
      <c r="H7" s="702"/>
      <c r="I7" s="702"/>
      <c r="J7" s="702"/>
      <c r="K7" s="702"/>
      <c r="L7" s="825"/>
      <c r="M7" s="791" t="s">
        <v>315</v>
      </c>
      <c r="N7" s="702"/>
      <c r="O7" s="825"/>
      <c r="P7" s="791" t="s">
        <v>302</v>
      </c>
      <c r="Q7" s="706"/>
    </row>
    <row r="8" spans="1:30" s="172" customFormat="1" ht="18" customHeight="1">
      <c r="B8" s="707" t="s">
        <v>282</v>
      </c>
      <c r="C8" s="708"/>
      <c r="D8" s="1411" t="s">
        <v>314</v>
      </c>
      <c r="E8" s="1412"/>
      <c r="F8" s="1412"/>
      <c r="G8" s="1412"/>
      <c r="H8" s="1412"/>
      <c r="I8" s="1412"/>
      <c r="J8" s="1412"/>
      <c r="K8" s="1412"/>
      <c r="L8" s="1413"/>
      <c r="M8" s="1042"/>
      <c r="N8" s="1042"/>
      <c r="O8" s="1414"/>
      <c r="P8" s="1417" t="s">
        <v>313</v>
      </c>
      <c r="Q8" s="1043"/>
    </row>
    <row r="9" spans="1:30" s="172" customFormat="1" ht="18" customHeight="1">
      <c r="B9" s="709"/>
      <c r="C9" s="710"/>
      <c r="D9" s="1420" t="s">
        <v>312</v>
      </c>
      <c r="E9" s="1421"/>
      <c r="F9" s="1421"/>
      <c r="G9" s="1421"/>
      <c r="H9" s="1421"/>
      <c r="I9" s="1421"/>
      <c r="J9" s="1421"/>
      <c r="K9" s="1421"/>
      <c r="L9" s="1422"/>
      <c r="M9" s="1220"/>
      <c r="N9" s="1220"/>
      <c r="O9" s="1415"/>
      <c r="P9" s="1418"/>
      <c r="Q9" s="1221"/>
    </row>
    <row r="10" spans="1:30" s="172" customFormat="1" ht="18" customHeight="1">
      <c r="B10" s="1039"/>
      <c r="C10" s="1410"/>
      <c r="D10" s="1426" t="s">
        <v>311</v>
      </c>
      <c r="E10" s="865"/>
      <c r="F10" s="865"/>
      <c r="G10" s="865"/>
      <c r="H10" s="865"/>
      <c r="I10" s="865"/>
      <c r="J10" s="865"/>
      <c r="K10" s="865"/>
      <c r="L10" s="1427"/>
      <c r="M10" s="1045"/>
      <c r="N10" s="1045"/>
      <c r="O10" s="1416"/>
      <c r="P10" s="1419"/>
      <c r="Q10" s="1046"/>
    </row>
    <row r="11" spans="1:30" s="172" customFormat="1" ht="18" customHeight="1">
      <c r="B11" s="707" t="s">
        <v>113</v>
      </c>
      <c r="C11" s="708"/>
      <c r="D11" s="1428" t="s">
        <v>310</v>
      </c>
      <c r="E11" s="726"/>
      <c r="F11" s="726"/>
      <c r="G11" s="726"/>
      <c r="H11" s="726"/>
      <c r="I11" s="726"/>
      <c r="J11" s="726"/>
      <c r="K11" s="726"/>
      <c r="L11" s="1429"/>
      <c r="M11" s="1099"/>
      <c r="N11" s="1099"/>
      <c r="O11" s="1430"/>
      <c r="P11" s="1434" t="s">
        <v>309</v>
      </c>
      <c r="Q11" s="1100"/>
    </row>
    <row r="12" spans="1:30" s="172" customFormat="1" ht="18" customHeight="1">
      <c r="B12" s="709"/>
      <c r="C12" s="710"/>
      <c r="D12" s="1438" t="s">
        <v>308</v>
      </c>
      <c r="E12" s="1339"/>
      <c r="F12" s="1339"/>
      <c r="G12" s="1339"/>
      <c r="H12" s="1339"/>
      <c r="I12" s="1339"/>
      <c r="J12" s="1339"/>
      <c r="K12" s="1339"/>
      <c r="L12" s="1439"/>
      <c r="M12" s="1431"/>
      <c r="N12" s="1431"/>
      <c r="O12" s="1432"/>
      <c r="P12" s="1435"/>
      <c r="Q12" s="1436"/>
    </row>
    <row r="13" spans="1:30" s="172" customFormat="1" ht="18" customHeight="1">
      <c r="B13" s="1039"/>
      <c r="C13" s="1410"/>
      <c r="D13" s="1440" t="s">
        <v>307</v>
      </c>
      <c r="E13" s="729"/>
      <c r="F13" s="729"/>
      <c r="G13" s="729"/>
      <c r="H13" s="729"/>
      <c r="I13" s="729"/>
      <c r="J13" s="729"/>
      <c r="K13" s="729"/>
      <c r="L13" s="1441"/>
      <c r="M13" s="1102"/>
      <c r="N13" s="1102"/>
      <c r="O13" s="1433"/>
      <c r="P13" s="1437"/>
      <c r="Q13" s="1103"/>
    </row>
    <row r="14" spans="1:30" s="172" customFormat="1" ht="18" customHeight="1" thickBot="1">
      <c r="B14" s="1442" t="s">
        <v>306</v>
      </c>
      <c r="C14" s="1443"/>
      <c r="D14" s="1417" t="s">
        <v>305</v>
      </c>
      <c r="E14" s="1042"/>
      <c r="F14" s="1042"/>
      <c r="G14" s="1042"/>
      <c r="H14" s="1042"/>
      <c r="I14" s="1042"/>
      <c r="J14" s="1042"/>
      <c r="K14" s="1042"/>
      <c r="L14" s="1042"/>
      <c r="M14" s="1434" t="s">
        <v>304</v>
      </c>
      <c r="N14" s="1099"/>
      <c r="O14" s="1430"/>
      <c r="P14" s="1417" t="s">
        <v>303</v>
      </c>
      <c r="Q14" s="1043"/>
    </row>
    <row r="15" spans="1:30" s="172" customFormat="1" ht="18" customHeight="1">
      <c r="B15" s="1050"/>
      <c r="C15" s="1051"/>
      <c r="D15" s="351" t="s">
        <v>302</v>
      </c>
      <c r="E15" s="492" t="s">
        <v>301</v>
      </c>
      <c r="F15" s="1448" t="s">
        <v>300</v>
      </c>
      <c r="G15" s="1449"/>
      <c r="H15" s="1449"/>
      <c r="I15" s="1449"/>
      <c r="J15" s="1449"/>
      <c r="K15" s="1449"/>
      <c r="L15" s="1450"/>
      <c r="M15" s="1431"/>
      <c r="N15" s="1431"/>
      <c r="O15" s="1432"/>
      <c r="P15" s="1418"/>
      <c r="Q15" s="1221"/>
    </row>
    <row r="16" spans="1:30" s="172" customFormat="1" ht="27.75" customHeight="1">
      <c r="B16" s="1050"/>
      <c r="C16" s="1051"/>
      <c r="D16" s="531" t="s">
        <v>299</v>
      </c>
      <c r="E16" s="529" t="s">
        <v>298</v>
      </c>
      <c r="F16" s="530" t="s">
        <v>297</v>
      </c>
      <c r="G16" s="530" t="s">
        <v>296</v>
      </c>
      <c r="H16" s="529" t="s">
        <v>295</v>
      </c>
      <c r="I16" s="529" t="s">
        <v>294</v>
      </c>
      <c r="J16" s="529" t="s">
        <v>293</v>
      </c>
      <c r="K16" s="529" t="s">
        <v>292</v>
      </c>
      <c r="L16" s="528" t="s">
        <v>291</v>
      </c>
      <c r="M16" s="1431"/>
      <c r="N16" s="1431"/>
      <c r="O16" s="1432"/>
      <c r="P16" s="1418"/>
      <c r="Q16" s="1221"/>
    </row>
    <row r="17" spans="1:32" s="172" customFormat="1" ht="18" customHeight="1">
      <c r="B17" s="1050"/>
      <c r="C17" s="1051"/>
      <c r="D17" s="527" t="s">
        <v>290</v>
      </c>
      <c r="E17" s="1451">
        <v>5.0000000000000001E-3</v>
      </c>
      <c r="F17" s="526">
        <v>1.4999999999999999E-2</v>
      </c>
      <c r="G17" s="157">
        <v>0.01</v>
      </c>
      <c r="H17" s="525">
        <v>1.4999999999999999E-2</v>
      </c>
      <c r="I17" s="525">
        <v>2.5000000000000001E-2</v>
      </c>
      <c r="J17" s="525">
        <v>2.5000000000000001E-2</v>
      </c>
      <c r="K17" s="525">
        <v>0.04</v>
      </c>
      <c r="L17" s="524">
        <v>0.05</v>
      </c>
      <c r="M17" s="1431"/>
      <c r="N17" s="1431"/>
      <c r="O17" s="1432"/>
      <c r="P17" s="1418"/>
      <c r="Q17" s="1221"/>
    </row>
    <row r="18" spans="1:32" s="172" customFormat="1" ht="18" customHeight="1" thickBot="1">
      <c r="B18" s="1052"/>
      <c r="C18" s="1053"/>
      <c r="D18" s="352" t="s">
        <v>289</v>
      </c>
      <c r="E18" s="1452"/>
      <c r="F18" s="1453" t="s">
        <v>288</v>
      </c>
      <c r="G18" s="1454"/>
      <c r="H18" s="1455"/>
      <c r="I18" s="523">
        <v>0.01</v>
      </c>
      <c r="J18" s="522">
        <v>1.2E-2</v>
      </c>
      <c r="K18" s="522">
        <v>1.4E-2</v>
      </c>
      <c r="L18" s="521">
        <v>0.02</v>
      </c>
      <c r="M18" s="1444"/>
      <c r="N18" s="1444"/>
      <c r="O18" s="1445"/>
      <c r="P18" s="1446"/>
      <c r="Q18" s="1447"/>
    </row>
    <row r="19" spans="1:32" s="172" customFormat="1" ht="18" customHeight="1">
      <c r="B19" s="485"/>
      <c r="C19" s="485"/>
      <c r="D19" s="390"/>
      <c r="E19" s="390"/>
      <c r="F19" s="390"/>
      <c r="G19" s="390"/>
      <c r="H19" s="390"/>
      <c r="I19" s="390"/>
      <c r="J19" s="390"/>
      <c r="K19" s="390"/>
      <c r="L19" s="485"/>
      <c r="M19" s="485"/>
      <c r="N19" s="485"/>
    </row>
    <row r="20" spans="1:32" s="167" customFormat="1" ht="18" customHeight="1">
      <c r="B20" s="35" t="s">
        <v>287</v>
      </c>
      <c r="C20" s="174"/>
      <c r="D20" s="172"/>
      <c r="E20" s="172"/>
      <c r="F20" s="172"/>
      <c r="G20" s="172"/>
      <c r="H20" s="172"/>
      <c r="I20" s="520"/>
      <c r="J20" s="172"/>
      <c r="K20" s="172"/>
      <c r="L20" s="175"/>
      <c r="M20" s="175"/>
      <c r="N20" s="519"/>
    </row>
    <row r="21" spans="1:32" s="34" customFormat="1" ht="25.5" customHeight="1">
      <c r="B21" s="423" t="s">
        <v>390</v>
      </c>
      <c r="C21" s="423"/>
      <c r="D21" s="423"/>
      <c r="E21" s="423"/>
      <c r="F21" s="423"/>
      <c r="G21" s="423"/>
      <c r="H21" s="424"/>
      <c r="I21" s="424"/>
      <c r="J21" s="425"/>
      <c r="K21" s="425"/>
      <c r="L21" s="425"/>
      <c r="M21" s="424"/>
      <c r="N21" s="424"/>
      <c r="O21" s="424"/>
      <c r="P21" s="424"/>
      <c r="Q21" s="424"/>
      <c r="R21" s="424"/>
      <c r="S21" s="424"/>
      <c r="T21" s="424"/>
      <c r="U21" s="424"/>
      <c r="V21" s="424"/>
      <c r="W21" s="424"/>
      <c r="X21" s="424"/>
      <c r="Y21" s="424"/>
    </row>
    <row r="22" spans="1:32" s="34" customFormat="1" ht="24" customHeight="1">
      <c r="A22" s="29"/>
      <c r="B22" s="30" t="s">
        <v>286</v>
      </c>
      <c r="C22" s="31"/>
      <c r="D22" s="31"/>
      <c r="E22" s="31"/>
      <c r="F22" s="31"/>
      <c r="G22" s="31"/>
      <c r="H22" s="32"/>
      <c r="I22" s="32"/>
      <c r="J22" s="33"/>
      <c r="K22" s="32"/>
      <c r="L22" s="32"/>
      <c r="M22" s="32"/>
      <c r="N22" s="32"/>
      <c r="O22" s="32"/>
      <c r="P22" s="32"/>
      <c r="Q22" s="32"/>
      <c r="R22" s="32"/>
      <c r="S22" s="32"/>
      <c r="T22" s="32"/>
      <c r="U22" s="32"/>
      <c r="V22" s="32"/>
      <c r="W22" s="32"/>
      <c r="X22" s="29"/>
      <c r="Y22" s="29"/>
    </row>
    <row r="23" spans="1:32" s="34" customFormat="1" ht="5.25" customHeight="1" thickBot="1">
      <c r="A23" s="29"/>
      <c r="B23" s="30"/>
      <c r="C23" s="31"/>
      <c r="D23" s="31"/>
      <c r="E23" s="31"/>
      <c r="F23" s="31"/>
      <c r="G23" s="31"/>
      <c r="H23" s="32"/>
      <c r="I23" s="32"/>
      <c r="J23" s="33"/>
      <c r="K23" s="32"/>
      <c r="L23" s="32"/>
      <c r="M23" s="32"/>
      <c r="N23" s="32"/>
      <c r="O23" s="32"/>
      <c r="P23" s="32"/>
      <c r="Q23" s="32"/>
      <c r="R23" s="32"/>
      <c r="S23" s="32"/>
      <c r="T23" s="32"/>
      <c r="U23" s="32"/>
      <c r="V23" s="32"/>
      <c r="W23" s="32"/>
      <c r="X23" s="29"/>
      <c r="Y23" s="29"/>
    </row>
    <row r="24" spans="1:32" s="175" customFormat="1" ht="24" customHeight="1">
      <c r="B24" s="1392" t="s">
        <v>285</v>
      </c>
      <c r="C24" s="750"/>
      <c r="D24" s="750"/>
      <c r="E24" s="1393"/>
      <c r="F24" s="1456" t="s">
        <v>284</v>
      </c>
      <c r="G24" s="1458" t="s">
        <v>283</v>
      </c>
      <c r="H24" s="1460" t="s">
        <v>282</v>
      </c>
      <c r="I24" s="1462" t="s">
        <v>281</v>
      </c>
      <c r="J24" s="1123"/>
      <c r="K24" s="1462" t="s">
        <v>280</v>
      </c>
      <c r="L24" s="1463"/>
      <c r="M24" s="691" t="s">
        <v>279</v>
      </c>
      <c r="N24" s="754"/>
      <c r="O24" s="755"/>
      <c r="P24" s="1391" t="s">
        <v>278</v>
      </c>
      <c r="Q24" s="690"/>
      <c r="R24" s="486">
        <v>0.93</v>
      </c>
      <c r="S24" s="1391" t="s">
        <v>322</v>
      </c>
      <c r="T24" s="690"/>
      <c r="U24" s="568">
        <v>0.86</v>
      </c>
      <c r="V24" s="1391" t="s">
        <v>323</v>
      </c>
      <c r="W24" s="690"/>
      <c r="X24" s="493">
        <v>0.83</v>
      </c>
      <c r="Y24" s="1391" t="s">
        <v>277</v>
      </c>
      <c r="Z24" s="690"/>
      <c r="AA24" s="486">
        <v>0.75</v>
      </c>
      <c r="AB24" s="691" t="s">
        <v>117</v>
      </c>
      <c r="AC24" s="692"/>
      <c r="AD24" s="493">
        <v>0.7</v>
      </c>
    </row>
    <row r="25" spans="1:32" s="175" customFormat="1" ht="33" customHeight="1" thickBot="1">
      <c r="B25" s="487" t="s">
        <v>276</v>
      </c>
      <c r="C25" s="488" t="s">
        <v>275</v>
      </c>
      <c r="D25" s="488" t="s">
        <v>43</v>
      </c>
      <c r="E25" s="391" t="s">
        <v>274</v>
      </c>
      <c r="F25" s="1457"/>
      <c r="G25" s="1459"/>
      <c r="H25" s="1461"/>
      <c r="I25" s="488" t="s">
        <v>273</v>
      </c>
      <c r="J25" s="488" t="s">
        <v>272</v>
      </c>
      <c r="K25" s="518" t="s">
        <v>84</v>
      </c>
      <c r="L25" s="517" t="s">
        <v>271</v>
      </c>
      <c r="M25" s="489" t="s">
        <v>270</v>
      </c>
      <c r="N25" s="490" t="s">
        <v>269</v>
      </c>
      <c r="O25" s="491" t="s">
        <v>268</v>
      </c>
      <c r="P25" s="489" t="s">
        <v>270</v>
      </c>
      <c r="Q25" s="490" t="s">
        <v>269</v>
      </c>
      <c r="R25" s="491" t="s">
        <v>268</v>
      </c>
      <c r="S25" s="536" t="s">
        <v>235</v>
      </c>
      <c r="T25" s="537" t="s">
        <v>236</v>
      </c>
      <c r="U25" s="538" t="s">
        <v>268</v>
      </c>
      <c r="V25" s="489" t="s">
        <v>270</v>
      </c>
      <c r="W25" s="490" t="s">
        <v>269</v>
      </c>
      <c r="X25" s="491" t="s">
        <v>268</v>
      </c>
      <c r="Y25" s="489" t="s">
        <v>270</v>
      </c>
      <c r="Z25" s="490" t="s">
        <v>269</v>
      </c>
      <c r="AA25" s="491" t="s">
        <v>268</v>
      </c>
      <c r="AB25" s="489" t="s">
        <v>270</v>
      </c>
      <c r="AC25" s="490" t="s">
        <v>269</v>
      </c>
      <c r="AD25" s="491" t="s">
        <v>268</v>
      </c>
    </row>
    <row r="26" spans="1:32" s="175" customFormat="1" ht="18" customHeight="1">
      <c r="B26" s="996" t="s">
        <v>267</v>
      </c>
      <c r="C26" s="1319" t="s">
        <v>266</v>
      </c>
      <c r="D26" s="1320"/>
      <c r="E26" s="1321"/>
      <c r="F26" s="1423">
        <v>1000</v>
      </c>
      <c r="G26" s="1424">
        <f>F26*D27</f>
        <v>2400</v>
      </c>
      <c r="H26" s="1425">
        <f>G26*300%</f>
        <v>7200</v>
      </c>
      <c r="I26" s="1425">
        <f>G26*10%*9</f>
        <v>2160</v>
      </c>
      <c r="J26" s="1425">
        <f>G26*9%*2</f>
        <v>432</v>
      </c>
      <c r="K26" s="1425"/>
      <c r="L26" s="1464"/>
      <c r="M26" s="213">
        <f>H26</f>
        <v>7200</v>
      </c>
      <c r="N26" s="217">
        <f>H26+I26+J26</f>
        <v>9792</v>
      </c>
      <c r="O26" s="215">
        <f>H26+I26+J26+K26+L26</f>
        <v>9792</v>
      </c>
      <c r="P26" s="213">
        <f>$M26*$R$24</f>
        <v>6696</v>
      </c>
      <c r="Q26" s="214">
        <f>$N26*$R$24</f>
        <v>9106.5600000000013</v>
      </c>
      <c r="R26" s="558">
        <f>$O26*$R$24</f>
        <v>9106.5600000000013</v>
      </c>
      <c r="S26" s="213">
        <f>$M26*$U$24</f>
        <v>6192</v>
      </c>
      <c r="T26" s="214">
        <f>$N26*$U$24</f>
        <v>8421.119999999999</v>
      </c>
      <c r="U26" s="215">
        <f>$O26*$U$24</f>
        <v>8421.119999999999</v>
      </c>
      <c r="V26" s="217">
        <f>$M26*$X$24</f>
        <v>5976</v>
      </c>
      <c r="W26" s="214">
        <f>$N26*$X$24</f>
        <v>8127.36</v>
      </c>
      <c r="X26" s="215">
        <f>$O26*$X$24</f>
        <v>8127.36</v>
      </c>
      <c r="Y26" s="213">
        <f>$M26*$AA$24</f>
        <v>5400</v>
      </c>
      <c r="Z26" s="214">
        <f>$N26*$AA$24</f>
        <v>7344</v>
      </c>
      <c r="AA26" s="215">
        <f>$O26*$AA$24</f>
        <v>7344</v>
      </c>
      <c r="AB26" s="213">
        <f>$M26*$AD$24</f>
        <v>5040</v>
      </c>
      <c r="AC26" s="214">
        <f>$N26*$AD$24</f>
        <v>6854.4</v>
      </c>
      <c r="AD26" s="215">
        <f>$O26*$AD$24</f>
        <v>6854.4</v>
      </c>
    </row>
    <row r="27" spans="1:32" s="175" customFormat="1" ht="18" customHeight="1">
      <c r="B27" s="997"/>
      <c r="C27" s="347" t="s">
        <v>264</v>
      </c>
      <c r="D27" s="300">
        <v>2.4</v>
      </c>
      <c r="E27" s="516"/>
      <c r="F27" s="1047"/>
      <c r="G27" s="1086"/>
      <c r="H27" s="721"/>
      <c r="I27" s="721"/>
      <c r="J27" s="721"/>
      <c r="K27" s="1048"/>
      <c r="L27" s="1049"/>
      <c r="M27" s="513">
        <f t="shared" ref="M27:AD27" si="0">M26/$F26</f>
        <v>7.2</v>
      </c>
      <c r="N27" s="512">
        <f t="shared" si="0"/>
        <v>9.7919999999999998</v>
      </c>
      <c r="O27" s="511">
        <f t="shared" si="0"/>
        <v>9.7919999999999998</v>
      </c>
      <c r="P27" s="513">
        <f t="shared" si="0"/>
        <v>6.6959999999999997</v>
      </c>
      <c r="Q27" s="512">
        <f t="shared" si="0"/>
        <v>9.1065600000000018</v>
      </c>
      <c r="R27" s="559">
        <f t="shared" si="0"/>
        <v>9.1065600000000018</v>
      </c>
      <c r="S27" s="513">
        <f t="shared" ref="S27:U27" si="1">S26/$F26</f>
        <v>6.1920000000000002</v>
      </c>
      <c r="T27" s="561">
        <f t="shared" si="1"/>
        <v>8.4211199999999984</v>
      </c>
      <c r="U27" s="511">
        <f t="shared" si="1"/>
        <v>8.4211199999999984</v>
      </c>
      <c r="V27" s="512">
        <f t="shared" si="0"/>
        <v>5.976</v>
      </c>
      <c r="W27" s="512">
        <f t="shared" si="0"/>
        <v>8.1273599999999995</v>
      </c>
      <c r="X27" s="511">
        <f t="shared" si="0"/>
        <v>8.1273599999999995</v>
      </c>
      <c r="Y27" s="513">
        <f t="shared" si="0"/>
        <v>5.4</v>
      </c>
      <c r="Z27" s="512">
        <f t="shared" si="0"/>
        <v>7.3440000000000003</v>
      </c>
      <c r="AA27" s="511">
        <f t="shared" si="0"/>
        <v>7.3440000000000003</v>
      </c>
      <c r="AB27" s="513">
        <f t="shared" si="0"/>
        <v>5.04</v>
      </c>
      <c r="AC27" s="512">
        <f t="shared" si="0"/>
        <v>6.8544</v>
      </c>
      <c r="AD27" s="511">
        <f t="shared" si="0"/>
        <v>6.8544</v>
      </c>
    </row>
    <row r="28" spans="1:32" s="167" customFormat="1" ht="18" customHeight="1">
      <c r="B28" s="997"/>
      <c r="C28" s="1328" t="s">
        <v>265</v>
      </c>
      <c r="D28" s="1329"/>
      <c r="E28" s="1330"/>
      <c r="F28" s="711">
        <v>1000</v>
      </c>
      <c r="G28" s="1465">
        <f>F28*D29</f>
        <v>2500</v>
      </c>
      <c r="H28" s="1030">
        <f>G28*300%</f>
        <v>7500</v>
      </c>
      <c r="I28" s="1030">
        <f>G28*10%*9</f>
        <v>2250</v>
      </c>
      <c r="J28" s="1030">
        <f>G28*9%*2</f>
        <v>450</v>
      </c>
      <c r="K28" s="712"/>
      <c r="L28" s="713"/>
      <c r="M28" s="240">
        <f>H28</f>
        <v>7500</v>
      </c>
      <c r="N28" s="231">
        <f>H28+I28+J28</f>
        <v>10200</v>
      </c>
      <c r="O28" s="241">
        <f>H28+I28+J28+K28+L28</f>
        <v>10200</v>
      </c>
      <c r="P28" s="226">
        <f>$M28*$R$24</f>
        <v>6975</v>
      </c>
      <c r="Q28" s="227">
        <f>$N28*$R$24</f>
        <v>9486</v>
      </c>
      <c r="R28" s="560">
        <f>$O28*$R$24</f>
        <v>9486</v>
      </c>
      <c r="S28" s="226">
        <f>$M28*$U$24</f>
        <v>6450</v>
      </c>
      <c r="T28" s="227">
        <f>$N28*$U$24</f>
        <v>8772</v>
      </c>
      <c r="U28" s="228">
        <f>$O28*$U$24</f>
        <v>8772</v>
      </c>
      <c r="V28" s="382">
        <f>$M28*$X$24</f>
        <v>6225</v>
      </c>
      <c r="W28" s="227">
        <f>$N28*$X$24</f>
        <v>8466</v>
      </c>
      <c r="X28" s="228">
        <f>$O28*$X$24</f>
        <v>8466</v>
      </c>
      <c r="Y28" s="226">
        <f>$M28*$AA$24</f>
        <v>5625</v>
      </c>
      <c r="Z28" s="227">
        <f>$N28*$AA$24</f>
        <v>7650</v>
      </c>
      <c r="AA28" s="228">
        <f>$O28*$AA$24</f>
        <v>7650</v>
      </c>
      <c r="AB28" s="226">
        <f>$M28*$AD$24</f>
        <v>5250</v>
      </c>
      <c r="AC28" s="227">
        <f>$N28*$AD$24</f>
        <v>7140</v>
      </c>
      <c r="AD28" s="228">
        <f>$O28*$AD$24</f>
        <v>7140</v>
      </c>
      <c r="AE28" s="175"/>
      <c r="AF28" s="175"/>
    </row>
    <row r="29" spans="1:32" s="167" customFormat="1" ht="18" customHeight="1">
      <c r="B29" s="997"/>
      <c r="C29" s="347" t="s">
        <v>264</v>
      </c>
      <c r="D29" s="300">
        <v>2.5</v>
      </c>
      <c r="E29" s="516"/>
      <c r="F29" s="1047"/>
      <c r="G29" s="1086"/>
      <c r="H29" s="1030"/>
      <c r="I29" s="1030"/>
      <c r="J29" s="1030"/>
      <c r="K29" s="1048"/>
      <c r="L29" s="1049"/>
      <c r="M29" s="513">
        <f t="shared" ref="M29:AD29" si="2">M28/$F28</f>
        <v>7.5</v>
      </c>
      <c r="N29" s="512">
        <f t="shared" si="2"/>
        <v>10.199999999999999</v>
      </c>
      <c r="O29" s="511">
        <f t="shared" si="2"/>
        <v>10.199999999999999</v>
      </c>
      <c r="P29" s="513">
        <f t="shared" si="2"/>
        <v>6.9749999999999996</v>
      </c>
      <c r="Q29" s="512">
        <f t="shared" si="2"/>
        <v>9.4860000000000007</v>
      </c>
      <c r="R29" s="559">
        <f t="shared" si="2"/>
        <v>9.4860000000000007</v>
      </c>
      <c r="S29" s="513">
        <f t="shared" ref="S29:U29" si="3">S28/$F28</f>
        <v>6.45</v>
      </c>
      <c r="T29" s="561">
        <f t="shared" si="3"/>
        <v>8.7720000000000002</v>
      </c>
      <c r="U29" s="511">
        <f t="shared" si="3"/>
        <v>8.7720000000000002</v>
      </c>
      <c r="V29" s="512">
        <f t="shared" si="2"/>
        <v>6.2249999999999996</v>
      </c>
      <c r="W29" s="512">
        <f t="shared" si="2"/>
        <v>8.4659999999999993</v>
      </c>
      <c r="X29" s="511">
        <f t="shared" si="2"/>
        <v>8.4659999999999993</v>
      </c>
      <c r="Y29" s="513">
        <f t="shared" si="2"/>
        <v>5.625</v>
      </c>
      <c r="Z29" s="512">
        <f t="shared" si="2"/>
        <v>7.65</v>
      </c>
      <c r="AA29" s="511">
        <f t="shared" si="2"/>
        <v>7.65</v>
      </c>
      <c r="AB29" s="513">
        <f t="shared" si="2"/>
        <v>5.25</v>
      </c>
      <c r="AC29" s="512">
        <f t="shared" si="2"/>
        <v>7.14</v>
      </c>
      <c r="AD29" s="511">
        <f t="shared" si="2"/>
        <v>7.14</v>
      </c>
      <c r="AE29" s="175"/>
      <c r="AF29" s="175"/>
    </row>
    <row r="30" spans="1:32" s="167" customFormat="1" ht="18" customHeight="1">
      <c r="B30" s="997"/>
      <c r="C30" s="1328" t="s">
        <v>263</v>
      </c>
      <c r="D30" s="1329"/>
      <c r="E30" s="1330"/>
      <c r="F30" s="711">
        <v>1000</v>
      </c>
      <c r="G30" s="1465">
        <f>F30*D31</f>
        <v>2400</v>
      </c>
      <c r="H30" s="1030">
        <f>G30*300%</f>
        <v>7200</v>
      </c>
      <c r="I30" s="1030">
        <f>G30*10%*9</f>
        <v>2160</v>
      </c>
      <c r="J30" s="1030">
        <f>G30*9%*2</f>
        <v>432</v>
      </c>
      <c r="K30" s="712"/>
      <c r="L30" s="713"/>
      <c r="M30" s="240">
        <f>H30</f>
        <v>7200</v>
      </c>
      <c r="N30" s="231">
        <f>H30+I30+J30</f>
        <v>9792</v>
      </c>
      <c r="O30" s="241">
        <f>H30+I30+J30+K30+L30</f>
        <v>9792</v>
      </c>
      <c r="P30" s="226">
        <f>$M30*$R$24</f>
        <v>6696</v>
      </c>
      <c r="Q30" s="227">
        <f>$N30*$R$24</f>
        <v>9106.5600000000013</v>
      </c>
      <c r="R30" s="560">
        <f>$O30*$R$24</f>
        <v>9106.5600000000013</v>
      </c>
      <c r="S30" s="226">
        <f>$M30*$U$24</f>
        <v>6192</v>
      </c>
      <c r="T30" s="227">
        <f>$N30*$U$24</f>
        <v>8421.119999999999</v>
      </c>
      <c r="U30" s="228">
        <f>$O30*$U$24</f>
        <v>8421.119999999999</v>
      </c>
      <c r="V30" s="382">
        <f>$M30*$X$24</f>
        <v>5976</v>
      </c>
      <c r="W30" s="227">
        <f>$N30*$X$24</f>
        <v>8127.36</v>
      </c>
      <c r="X30" s="228">
        <f>$O30*$X$24</f>
        <v>8127.36</v>
      </c>
      <c r="Y30" s="226">
        <f>$M30*$AA$24</f>
        <v>5400</v>
      </c>
      <c r="Z30" s="227">
        <f>$N30*$AA$24</f>
        <v>7344</v>
      </c>
      <c r="AA30" s="228">
        <f>$O30*$AA$24</f>
        <v>7344</v>
      </c>
      <c r="AB30" s="226">
        <f>$M30*$AD$24</f>
        <v>5040</v>
      </c>
      <c r="AC30" s="227">
        <f>$N30*$AD$24</f>
        <v>6854.4</v>
      </c>
      <c r="AD30" s="228">
        <f>$O30*$AD$24</f>
        <v>6854.4</v>
      </c>
      <c r="AE30" s="175"/>
      <c r="AF30" s="175"/>
    </row>
    <row r="31" spans="1:32" s="167" customFormat="1" ht="18" customHeight="1">
      <c r="B31" s="997"/>
      <c r="C31" s="347" t="s">
        <v>262</v>
      </c>
      <c r="D31" s="300">
        <v>2.4</v>
      </c>
      <c r="E31" s="516"/>
      <c r="F31" s="1047"/>
      <c r="G31" s="1086"/>
      <c r="H31" s="1030"/>
      <c r="I31" s="1030"/>
      <c r="J31" s="1030"/>
      <c r="K31" s="1048"/>
      <c r="L31" s="1049"/>
      <c r="M31" s="513">
        <f t="shared" ref="M31:AD31" si="4">M30/$F30</f>
        <v>7.2</v>
      </c>
      <c r="N31" s="512">
        <f t="shared" si="4"/>
        <v>9.7919999999999998</v>
      </c>
      <c r="O31" s="511">
        <f t="shared" si="4"/>
        <v>9.7919999999999998</v>
      </c>
      <c r="P31" s="513">
        <f t="shared" si="4"/>
        <v>6.6959999999999997</v>
      </c>
      <c r="Q31" s="512">
        <f t="shared" si="4"/>
        <v>9.1065600000000018</v>
      </c>
      <c r="R31" s="559">
        <f t="shared" si="4"/>
        <v>9.1065600000000018</v>
      </c>
      <c r="S31" s="513">
        <f t="shared" ref="S31:U31" si="5">S30/$F30</f>
        <v>6.1920000000000002</v>
      </c>
      <c r="T31" s="561">
        <f t="shared" si="5"/>
        <v>8.4211199999999984</v>
      </c>
      <c r="U31" s="511">
        <f t="shared" si="5"/>
        <v>8.4211199999999984</v>
      </c>
      <c r="V31" s="512">
        <f t="shared" si="4"/>
        <v>5.976</v>
      </c>
      <c r="W31" s="512">
        <f t="shared" si="4"/>
        <v>8.1273599999999995</v>
      </c>
      <c r="X31" s="511">
        <f t="shared" si="4"/>
        <v>8.1273599999999995</v>
      </c>
      <c r="Y31" s="513">
        <f t="shared" si="4"/>
        <v>5.4</v>
      </c>
      <c r="Z31" s="512">
        <f t="shared" si="4"/>
        <v>7.3440000000000003</v>
      </c>
      <c r="AA31" s="511">
        <f t="shared" si="4"/>
        <v>7.3440000000000003</v>
      </c>
      <c r="AB31" s="513">
        <f t="shared" si="4"/>
        <v>5.04</v>
      </c>
      <c r="AC31" s="512">
        <f t="shared" si="4"/>
        <v>6.8544</v>
      </c>
      <c r="AD31" s="511">
        <f t="shared" si="4"/>
        <v>6.8544</v>
      </c>
      <c r="AE31" s="175"/>
      <c r="AF31" s="175"/>
    </row>
    <row r="32" spans="1:32" s="167" customFormat="1" ht="18" customHeight="1">
      <c r="B32" s="997"/>
      <c r="C32" s="1328" t="s">
        <v>261</v>
      </c>
      <c r="D32" s="1329"/>
      <c r="E32" s="1330"/>
      <c r="F32" s="711">
        <v>1000</v>
      </c>
      <c r="G32" s="1465">
        <f>F32*D33</f>
        <v>2400</v>
      </c>
      <c r="H32" s="1030">
        <f>G32*300%</f>
        <v>7200</v>
      </c>
      <c r="I32" s="1030">
        <f>G32*10%*9</f>
        <v>2160</v>
      </c>
      <c r="J32" s="1030">
        <f>G32*9%*2</f>
        <v>432</v>
      </c>
      <c r="K32" s="712"/>
      <c r="L32" s="713"/>
      <c r="M32" s="240">
        <f>H32</f>
        <v>7200</v>
      </c>
      <c r="N32" s="231">
        <f>H32+I32+J32</f>
        <v>9792</v>
      </c>
      <c r="O32" s="241">
        <f>H32+I32+J32+K32+L32</f>
        <v>9792</v>
      </c>
      <c r="P32" s="226">
        <f>$M32*$R$24</f>
        <v>6696</v>
      </c>
      <c r="Q32" s="227">
        <f>$N32*$R$24</f>
        <v>9106.5600000000013</v>
      </c>
      <c r="R32" s="560">
        <f>$O32*$R$24</f>
        <v>9106.5600000000013</v>
      </c>
      <c r="S32" s="226">
        <f>$M32*$U$24</f>
        <v>6192</v>
      </c>
      <c r="T32" s="227">
        <f>$N32*$U$24</f>
        <v>8421.119999999999</v>
      </c>
      <c r="U32" s="228">
        <f>$O32*$U$24</f>
        <v>8421.119999999999</v>
      </c>
      <c r="V32" s="382">
        <f>$M32*$X$24</f>
        <v>5976</v>
      </c>
      <c r="W32" s="227">
        <f>$N32*$X$24</f>
        <v>8127.36</v>
      </c>
      <c r="X32" s="228">
        <f>$O32*$X$24</f>
        <v>8127.36</v>
      </c>
      <c r="Y32" s="226">
        <f>$M32*$AA$24</f>
        <v>5400</v>
      </c>
      <c r="Z32" s="227">
        <f>$N32*$AA$24</f>
        <v>7344</v>
      </c>
      <c r="AA32" s="228">
        <f>$O32*$AA$24</f>
        <v>7344</v>
      </c>
      <c r="AB32" s="226">
        <f>$M32*$AD$24</f>
        <v>5040</v>
      </c>
      <c r="AC32" s="227">
        <f>$N32*$AD$24</f>
        <v>6854.4</v>
      </c>
      <c r="AD32" s="228">
        <f>$O32*$AD$24</f>
        <v>6854.4</v>
      </c>
      <c r="AE32" s="175"/>
      <c r="AF32" s="175"/>
    </row>
    <row r="33" spans="2:32" s="167" customFormat="1" ht="18" customHeight="1" thickBot="1">
      <c r="B33" s="997"/>
      <c r="C33" s="347" t="s">
        <v>260</v>
      </c>
      <c r="D33" s="300">
        <v>2.4</v>
      </c>
      <c r="E33" s="516"/>
      <c r="F33" s="1047"/>
      <c r="G33" s="1086"/>
      <c r="H33" s="1030"/>
      <c r="I33" s="1030"/>
      <c r="J33" s="1030"/>
      <c r="K33" s="1048"/>
      <c r="L33" s="1049"/>
      <c r="M33" s="513">
        <f t="shared" ref="M33:AD33" si="6">M32/$F32</f>
        <v>7.2</v>
      </c>
      <c r="N33" s="512">
        <f t="shared" si="6"/>
        <v>9.7919999999999998</v>
      </c>
      <c r="O33" s="511">
        <f t="shared" si="6"/>
        <v>9.7919999999999998</v>
      </c>
      <c r="P33" s="513">
        <f t="shared" si="6"/>
        <v>6.6959999999999997</v>
      </c>
      <c r="Q33" s="512">
        <f t="shared" si="6"/>
        <v>9.1065600000000018</v>
      </c>
      <c r="R33" s="559">
        <f t="shared" si="6"/>
        <v>9.1065600000000018</v>
      </c>
      <c r="S33" s="509">
        <f t="shared" ref="S33:U33" si="7">S32/$F32</f>
        <v>6.1920000000000002</v>
      </c>
      <c r="T33" s="562">
        <f t="shared" si="7"/>
        <v>8.4211199999999984</v>
      </c>
      <c r="U33" s="507">
        <f t="shared" si="7"/>
        <v>8.4211199999999984</v>
      </c>
      <c r="V33" s="512">
        <f t="shared" si="6"/>
        <v>5.976</v>
      </c>
      <c r="W33" s="512">
        <f t="shared" si="6"/>
        <v>8.1273599999999995</v>
      </c>
      <c r="X33" s="511">
        <f t="shared" si="6"/>
        <v>8.1273599999999995</v>
      </c>
      <c r="Y33" s="513">
        <f t="shared" si="6"/>
        <v>5.4</v>
      </c>
      <c r="Z33" s="512">
        <f t="shared" si="6"/>
        <v>7.3440000000000003</v>
      </c>
      <c r="AA33" s="511">
        <f t="shared" si="6"/>
        <v>7.3440000000000003</v>
      </c>
      <c r="AB33" s="513">
        <f t="shared" si="6"/>
        <v>5.04</v>
      </c>
      <c r="AC33" s="512">
        <f t="shared" si="6"/>
        <v>6.8544</v>
      </c>
      <c r="AD33" s="511">
        <f t="shared" si="6"/>
        <v>6.8544</v>
      </c>
      <c r="AE33" s="175"/>
      <c r="AF33" s="175"/>
    </row>
    <row r="34" spans="2:32" s="175" customFormat="1" ht="18" customHeight="1">
      <c r="B34" s="996" t="s">
        <v>259</v>
      </c>
      <c r="C34" s="1319" t="s">
        <v>258</v>
      </c>
      <c r="D34" s="1320"/>
      <c r="E34" s="1321"/>
      <c r="F34" s="1423">
        <v>1000</v>
      </c>
      <c r="G34" s="1424">
        <f>F34*D35</f>
        <v>750</v>
      </c>
      <c r="H34" s="1425">
        <f>G34*300%</f>
        <v>2250</v>
      </c>
      <c r="I34" s="1425">
        <f>G34*10%*9</f>
        <v>675</v>
      </c>
      <c r="J34" s="1425">
        <f>G34*9%*2</f>
        <v>135</v>
      </c>
      <c r="K34" s="1425"/>
      <c r="L34" s="1464"/>
      <c r="M34" s="213">
        <f>H34</f>
        <v>2250</v>
      </c>
      <c r="N34" s="217">
        <f>H34+I34+J34</f>
        <v>3060</v>
      </c>
      <c r="O34" s="215">
        <f>H34+I34+J34+K34+L34</f>
        <v>3060</v>
      </c>
      <c r="P34" s="213">
        <f>$M34*$R$24</f>
        <v>2092.5</v>
      </c>
      <c r="Q34" s="214">
        <f>$N34*$R$24</f>
        <v>2845.8</v>
      </c>
      <c r="R34" s="558">
        <f>$O34*$R$24</f>
        <v>2845.8</v>
      </c>
      <c r="S34" s="213">
        <f>$M34*$U$24</f>
        <v>1935</v>
      </c>
      <c r="T34" s="214">
        <f>$N34*$U$24</f>
        <v>2631.6</v>
      </c>
      <c r="U34" s="215">
        <f>$O34*$U$24</f>
        <v>2631.6</v>
      </c>
      <c r="V34" s="217">
        <f>$M34*$X$24</f>
        <v>1867.5</v>
      </c>
      <c r="W34" s="214">
        <f>$N34*$X$24</f>
        <v>2539.7999999999997</v>
      </c>
      <c r="X34" s="215">
        <f>$O34*$X$24</f>
        <v>2539.7999999999997</v>
      </c>
      <c r="Y34" s="213">
        <f>$M34*$AA$24</f>
        <v>1687.5</v>
      </c>
      <c r="Z34" s="214">
        <f>$N34*$AA$24</f>
        <v>2295</v>
      </c>
      <c r="AA34" s="215">
        <f>$O34*$AA$24</f>
        <v>2295</v>
      </c>
      <c r="AB34" s="213">
        <f>$M34*$AD$24</f>
        <v>1575</v>
      </c>
      <c r="AC34" s="214">
        <f>$N34*$AD$24</f>
        <v>2142</v>
      </c>
      <c r="AD34" s="215">
        <f>$O34*$AD$24</f>
        <v>2142</v>
      </c>
    </row>
    <row r="35" spans="2:32" s="175" customFormat="1" ht="18" customHeight="1">
      <c r="B35" s="997"/>
      <c r="C35" s="347" t="s">
        <v>257</v>
      </c>
      <c r="D35" s="300">
        <v>0.75</v>
      </c>
      <c r="E35" s="516"/>
      <c r="F35" s="1047"/>
      <c r="G35" s="1086"/>
      <c r="H35" s="1048"/>
      <c r="I35" s="1048"/>
      <c r="J35" s="1048"/>
      <c r="K35" s="1048"/>
      <c r="L35" s="1049"/>
      <c r="M35" s="513">
        <f t="shared" ref="M35:AD35" si="8">M34/$F34</f>
        <v>2.25</v>
      </c>
      <c r="N35" s="512">
        <f t="shared" si="8"/>
        <v>3.06</v>
      </c>
      <c r="O35" s="511">
        <f t="shared" si="8"/>
        <v>3.06</v>
      </c>
      <c r="P35" s="513">
        <f t="shared" si="8"/>
        <v>2.0924999999999998</v>
      </c>
      <c r="Q35" s="512">
        <f t="shared" si="8"/>
        <v>2.8458000000000001</v>
      </c>
      <c r="R35" s="559">
        <f t="shared" si="8"/>
        <v>2.8458000000000001</v>
      </c>
      <c r="S35" s="513">
        <f t="shared" ref="S35:U35" si="9">S34/$F34</f>
        <v>1.9350000000000001</v>
      </c>
      <c r="T35" s="561">
        <f t="shared" si="9"/>
        <v>2.6315999999999997</v>
      </c>
      <c r="U35" s="511">
        <f t="shared" si="9"/>
        <v>2.6315999999999997</v>
      </c>
      <c r="V35" s="512">
        <f t="shared" si="8"/>
        <v>1.8674999999999999</v>
      </c>
      <c r="W35" s="512">
        <f t="shared" si="8"/>
        <v>2.5397999999999996</v>
      </c>
      <c r="X35" s="511">
        <f t="shared" si="8"/>
        <v>2.5397999999999996</v>
      </c>
      <c r="Y35" s="513">
        <f t="shared" si="8"/>
        <v>1.6875</v>
      </c>
      <c r="Z35" s="512">
        <f t="shared" si="8"/>
        <v>2.2949999999999999</v>
      </c>
      <c r="AA35" s="511">
        <f t="shared" si="8"/>
        <v>2.2949999999999999</v>
      </c>
      <c r="AB35" s="513">
        <f t="shared" si="8"/>
        <v>1.575</v>
      </c>
      <c r="AC35" s="512">
        <f t="shared" si="8"/>
        <v>2.1419999999999999</v>
      </c>
      <c r="AD35" s="511">
        <f t="shared" si="8"/>
        <v>2.1419999999999999</v>
      </c>
    </row>
    <row r="36" spans="2:32" s="175" customFormat="1" ht="18" customHeight="1">
      <c r="B36" s="997"/>
      <c r="C36" s="1334" t="s">
        <v>256</v>
      </c>
      <c r="D36" s="1335"/>
      <c r="E36" s="1336"/>
      <c r="F36" s="1466">
        <v>1000</v>
      </c>
      <c r="G36" s="1465">
        <f>F36*D37</f>
        <v>1100</v>
      </c>
      <c r="H36" s="721">
        <f>G36*300%</f>
        <v>3300</v>
      </c>
      <c r="I36" s="721">
        <f>G36*10%*9</f>
        <v>990</v>
      </c>
      <c r="J36" s="721">
        <f>G36*9%*2</f>
        <v>198</v>
      </c>
      <c r="K36" s="1465"/>
      <c r="L36" s="1469"/>
      <c r="M36" s="240">
        <f>H36</f>
        <v>3300</v>
      </c>
      <c r="N36" s="231">
        <f>H36+I36+J36</f>
        <v>4488</v>
      </c>
      <c r="O36" s="241">
        <f>H36+I36+J36+K36+L36</f>
        <v>4488</v>
      </c>
      <c r="P36" s="226">
        <f>$M36*$R$24</f>
        <v>3069</v>
      </c>
      <c r="Q36" s="227">
        <f>$N36*$R$24</f>
        <v>4173.84</v>
      </c>
      <c r="R36" s="560">
        <f>$O36*$R$24</f>
        <v>4173.84</v>
      </c>
      <c r="S36" s="226">
        <f>$M36*$U$24</f>
        <v>2838</v>
      </c>
      <c r="T36" s="227">
        <f>$N36*$U$24</f>
        <v>3859.68</v>
      </c>
      <c r="U36" s="228">
        <f>$O36*$U$24</f>
        <v>3859.68</v>
      </c>
      <c r="V36" s="382">
        <f>$M36*$X$24</f>
        <v>2739</v>
      </c>
      <c r="W36" s="227">
        <f>$N36*$X$24</f>
        <v>3725.04</v>
      </c>
      <c r="X36" s="228">
        <f>$O36*$X$24</f>
        <v>3725.04</v>
      </c>
      <c r="Y36" s="226">
        <f>$M36*$AA$24</f>
        <v>2475</v>
      </c>
      <c r="Z36" s="227">
        <f>$N36*$AA$24</f>
        <v>3366</v>
      </c>
      <c r="AA36" s="228">
        <f>$O36*$AA$24</f>
        <v>3366</v>
      </c>
      <c r="AB36" s="226">
        <f>$M36*$AD$24</f>
        <v>2310</v>
      </c>
      <c r="AC36" s="227">
        <f>$N36*$AD$24</f>
        <v>3141.6</v>
      </c>
      <c r="AD36" s="228">
        <f>$O36*$AD$24</f>
        <v>3141.6</v>
      </c>
    </row>
    <row r="37" spans="2:32" s="175" customFormat="1" ht="18" customHeight="1" thickBot="1">
      <c r="B37" s="998"/>
      <c r="C37" s="349" t="s">
        <v>255</v>
      </c>
      <c r="D37" s="304">
        <v>1.1000000000000001</v>
      </c>
      <c r="E37" s="350"/>
      <c r="F37" s="1467"/>
      <c r="G37" s="1468"/>
      <c r="H37" s="721"/>
      <c r="I37" s="721"/>
      <c r="J37" s="1048"/>
      <c r="K37" s="1468"/>
      <c r="L37" s="1470"/>
      <c r="M37" s="513">
        <f t="shared" ref="M37:AD37" si="10">M36/$F36</f>
        <v>3.3</v>
      </c>
      <c r="N37" s="512">
        <f t="shared" si="10"/>
        <v>4.4880000000000004</v>
      </c>
      <c r="O37" s="511">
        <f t="shared" si="10"/>
        <v>4.4880000000000004</v>
      </c>
      <c r="P37" s="504">
        <f t="shared" si="10"/>
        <v>3.069</v>
      </c>
      <c r="Q37" s="503">
        <f t="shared" si="10"/>
        <v>4.1738400000000002</v>
      </c>
      <c r="R37" s="557">
        <f t="shared" si="10"/>
        <v>4.1738400000000002</v>
      </c>
      <c r="S37" s="509">
        <f t="shared" ref="S37:U37" si="11">S36/$F36</f>
        <v>2.8380000000000001</v>
      </c>
      <c r="T37" s="562">
        <f t="shared" si="11"/>
        <v>3.85968</v>
      </c>
      <c r="U37" s="507">
        <f t="shared" si="11"/>
        <v>3.85968</v>
      </c>
      <c r="V37" s="503">
        <f t="shared" si="10"/>
        <v>2.7389999999999999</v>
      </c>
      <c r="W37" s="503">
        <f t="shared" si="10"/>
        <v>3.7250399999999999</v>
      </c>
      <c r="X37" s="494">
        <f t="shared" si="10"/>
        <v>3.7250399999999999</v>
      </c>
      <c r="Y37" s="504">
        <f t="shared" si="10"/>
        <v>2.4750000000000001</v>
      </c>
      <c r="Z37" s="503">
        <f t="shared" si="10"/>
        <v>3.3660000000000001</v>
      </c>
      <c r="AA37" s="494">
        <f t="shared" si="10"/>
        <v>3.3660000000000001</v>
      </c>
      <c r="AB37" s="504">
        <f t="shared" si="10"/>
        <v>2.31</v>
      </c>
      <c r="AC37" s="503">
        <f t="shared" si="10"/>
        <v>3.1415999999999999</v>
      </c>
      <c r="AD37" s="494">
        <f t="shared" si="10"/>
        <v>3.1415999999999999</v>
      </c>
    </row>
    <row r="38" spans="2:32" s="175" customFormat="1" ht="17.25" customHeight="1">
      <c r="B38" s="949" t="s">
        <v>254</v>
      </c>
      <c r="C38" s="1319" t="s">
        <v>253</v>
      </c>
      <c r="D38" s="1320"/>
      <c r="E38" s="1321"/>
      <c r="F38" s="1484">
        <v>1000</v>
      </c>
      <c r="G38" s="1424">
        <f>F38*D39</f>
        <v>600</v>
      </c>
      <c r="H38" s="1424">
        <f>G38*150%</f>
        <v>900</v>
      </c>
      <c r="I38" s="1424">
        <f>G38*10%*9</f>
        <v>540</v>
      </c>
      <c r="J38" s="1424">
        <f>G38*10%*2</f>
        <v>120</v>
      </c>
      <c r="K38" s="1424">
        <f>F38*0.5%*12</f>
        <v>60</v>
      </c>
      <c r="L38" s="1471">
        <f>F38*E39*24</f>
        <v>336</v>
      </c>
      <c r="M38" s="213">
        <f>H38+K38/12</f>
        <v>905</v>
      </c>
      <c r="N38" s="217">
        <f>H38+I38+J38+K38</f>
        <v>1620</v>
      </c>
      <c r="O38" s="215">
        <f>H38+I38+J38+K38+L38</f>
        <v>1956</v>
      </c>
      <c r="P38" s="213">
        <f>$M38*$R$24</f>
        <v>841.65000000000009</v>
      </c>
      <c r="Q38" s="214">
        <f>$N38*$R$24</f>
        <v>1506.6000000000001</v>
      </c>
      <c r="R38" s="558">
        <f>$O38*$R$24</f>
        <v>1819.0800000000002</v>
      </c>
      <c r="S38" s="213">
        <f>$M38*$U$24</f>
        <v>778.3</v>
      </c>
      <c r="T38" s="214">
        <f>$N38*$U$24</f>
        <v>1393.2</v>
      </c>
      <c r="U38" s="215">
        <f>$O38*$U$24</f>
        <v>1682.16</v>
      </c>
      <c r="V38" s="217">
        <f>$M38*$X$24</f>
        <v>751.15</v>
      </c>
      <c r="W38" s="214">
        <f>$N38*$X$24</f>
        <v>1344.6</v>
      </c>
      <c r="X38" s="215">
        <f>$O38*$X$24</f>
        <v>1623.48</v>
      </c>
      <c r="Y38" s="213">
        <f>$M38*$AA$24</f>
        <v>678.75</v>
      </c>
      <c r="Z38" s="214">
        <f>$N38*$AA$24</f>
        <v>1215</v>
      </c>
      <c r="AA38" s="215">
        <f>$O38*$AA$24</f>
        <v>1467</v>
      </c>
      <c r="AB38" s="213">
        <f>$M38*$AD$24</f>
        <v>633.5</v>
      </c>
      <c r="AC38" s="214">
        <f>$N38*$AD$24</f>
        <v>1134</v>
      </c>
      <c r="AD38" s="215">
        <f>$O38*$AD$24</f>
        <v>1369.1999999999998</v>
      </c>
    </row>
    <row r="39" spans="2:32" s="175" customFormat="1" ht="18" customHeight="1" thickBot="1">
      <c r="B39" s="950"/>
      <c r="C39" s="515" t="s">
        <v>252</v>
      </c>
      <c r="D39" s="300">
        <v>0.6</v>
      </c>
      <c r="E39" s="348">
        <v>1.4E-2</v>
      </c>
      <c r="F39" s="1485"/>
      <c r="G39" s="1086"/>
      <c r="H39" s="1086"/>
      <c r="I39" s="1086"/>
      <c r="J39" s="1086"/>
      <c r="K39" s="1086"/>
      <c r="L39" s="1472"/>
      <c r="M39" s="513">
        <f t="shared" ref="M39:AD39" si="12">M38/$F38</f>
        <v>0.90500000000000003</v>
      </c>
      <c r="N39" s="512">
        <f t="shared" si="12"/>
        <v>1.62</v>
      </c>
      <c r="O39" s="511">
        <f t="shared" si="12"/>
        <v>1.956</v>
      </c>
      <c r="P39" s="513">
        <f t="shared" si="12"/>
        <v>0.84165000000000012</v>
      </c>
      <c r="Q39" s="512">
        <f t="shared" si="12"/>
        <v>1.5066000000000002</v>
      </c>
      <c r="R39" s="559">
        <f t="shared" si="12"/>
        <v>1.8190800000000003</v>
      </c>
      <c r="S39" s="513">
        <f t="shared" ref="S39:U39" si="13">S38/$F38</f>
        <v>0.77829999999999999</v>
      </c>
      <c r="T39" s="561">
        <f t="shared" si="13"/>
        <v>1.3932</v>
      </c>
      <c r="U39" s="511">
        <f t="shared" si="13"/>
        <v>1.6821600000000001</v>
      </c>
      <c r="V39" s="512">
        <f t="shared" si="12"/>
        <v>0.75114999999999998</v>
      </c>
      <c r="W39" s="512">
        <f t="shared" si="12"/>
        <v>1.3446</v>
      </c>
      <c r="X39" s="511">
        <f t="shared" si="12"/>
        <v>1.62348</v>
      </c>
      <c r="Y39" s="513">
        <f t="shared" si="12"/>
        <v>0.67874999999999996</v>
      </c>
      <c r="Z39" s="512">
        <f t="shared" si="12"/>
        <v>1.2150000000000001</v>
      </c>
      <c r="AA39" s="511">
        <f t="shared" si="12"/>
        <v>1.4670000000000001</v>
      </c>
      <c r="AB39" s="513">
        <f t="shared" si="12"/>
        <v>0.63349999999999995</v>
      </c>
      <c r="AC39" s="512">
        <f t="shared" si="12"/>
        <v>1.1339999999999999</v>
      </c>
      <c r="AD39" s="511">
        <f t="shared" si="12"/>
        <v>1.3691999999999998</v>
      </c>
    </row>
    <row r="40" spans="2:32" s="175" customFormat="1" ht="18" customHeight="1">
      <c r="B40" s="950"/>
      <c r="C40" s="1334" t="s">
        <v>251</v>
      </c>
      <c r="D40" s="1335"/>
      <c r="E40" s="1330"/>
      <c r="F40" s="1473">
        <v>1000</v>
      </c>
      <c r="G40" s="1465">
        <f>F40*D41</f>
        <v>250</v>
      </c>
      <c r="H40" s="1465">
        <f>G40*150%</f>
        <v>375</v>
      </c>
      <c r="I40" s="1465">
        <f>G40*10%*9</f>
        <v>225</v>
      </c>
      <c r="J40" s="1465">
        <f>G40*10%*2</f>
        <v>50</v>
      </c>
      <c r="K40" s="1465">
        <f>F40*1%*12</f>
        <v>120</v>
      </c>
      <c r="L40" s="1469">
        <f>F40*E41*24</f>
        <v>240</v>
      </c>
      <c r="M40" s="240">
        <f>H40+K40/12</f>
        <v>385</v>
      </c>
      <c r="N40" s="217">
        <f>H40+I40+J40+K40</f>
        <v>770</v>
      </c>
      <c r="O40" s="241">
        <f>H40+I40+J40+K40+L40</f>
        <v>1010</v>
      </c>
      <c r="P40" s="226">
        <f>$M40*$R$24</f>
        <v>358.05</v>
      </c>
      <c r="Q40" s="227">
        <f>$N40*$R$24</f>
        <v>716.1</v>
      </c>
      <c r="R40" s="560">
        <f>$O40*$R$24</f>
        <v>939.30000000000007</v>
      </c>
      <c r="S40" s="226">
        <f>$M40*$U$24</f>
        <v>331.1</v>
      </c>
      <c r="T40" s="227">
        <f>$N40*$U$24</f>
        <v>662.2</v>
      </c>
      <c r="U40" s="228">
        <f>$O40*$U$24</f>
        <v>868.6</v>
      </c>
      <c r="V40" s="382">
        <f>$M40*$X$24</f>
        <v>319.55</v>
      </c>
      <c r="W40" s="227">
        <f>$N40*$X$24</f>
        <v>639.1</v>
      </c>
      <c r="X40" s="228">
        <f>$O40*$X$24</f>
        <v>838.3</v>
      </c>
      <c r="Y40" s="226">
        <f>$M40*$AA$24</f>
        <v>288.75</v>
      </c>
      <c r="Z40" s="227">
        <f>$N40*$AA$24</f>
        <v>577.5</v>
      </c>
      <c r="AA40" s="228">
        <f>$O40*$AA$24</f>
        <v>757.5</v>
      </c>
      <c r="AB40" s="226">
        <f>$M40*$AD$24</f>
        <v>269.5</v>
      </c>
      <c r="AC40" s="227">
        <f>$N40*$AD$24</f>
        <v>539</v>
      </c>
      <c r="AD40" s="228">
        <f>$O40*$AD$24</f>
        <v>707</v>
      </c>
    </row>
    <row r="41" spans="2:32" s="175" customFormat="1" ht="18" customHeight="1" thickBot="1">
      <c r="B41" s="951"/>
      <c r="C41" s="514" t="s">
        <v>250</v>
      </c>
      <c r="D41" s="304">
        <v>0.25</v>
      </c>
      <c r="E41" s="350">
        <v>0.01</v>
      </c>
      <c r="F41" s="1474"/>
      <c r="G41" s="1468"/>
      <c r="H41" s="1468"/>
      <c r="I41" s="1468"/>
      <c r="J41" s="1468"/>
      <c r="K41" s="1468"/>
      <c r="L41" s="1470"/>
      <c r="M41" s="513">
        <f t="shared" ref="M41:AD41" si="14">M40/$F40</f>
        <v>0.38500000000000001</v>
      </c>
      <c r="N41" s="512">
        <f t="shared" si="14"/>
        <v>0.77</v>
      </c>
      <c r="O41" s="511">
        <f t="shared" si="14"/>
        <v>1.01</v>
      </c>
      <c r="P41" s="504">
        <f t="shared" si="14"/>
        <v>0.35805000000000003</v>
      </c>
      <c r="Q41" s="503">
        <f t="shared" si="14"/>
        <v>0.71610000000000007</v>
      </c>
      <c r="R41" s="557">
        <f t="shared" si="14"/>
        <v>0.93930000000000002</v>
      </c>
      <c r="S41" s="504">
        <f t="shared" ref="S41:U41" si="15">S40/$F40</f>
        <v>0.33110000000000001</v>
      </c>
      <c r="T41" s="540">
        <f t="shared" si="15"/>
        <v>0.66220000000000001</v>
      </c>
      <c r="U41" s="541">
        <f t="shared" si="15"/>
        <v>0.86860000000000004</v>
      </c>
      <c r="V41" s="503">
        <f t="shared" si="14"/>
        <v>0.31955</v>
      </c>
      <c r="W41" s="503">
        <f t="shared" si="14"/>
        <v>0.6391</v>
      </c>
      <c r="X41" s="494">
        <f t="shared" si="14"/>
        <v>0.83829999999999993</v>
      </c>
      <c r="Y41" s="504">
        <f t="shared" si="14"/>
        <v>0.28875000000000001</v>
      </c>
      <c r="Z41" s="503">
        <f t="shared" si="14"/>
        <v>0.57750000000000001</v>
      </c>
      <c r="AA41" s="494">
        <f t="shared" si="14"/>
        <v>0.75749999999999995</v>
      </c>
      <c r="AB41" s="504">
        <f t="shared" si="14"/>
        <v>0.26950000000000002</v>
      </c>
      <c r="AC41" s="503">
        <f t="shared" si="14"/>
        <v>0.53900000000000003</v>
      </c>
      <c r="AD41" s="494">
        <f t="shared" si="14"/>
        <v>0.70699999999999996</v>
      </c>
    </row>
    <row r="42" spans="2:32" s="167" customFormat="1" ht="18" customHeight="1">
      <c r="B42" s="950" t="s">
        <v>249</v>
      </c>
      <c r="C42" s="1481" t="s">
        <v>248</v>
      </c>
      <c r="D42" s="1482"/>
      <c r="E42" s="1483"/>
      <c r="F42" s="1466">
        <v>1000</v>
      </c>
      <c r="G42" s="1465">
        <f>F42*D43</f>
        <v>300</v>
      </c>
      <c r="H42" s="1425">
        <f>G42*33.5%</f>
        <v>100.5</v>
      </c>
      <c r="I42" s="1425">
        <f>G42*33.5%*9</f>
        <v>904.5</v>
      </c>
      <c r="J42" s="1425">
        <f>G42*33.5%*2</f>
        <v>201</v>
      </c>
      <c r="K42" s="1465"/>
      <c r="L42" s="1469"/>
      <c r="M42" s="213">
        <f>H42</f>
        <v>100.5</v>
      </c>
      <c r="N42" s="217">
        <f>H42+I42+J42</f>
        <v>1206</v>
      </c>
      <c r="O42" s="215">
        <f>H42+I42+J42+K42+L42</f>
        <v>1206</v>
      </c>
      <c r="P42" s="226">
        <f>$M42*$R$24</f>
        <v>93.465000000000003</v>
      </c>
      <c r="Q42" s="227">
        <f>$N42*$R$24</f>
        <v>1121.5800000000002</v>
      </c>
      <c r="R42" s="228">
        <f>$O42*$R$24</f>
        <v>1121.5800000000002</v>
      </c>
      <c r="S42" s="240">
        <f>$M42*$U$24</f>
        <v>86.429999999999993</v>
      </c>
      <c r="T42" s="230">
        <f>$N42*$U$24</f>
        <v>1037.1600000000001</v>
      </c>
      <c r="U42" s="241">
        <f>$O42*$U$24</f>
        <v>1037.1600000000001</v>
      </c>
      <c r="V42" s="226">
        <f>$M42*$X$24</f>
        <v>83.414999999999992</v>
      </c>
      <c r="W42" s="227">
        <f>$N42*$X$24</f>
        <v>1000.9799999999999</v>
      </c>
      <c r="X42" s="228">
        <f>$O42*$X$24</f>
        <v>1000.9799999999999</v>
      </c>
      <c r="Y42" s="226">
        <f>$M42*$AA$24</f>
        <v>75.375</v>
      </c>
      <c r="Z42" s="227">
        <f>$N42*$AA$24</f>
        <v>904.5</v>
      </c>
      <c r="AA42" s="228">
        <f>$O42*$AA$24</f>
        <v>904.5</v>
      </c>
      <c r="AB42" s="226">
        <f>$M42*$AD$24</f>
        <v>70.349999999999994</v>
      </c>
      <c r="AC42" s="227">
        <f>$N42*$AD$24</f>
        <v>844.19999999999993</v>
      </c>
      <c r="AD42" s="228">
        <f>$O42*$AD$24</f>
        <v>844.19999999999993</v>
      </c>
      <c r="AE42" s="175"/>
      <c r="AF42" s="175"/>
    </row>
    <row r="43" spans="2:32" s="167" customFormat="1" ht="18" customHeight="1" thickBot="1">
      <c r="B43" s="951"/>
      <c r="C43" s="378" t="s">
        <v>247</v>
      </c>
      <c r="D43" s="304">
        <v>0.3</v>
      </c>
      <c r="E43" s="510"/>
      <c r="F43" s="1467"/>
      <c r="G43" s="1468"/>
      <c r="H43" s="721"/>
      <c r="I43" s="721"/>
      <c r="J43" s="1048"/>
      <c r="K43" s="1468"/>
      <c r="L43" s="1470"/>
      <c r="M43" s="509">
        <f t="shared" ref="M43:AD43" si="16">M42/$F42</f>
        <v>0.10050000000000001</v>
      </c>
      <c r="N43" s="508">
        <f t="shared" si="16"/>
        <v>1.206</v>
      </c>
      <c r="O43" s="507">
        <f t="shared" si="16"/>
        <v>1.206</v>
      </c>
      <c r="P43" s="502">
        <f t="shared" si="16"/>
        <v>9.3465000000000006E-2</v>
      </c>
      <c r="Q43" s="503">
        <f t="shared" si="16"/>
        <v>1.1215800000000002</v>
      </c>
      <c r="R43" s="494">
        <f t="shared" si="16"/>
        <v>1.1215800000000002</v>
      </c>
      <c r="S43" s="502">
        <f t="shared" ref="S43:U43" si="17">S42/$F42</f>
        <v>8.6429999999999993E-2</v>
      </c>
      <c r="T43" s="503">
        <f t="shared" si="17"/>
        <v>1.0371600000000001</v>
      </c>
      <c r="U43" s="541">
        <f t="shared" si="17"/>
        <v>1.0371600000000001</v>
      </c>
      <c r="V43" s="502">
        <f t="shared" si="16"/>
        <v>8.3414999999999989E-2</v>
      </c>
      <c r="W43" s="503">
        <f t="shared" si="16"/>
        <v>1.00098</v>
      </c>
      <c r="X43" s="494">
        <f t="shared" si="16"/>
        <v>1.00098</v>
      </c>
      <c r="Y43" s="504">
        <f t="shared" si="16"/>
        <v>7.5374999999999998E-2</v>
      </c>
      <c r="Z43" s="503">
        <f t="shared" si="16"/>
        <v>0.90449999999999997</v>
      </c>
      <c r="AA43" s="494">
        <f t="shared" si="16"/>
        <v>0.90449999999999997</v>
      </c>
      <c r="AB43" s="504">
        <f t="shared" si="16"/>
        <v>7.0349999999999996E-2</v>
      </c>
      <c r="AC43" s="503">
        <f t="shared" si="16"/>
        <v>0.84419999999999995</v>
      </c>
      <c r="AD43" s="494">
        <f t="shared" si="16"/>
        <v>0.84419999999999995</v>
      </c>
      <c r="AE43" s="175"/>
      <c r="AF43" s="175"/>
    </row>
    <row r="44" spans="2:32" s="175" customFormat="1" ht="18" customHeight="1">
      <c r="B44" s="1475" t="s">
        <v>246</v>
      </c>
      <c r="C44" s="1477" t="s">
        <v>245</v>
      </c>
      <c r="D44" s="1478"/>
      <c r="E44" s="1479"/>
      <c r="F44" s="1480">
        <v>100000</v>
      </c>
      <c r="G44" s="1424"/>
      <c r="H44" s="1424">
        <f>F44*D45</f>
        <v>2000</v>
      </c>
      <c r="I44" s="1424"/>
      <c r="J44" s="1424"/>
      <c r="K44" s="1424"/>
      <c r="L44" s="1471"/>
      <c r="M44" s="226">
        <f>H44</f>
        <v>2000</v>
      </c>
      <c r="N44" s="382">
        <f>H44+I44+J44</f>
        <v>2000</v>
      </c>
      <c r="O44" s="228">
        <f>H44+I44+J44+K44+L44</f>
        <v>2000</v>
      </c>
      <c r="P44" s="240">
        <f>$M44*$R$24</f>
        <v>1860</v>
      </c>
      <c r="Q44" s="230">
        <f>$N44*$R$24</f>
        <v>1860</v>
      </c>
      <c r="R44" s="241">
        <f>$O44*$R$24</f>
        <v>1860</v>
      </c>
      <c r="S44" s="213">
        <f>$M44*$U$24</f>
        <v>1720</v>
      </c>
      <c r="T44" s="214">
        <f>$N44*$U$24</f>
        <v>1720</v>
      </c>
      <c r="U44" s="215">
        <f>$O44*$U$24</f>
        <v>1720</v>
      </c>
      <c r="V44" s="240">
        <f>$M44*$X$24</f>
        <v>1660</v>
      </c>
      <c r="W44" s="230">
        <f>$N44*$X$24</f>
        <v>1660</v>
      </c>
      <c r="X44" s="241">
        <f>$O44*$X$24</f>
        <v>1660</v>
      </c>
      <c r="Y44" s="240">
        <f>$M44*$AA$24</f>
        <v>1500</v>
      </c>
      <c r="Z44" s="230">
        <f>$N44*$AA$24</f>
        <v>1500</v>
      </c>
      <c r="AA44" s="241">
        <f>$O44*$AA$24</f>
        <v>1500</v>
      </c>
      <c r="AB44" s="240">
        <f>$M44*$AD$24</f>
        <v>1400</v>
      </c>
      <c r="AC44" s="230">
        <f>$N44*$AD$24</f>
        <v>1400</v>
      </c>
      <c r="AD44" s="241">
        <f>$O44*$AD$24</f>
        <v>1400</v>
      </c>
    </row>
    <row r="45" spans="2:32" s="175" customFormat="1" ht="18" customHeight="1" thickBot="1">
      <c r="B45" s="1476"/>
      <c r="C45" s="506" t="s">
        <v>244</v>
      </c>
      <c r="D45" s="506">
        <v>0.02</v>
      </c>
      <c r="E45" s="505"/>
      <c r="F45" s="1467"/>
      <c r="G45" s="1468"/>
      <c r="H45" s="1468"/>
      <c r="I45" s="1468"/>
      <c r="J45" s="1468"/>
      <c r="K45" s="1468"/>
      <c r="L45" s="1470"/>
      <c r="M45" s="504">
        <f t="shared" ref="M45:AD45" si="18">M44/$F44</f>
        <v>0.02</v>
      </c>
      <c r="N45" s="503">
        <f t="shared" si="18"/>
        <v>0.02</v>
      </c>
      <c r="O45" s="494">
        <f t="shared" si="18"/>
        <v>0.02</v>
      </c>
      <c r="P45" s="502">
        <f t="shared" si="18"/>
        <v>1.8599999999999998E-2</v>
      </c>
      <c r="Q45" s="501">
        <f t="shared" si="18"/>
        <v>1.8599999999999998E-2</v>
      </c>
      <c r="R45" s="495">
        <f t="shared" si="18"/>
        <v>1.8599999999999998E-2</v>
      </c>
      <c r="S45" s="502">
        <f t="shared" ref="S45:U45" si="19">S44/$F44</f>
        <v>1.72E-2</v>
      </c>
      <c r="T45" s="501">
        <f t="shared" si="19"/>
        <v>1.72E-2</v>
      </c>
      <c r="U45" s="542">
        <f t="shared" si="19"/>
        <v>1.72E-2</v>
      </c>
      <c r="V45" s="502">
        <f t="shared" si="18"/>
        <v>1.66E-2</v>
      </c>
      <c r="W45" s="501">
        <f t="shared" si="18"/>
        <v>1.66E-2</v>
      </c>
      <c r="X45" s="495">
        <f t="shared" si="18"/>
        <v>1.66E-2</v>
      </c>
      <c r="Y45" s="502">
        <f t="shared" si="18"/>
        <v>1.4999999999999999E-2</v>
      </c>
      <c r="Z45" s="501">
        <f t="shared" si="18"/>
        <v>1.4999999999999999E-2</v>
      </c>
      <c r="AA45" s="495">
        <f t="shared" si="18"/>
        <v>1.4999999999999999E-2</v>
      </c>
      <c r="AB45" s="502">
        <f t="shared" si="18"/>
        <v>1.4E-2</v>
      </c>
      <c r="AC45" s="501">
        <f t="shared" si="18"/>
        <v>1.4E-2</v>
      </c>
      <c r="AD45" s="495">
        <f t="shared" si="18"/>
        <v>1.4E-2</v>
      </c>
    </row>
    <row r="46" spans="2:32" s="175" customFormat="1" ht="18" customHeight="1">
      <c r="B46" s="193"/>
      <c r="C46" s="193"/>
      <c r="D46" s="193"/>
      <c r="E46" s="193"/>
      <c r="F46" s="500"/>
      <c r="G46" s="500"/>
      <c r="H46" s="500"/>
      <c r="I46" s="500"/>
      <c r="J46" s="500"/>
      <c r="K46" s="500"/>
      <c r="L46" s="499"/>
      <c r="M46" s="499"/>
      <c r="N46" s="499"/>
      <c r="O46" s="499"/>
      <c r="P46" s="499"/>
      <c r="Q46" s="499"/>
      <c r="R46" s="499"/>
      <c r="S46" s="499"/>
      <c r="T46" s="499"/>
      <c r="U46" s="499"/>
      <c r="V46" s="499"/>
      <c r="W46" s="499"/>
      <c r="X46" s="499"/>
      <c r="Y46" s="499"/>
      <c r="Z46" s="499"/>
    </row>
    <row r="47" spans="2:32" s="358" customFormat="1" ht="18" customHeight="1">
      <c r="B47" s="359" t="s">
        <v>243</v>
      </c>
      <c r="C47" s="359"/>
      <c r="D47" s="357"/>
      <c r="E47" s="357"/>
      <c r="F47" s="357"/>
      <c r="G47" s="357"/>
      <c r="H47" s="357"/>
      <c r="I47" s="498"/>
      <c r="J47" s="357"/>
      <c r="K47" s="357"/>
      <c r="M47" s="497"/>
      <c r="AB47" s="175"/>
      <c r="AC47" s="175"/>
    </row>
    <row r="48" spans="2:32" s="73" customFormat="1" ht="17.25" customHeight="1">
      <c r="B48" s="73" t="s">
        <v>242</v>
      </c>
      <c r="C48" s="76"/>
      <c r="D48" s="76"/>
      <c r="E48" s="76"/>
    </row>
    <row r="49" spans="1:10" s="73" customFormat="1" ht="17.25" customHeight="1">
      <c r="B49" s="73" t="s">
        <v>721</v>
      </c>
      <c r="C49" s="76"/>
      <c r="D49" s="76"/>
      <c r="E49" s="76"/>
    </row>
    <row r="50" spans="1:10" s="358" customFormat="1" ht="17.25" customHeight="1">
      <c r="B50" s="360" t="s">
        <v>241</v>
      </c>
      <c r="C50" s="360"/>
      <c r="D50" s="357"/>
      <c r="E50" s="357"/>
      <c r="F50" s="357"/>
      <c r="G50" s="357"/>
      <c r="H50" s="357"/>
      <c r="I50" s="357"/>
      <c r="J50" s="357"/>
    </row>
    <row r="51" spans="1:10" s="21" customFormat="1" ht="17.25" customHeight="1">
      <c r="B51" s="388" t="s">
        <v>240</v>
      </c>
    </row>
    <row r="52" spans="1:10" customFormat="1" ht="17.25" customHeight="1">
      <c r="A52" s="18"/>
      <c r="B52" s="389" t="s">
        <v>130</v>
      </c>
      <c r="C52" s="369"/>
      <c r="D52" s="368"/>
      <c r="E52" s="377"/>
      <c r="F52" s="370"/>
      <c r="G52" s="370"/>
      <c r="H52" s="370"/>
    </row>
    <row r="53" spans="1:10" s="73" customFormat="1" ht="17.25" customHeight="1">
      <c r="C53" s="76"/>
      <c r="D53" s="76"/>
      <c r="E53" s="76"/>
    </row>
    <row r="54" spans="1:10" ht="17.25" customHeight="1">
      <c r="J54" s="496"/>
    </row>
  </sheetData>
  <mergeCells count="121">
    <mergeCell ref="G44:G45"/>
    <mergeCell ref="H44:H45"/>
    <mergeCell ref="I44:I45"/>
    <mergeCell ref="J42:J43"/>
    <mergeCell ref="K42:K43"/>
    <mergeCell ref="L42:L43"/>
    <mergeCell ref="B38:B41"/>
    <mergeCell ref="J44:J45"/>
    <mergeCell ref="K44:K45"/>
    <mergeCell ref="L44:L45"/>
    <mergeCell ref="B44:B45"/>
    <mergeCell ref="C44:E44"/>
    <mergeCell ref="F44:F45"/>
    <mergeCell ref="B42:B43"/>
    <mergeCell ref="C42:E42"/>
    <mergeCell ref="F42:F43"/>
    <mergeCell ref="G42:G43"/>
    <mergeCell ref="H42:H43"/>
    <mergeCell ref="I42:I43"/>
    <mergeCell ref="C38:E38"/>
    <mergeCell ref="F38:F39"/>
    <mergeCell ref="G38:G39"/>
    <mergeCell ref="H38:H39"/>
    <mergeCell ref="I38:I39"/>
    <mergeCell ref="L36:L37"/>
    <mergeCell ref="L40:L41"/>
    <mergeCell ref="J38:J39"/>
    <mergeCell ref="K38:K39"/>
    <mergeCell ref="L38:L39"/>
    <mergeCell ref="C40:E40"/>
    <mergeCell ref="F40:F41"/>
    <mergeCell ref="G40:G41"/>
    <mergeCell ref="H40:H41"/>
    <mergeCell ref="I40:I41"/>
    <mergeCell ref="J40:J41"/>
    <mergeCell ref="K40:K41"/>
    <mergeCell ref="C32:E32"/>
    <mergeCell ref="F32:F33"/>
    <mergeCell ref="G32:G33"/>
    <mergeCell ref="H32:H33"/>
    <mergeCell ref="I32:I33"/>
    <mergeCell ref="J32:J33"/>
    <mergeCell ref="K32:K33"/>
    <mergeCell ref="L32:L33"/>
    <mergeCell ref="B34:B37"/>
    <mergeCell ref="C34:E34"/>
    <mergeCell ref="F34:F35"/>
    <mergeCell ref="G34:G35"/>
    <mergeCell ref="H34:H35"/>
    <mergeCell ref="I34:I35"/>
    <mergeCell ref="J34:J35"/>
    <mergeCell ref="K34:K35"/>
    <mergeCell ref="L34:L35"/>
    <mergeCell ref="C36:E36"/>
    <mergeCell ref="F36:F37"/>
    <mergeCell ref="G36:G37"/>
    <mergeCell ref="H36:H37"/>
    <mergeCell ref="I36:I37"/>
    <mergeCell ref="J36:J37"/>
    <mergeCell ref="K36:K37"/>
    <mergeCell ref="C28:E28"/>
    <mergeCell ref="F28:F29"/>
    <mergeCell ref="G28:G29"/>
    <mergeCell ref="H28:H29"/>
    <mergeCell ref="I28:I29"/>
    <mergeCell ref="J28:J29"/>
    <mergeCell ref="K28:K29"/>
    <mergeCell ref="L28:L29"/>
    <mergeCell ref="C30:E30"/>
    <mergeCell ref="F30:F31"/>
    <mergeCell ref="G30:G31"/>
    <mergeCell ref="H30:H31"/>
    <mergeCell ref="I30:I31"/>
    <mergeCell ref="J30:J31"/>
    <mergeCell ref="K30:K31"/>
    <mergeCell ref="L30:L31"/>
    <mergeCell ref="H24:H25"/>
    <mergeCell ref="I24:J24"/>
    <mergeCell ref="K24:L24"/>
    <mergeCell ref="M24:O24"/>
    <mergeCell ref="P24:Q24"/>
    <mergeCell ref="V24:W24"/>
    <mergeCell ref="I26:I27"/>
    <mergeCell ref="J26:J27"/>
    <mergeCell ref="K26:K27"/>
    <mergeCell ref="L26:L27"/>
    <mergeCell ref="S24:T24"/>
    <mergeCell ref="Y24:Z24"/>
    <mergeCell ref="AB24:AC24"/>
    <mergeCell ref="B26:B33"/>
    <mergeCell ref="C26:E26"/>
    <mergeCell ref="F26:F27"/>
    <mergeCell ref="G26:G27"/>
    <mergeCell ref="H26:H27"/>
    <mergeCell ref="D10:L10"/>
    <mergeCell ref="B11:C13"/>
    <mergeCell ref="D11:L11"/>
    <mergeCell ref="M11:O13"/>
    <mergeCell ref="P11:Q13"/>
    <mergeCell ref="D12:L12"/>
    <mergeCell ref="D13:L13"/>
    <mergeCell ref="B14:C18"/>
    <mergeCell ref="D14:L14"/>
    <mergeCell ref="M14:O18"/>
    <mergeCell ref="P14:Q18"/>
    <mergeCell ref="F15:L15"/>
    <mergeCell ref="E17:E18"/>
    <mergeCell ref="F18:H18"/>
    <mergeCell ref="B24:E24"/>
    <mergeCell ref="F24:F25"/>
    <mergeCell ref="G24:G25"/>
    <mergeCell ref="B1:AD1"/>
    <mergeCell ref="B7:C7"/>
    <mergeCell ref="D7:L7"/>
    <mergeCell ref="M7:O7"/>
    <mergeCell ref="P7:Q7"/>
    <mergeCell ref="B8:C10"/>
    <mergeCell ref="D8:L8"/>
    <mergeCell ref="M8:O10"/>
    <mergeCell ref="P8:Q10"/>
    <mergeCell ref="D9:L9"/>
  </mergeCells>
  <phoneticPr fontId="4" type="noConversion"/>
  <printOptions horizontalCentered="1"/>
  <pageMargins left="0.15748031496062992" right="0.15748031496062992" top="0.35433070866141736" bottom="0.19685039370078741" header="0.31496062992125984" footer="0.31496062992125984"/>
  <pageSetup paperSize="9" scale="55"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26"/>
  <sheetViews>
    <sheetView zoomScaleNormal="100" workbookViewId="0">
      <selection sqref="A1:O1"/>
    </sheetView>
  </sheetViews>
  <sheetFormatPr defaultRowHeight="16.5"/>
  <cols>
    <col min="1" max="1" width="10.5" style="367" customWidth="1"/>
    <col min="2" max="2" width="7.875" style="368" bestFit="1" customWidth="1"/>
    <col min="3" max="3" width="9.125" style="369" customWidth="1"/>
    <col min="4" max="4" width="9.875" style="368" customWidth="1"/>
    <col min="5" max="7" width="9.375" style="370" customWidth="1"/>
    <col min="8" max="9" width="12.875" style="370" customWidth="1"/>
    <col min="10" max="10" width="10.875" style="370" customWidth="1"/>
    <col min="13" max="13" width="11.75" customWidth="1"/>
    <col min="14" max="14" width="38" customWidth="1"/>
    <col min="15" max="15" width="31.5" customWidth="1"/>
  </cols>
  <sheetData>
    <row r="1" spans="1:15" ht="36" customHeight="1" thickBot="1">
      <c r="A1" s="1516" t="s">
        <v>86</v>
      </c>
      <c r="B1" s="1516"/>
      <c r="C1" s="1516"/>
      <c r="D1" s="1516"/>
      <c r="E1" s="1516"/>
      <c r="F1" s="1516"/>
      <c r="G1" s="1516"/>
      <c r="H1" s="1516"/>
      <c r="I1" s="1516"/>
      <c r="J1" s="1516"/>
      <c r="K1" s="1516"/>
      <c r="L1" s="1516"/>
      <c r="M1" s="1516"/>
      <c r="N1" s="1516"/>
      <c r="O1" s="1516"/>
    </row>
    <row r="2" spans="1:15" ht="21.75" customHeight="1" thickTop="1"/>
    <row r="3" spans="1:15" ht="21.75" customHeight="1">
      <c r="A3" s="371" t="s">
        <v>391</v>
      </c>
    </row>
    <row r="4" spans="1:15" ht="21" customHeight="1">
      <c r="A4" s="471" t="s">
        <v>392</v>
      </c>
    </row>
    <row r="5" spans="1:15" ht="21" customHeight="1">
      <c r="A5" s="472" t="s">
        <v>393</v>
      </c>
    </row>
    <row r="6" spans="1:15" ht="9" customHeight="1" thickBot="1">
      <c r="A6" s="371"/>
    </row>
    <row r="7" spans="1:15" s="372" customFormat="1" ht="18" customHeight="1">
      <c r="A7" s="1503" t="s">
        <v>394</v>
      </c>
      <c r="B7" s="1505" t="s">
        <v>395</v>
      </c>
      <c r="C7" s="1507" t="s">
        <v>396</v>
      </c>
      <c r="D7" s="1507"/>
      <c r="E7" s="1508" t="s">
        <v>397</v>
      </c>
      <c r="F7" s="1509"/>
      <c r="G7" s="1497" t="s">
        <v>398</v>
      </c>
      <c r="H7" s="1498"/>
      <c r="I7" s="1499"/>
      <c r="J7" s="1495" t="s">
        <v>399</v>
      </c>
      <c r="K7" s="1496"/>
      <c r="L7" s="1517" t="s">
        <v>400</v>
      </c>
      <c r="M7" s="1492" t="s">
        <v>401</v>
      </c>
      <c r="N7" s="1490" t="s">
        <v>402</v>
      </c>
      <c r="O7" s="1521" t="s">
        <v>403</v>
      </c>
    </row>
    <row r="8" spans="1:15" s="372" customFormat="1" ht="18" customHeight="1" thickBot="1">
      <c r="A8" s="1504"/>
      <c r="B8" s="1506"/>
      <c r="C8" s="465" t="s">
        <v>404</v>
      </c>
      <c r="D8" s="465" t="s">
        <v>405</v>
      </c>
      <c r="E8" s="466" t="s">
        <v>404</v>
      </c>
      <c r="F8" s="474" t="s">
        <v>405</v>
      </c>
      <c r="G8" s="467" t="s">
        <v>406</v>
      </c>
      <c r="H8" s="468" t="s">
        <v>407</v>
      </c>
      <c r="I8" s="468" t="s">
        <v>408</v>
      </c>
      <c r="J8" s="469" t="s">
        <v>409</v>
      </c>
      <c r="K8" s="470" t="s">
        <v>410</v>
      </c>
      <c r="L8" s="1518"/>
      <c r="M8" s="1491"/>
      <c r="N8" s="1491"/>
      <c r="O8" s="1522"/>
    </row>
    <row r="9" spans="1:15" ht="30" customHeight="1">
      <c r="A9" s="1500" t="s">
        <v>411</v>
      </c>
      <c r="B9" s="1502">
        <v>10000</v>
      </c>
      <c r="C9" s="1486">
        <v>0.3</v>
      </c>
      <c r="D9" s="1486">
        <v>0.21</v>
      </c>
      <c r="E9" s="1487">
        <f>B9*C9</f>
        <v>3000</v>
      </c>
      <c r="F9" s="1488">
        <f>B9*D9</f>
        <v>2100</v>
      </c>
      <c r="G9" s="441">
        <f>B9*C9*54%</f>
        <v>1620</v>
      </c>
      <c r="H9" s="373">
        <f>(B9*C9*29%*10)+(B9*C9*34%)</f>
        <v>9719.9999999999982</v>
      </c>
      <c r="I9" s="580">
        <v>0</v>
      </c>
      <c r="J9" s="373">
        <f>B9*D9*54%*80%</f>
        <v>907.2</v>
      </c>
      <c r="K9" s="442">
        <f>((B9*D9*29%*10)+(B9*D9*34%))*80%</f>
        <v>5443.2000000000007</v>
      </c>
      <c r="L9" s="463">
        <f>G9+H9</f>
        <v>11339.999999999998</v>
      </c>
      <c r="M9" s="464">
        <f>SUM(G9:K9)</f>
        <v>17690.400000000001</v>
      </c>
      <c r="N9" s="1493" t="s">
        <v>412</v>
      </c>
      <c r="O9" s="1523" t="s">
        <v>413</v>
      </c>
    </row>
    <row r="10" spans="1:15" ht="20.25" customHeight="1">
      <c r="A10" s="1501"/>
      <c r="B10" s="1502"/>
      <c r="C10" s="1486"/>
      <c r="D10" s="1486"/>
      <c r="E10" s="1487"/>
      <c r="F10" s="1488"/>
      <c r="G10" s="443">
        <f>G9/B9</f>
        <v>0.16200000000000001</v>
      </c>
      <c r="H10" s="374">
        <f>H9/B9</f>
        <v>0.97199999999999986</v>
      </c>
      <c r="I10" s="374">
        <f>I9/B9</f>
        <v>0</v>
      </c>
      <c r="J10" s="374">
        <f>J9/B9</f>
        <v>9.0720000000000009E-2</v>
      </c>
      <c r="K10" s="444">
        <f>K9/B9</f>
        <v>0.54432000000000003</v>
      </c>
      <c r="L10" s="458">
        <f>L9/B9</f>
        <v>1.1339999999999999</v>
      </c>
      <c r="M10" s="461">
        <f>M9/B9</f>
        <v>1.7690400000000002</v>
      </c>
      <c r="N10" s="1494"/>
      <c r="O10" s="1523"/>
    </row>
    <row r="11" spans="1:15" ht="38.25" customHeight="1">
      <c r="A11" s="1501" t="s">
        <v>414</v>
      </c>
      <c r="B11" s="1510">
        <v>10000</v>
      </c>
      <c r="C11" s="1486">
        <v>0.3</v>
      </c>
      <c r="D11" s="1486">
        <v>0</v>
      </c>
      <c r="E11" s="1487">
        <f>B11*C11</f>
        <v>3000</v>
      </c>
      <c r="F11" s="1488">
        <f>B11*D11</f>
        <v>0</v>
      </c>
      <c r="G11" s="445">
        <f>E11*34%</f>
        <v>1020.0000000000001</v>
      </c>
      <c r="H11" s="373">
        <f>G11*11</f>
        <v>11220.000000000002</v>
      </c>
      <c r="I11" s="373">
        <f>E11*10%*3+E11*5%*3</f>
        <v>1350</v>
      </c>
      <c r="J11" s="373">
        <f>B11*6%*80%</f>
        <v>480</v>
      </c>
      <c r="K11" s="442">
        <f>J11*11</f>
        <v>5280</v>
      </c>
      <c r="L11" s="457">
        <f>G11+H11+I11</f>
        <v>13590.000000000002</v>
      </c>
      <c r="M11" s="460">
        <f>SUM(G11:K11)</f>
        <v>19350</v>
      </c>
      <c r="N11" s="1511" t="s">
        <v>415</v>
      </c>
      <c r="O11" s="1524" t="s">
        <v>416</v>
      </c>
    </row>
    <row r="12" spans="1:15" ht="20.25" customHeight="1">
      <c r="A12" s="1501"/>
      <c r="B12" s="1510"/>
      <c r="C12" s="1486"/>
      <c r="D12" s="1486"/>
      <c r="E12" s="1487"/>
      <c r="F12" s="1488"/>
      <c r="G12" s="443">
        <f>G11/B11</f>
        <v>0.10200000000000001</v>
      </c>
      <c r="H12" s="374">
        <f>H11/B11</f>
        <v>1.1220000000000001</v>
      </c>
      <c r="I12" s="374">
        <f>I11/B11</f>
        <v>0.13500000000000001</v>
      </c>
      <c r="J12" s="374">
        <f>J11/B11</f>
        <v>4.8000000000000001E-2</v>
      </c>
      <c r="K12" s="444">
        <f>K11/B11</f>
        <v>0.52800000000000002</v>
      </c>
      <c r="L12" s="458">
        <f>L11/B11</f>
        <v>1.3590000000000002</v>
      </c>
      <c r="M12" s="461">
        <f>M11/B11</f>
        <v>1.9350000000000001</v>
      </c>
      <c r="N12" s="1493"/>
      <c r="O12" s="1523"/>
    </row>
    <row r="13" spans="1:15" ht="33" customHeight="1">
      <c r="A13" s="1501" t="s">
        <v>417</v>
      </c>
      <c r="B13" s="1510">
        <v>10000</v>
      </c>
      <c r="C13" s="1486">
        <v>0.3</v>
      </c>
      <c r="D13" s="1486">
        <v>0.24</v>
      </c>
      <c r="E13" s="1487">
        <f>B13*C13</f>
        <v>3000</v>
      </c>
      <c r="F13" s="1488">
        <f>B13*D13</f>
        <v>2400</v>
      </c>
      <c r="G13" s="441">
        <f>E13*36%</f>
        <v>1080</v>
      </c>
      <c r="H13" s="373">
        <f>(E13*32%*11)</f>
        <v>10560</v>
      </c>
      <c r="I13" s="373">
        <f>(E13*7%*5)+(E13*12%)</f>
        <v>1410.0000000000002</v>
      </c>
      <c r="J13" s="373">
        <f>F13*25%*80%</f>
        <v>480</v>
      </c>
      <c r="K13" s="442">
        <f>J13*11</f>
        <v>5280</v>
      </c>
      <c r="L13" s="457">
        <f>G13+H13+I13</f>
        <v>13050</v>
      </c>
      <c r="M13" s="460">
        <f>SUM(G13:K13)</f>
        <v>18810</v>
      </c>
      <c r="N13" s="1511" t="s">
        <v>418</v>
      </c>
      <c r="O13" s="1525" t="s">
        <v>127</v>
      </c>
    </row>
    <row r="14" spans="1:15" ht="23.25" customHeight="1">
      <c r="A14" s="1501"/>
      <c r="B14" s="1510"/>
      <c r="C14" s="1486"/>
      <c r="D14" s="1486"/>
      <c r="E14" s="1487"/>
      <c r="F14" s="1488"/>
      <c r="G14" s="443">
        <f>G13/B13</f>
        <v>0.108</v>
      </c>
      <c r="H14" s="374">
        <f>H13/B13</f>
        <v>1.056</v>
      </c>
      <c r="I14" s="374">
        <f>I13/B13</f>
        <v>0.14100000000000001</v>
      </c>
      <c r="J14" s="374">
        <f>J13/B13</f>
        <v>4.8000000000000001E-2</v>
      </c>
      <c r="K14" s="444">
        <f>K13/B13</f>
        <v>0.52800000000000002</v>
      </c>
      <c r="L14" s="458">
        <f>L13/B13</f>
        <v>1.3049999999999999</v>
      </c>
      <c r="M14" s="461">
        <f>M13/B13</f>
        <v>1.881</v>
      </c>
      <c r="N14" s="1493"/>
      <c r="O14" s="1526"/>
    </row>
    <row r="15" spans="1:15" ht="30" customHeight="1">
      <c r="A15" s="1501" t="s">
        <v>128</v>
      </c>
      <c r="B15" s="1510">
        <v>10000</v>
      </c>
      <c r="C15" s="1486">
        <v>0.3</v>
      </c>
      <c r="D15" s="1486">
        <v>0.2</v>
      </c>
      <c r="E15" s="1487">
        <f>B15*C15</f>
        <v>3000</v>
      </c>
      <c r="F15" s="1488">
        <f>B15*D15</f>
        <v>2000</v>
      </c>
      <c r="G15" s="446">
        <f>E15*35%</f>
        <v>1050</v>
      </c>
      <c r="H15" s="373">
        <f>E15*30%*11</f>
        <v>9900</v>
      </c>
      <c r="I15" s="580">
        <v>0</v>
      </c>
      <c r="J15" s="373">
        <f>F15*35%*80%</f>
        <v>560</v>
      </c>
      <c r="K15" s="447">
        <f>F15*30%*11*80%</f>
        <v>5280</v>
      </c>
      <c r="L15" s="457">
        <f>G15+H15</f>
        <v>10950</v>
      </c>
      <c r="M15" s="460">
        <f>SUM(G15:K15)</f>
        <v>16790</v>
      </c>
      <c r="N15" s="1494" t="s">
        <v>419</v>
      </c>
      <c r="O15" s="1523" t="s">
        <v>126</v>
      </c>
    </row>
    <row r="16" spans="1:15" ht="20.25" customHeight="1">
      <c r="A16" s="1501"/>
      <c r="B16" s="1510"/>
      <c r="C16" s="1486"/>
      <c r="D16" s="1486"/>
      <c r="E16" s="1487"/>
      <c r="F16" s="1488"/>
      <c r="G16" s="443">
        <f>G15/B15</f>
        <v>0.105</v>
      </c>
      <c r="H16" s="374">
        <f>H15/B15</f>
        <v>0.99</v>
      </c>
      <c r="I16" s="374">
        <f>I15/B15</f>
        <v>0</v>
      </c>
      <c r="J16" s="374">
        <f>J15/B15</f>
        <v>5.6000000000000001E-2</v>
      </c>
      <c r="K16" s="444">
        <f>K15/B15</f>
        <v>0.52800000000000002</v>
      </c>
      <c r="L16" s="458">
        <f>L15/B15</f>
        <v>1.095</v>
      </c>
      <c r="M16" s="461">
        <f>M15/B15</f>
        <v>1.679</v>
      </c>
      <c r="N16" s="1494"/>
      <c r="O16" s="1523"/>
    </row>
    <row r="17" spans="1:15" ht="30" customHeight="1">
      <c r="A17" s="1501" t="s">
        <v>420</v>
      </c>
      <c r="B17" s="1510">
        <v>10000</v>
      </c>
      <c r="C17" s="1486">
        <v>0.26</v>
      </c>
      <c r="D17" s="1486">
        <v>0.18</v>
      </c>
      <c r="E17" s="1487">
        <f>B17*C17</f>
        <v>2600</v>
      </c>
      <c r="F17" s="1488">
        <f>B17*D17</f>
        <v>1800</v>
      </c>
      <c r="G17" s="446">
        <f>E17*120%</f>
        <v>3120</v>
      </c>
      <c r="H17" s="439">
        <f>(E17*15%*10)+(E17*10%)</f>
        <v>4160</v>
      </c>
      <c r="I17" s="580">
        <v>0</v>
      </c>
      <c r="J17" s="439">
        <f>F17*120%*80%</f>
        <v>1728</v>
      </c>
      <c r="K17" s="448">
        <f>((F17*15%*10)+(F17*10%))*80%</f>
        <v>2304</v>
      </c>
      <c r="L17" s="457">
        <f>G17+H17</f>
        <v>7280</v>
      </c>
      <c r="M17" s="460">
        <f>SUM(G17:K17)</f>
        <v>11312</v>
      </c>
      <c r="N17" s="1494" t="s">
        <v>125</v>
      </c>
      <c r="O17" s="1523" t="s">
        <v>126</v>
      </c>
    </row>
    <row r="18" spans="1:15" ht="20.25" customHeight="1">
      <c r="A18" s="1501"/>
      <c r="B18" s="1510"/>
      <c r="C18" s="1486"/>
      <c r="D18" s="1486"/>
      <c r="E18" s="1487"/>
      <c r="F18" s="1488"/>
      <c r="G18" s="443">
        <f>G17/B17</f>
        <v>0.312</v>
      </c>
      <c r="H18" s="374">
        <f>H17/B17</f>
        <v>0.41599999999999998</v>
      </c>
      <c r="I18" s="374">
        <f>I17/B17</f>
        <v>0</v>
      </c>
      <c r="J18" s="438">
        <f>J17/B17</f>
        <v>0.17280000000000001</v>
      </c>
      <c r="K18" s="449">
        <f>K17/B17</f>
        <v>0.23039999999999999</v>
      </c>
      <c r="L18" s="458">
        <f>L17/B17</f>
        <v>0.72799999999999998</v>
      </c>
      <c r="M18" s="461">
        <f>M17/B17</f>
        <v>1.1312</v>
      </c>
      <c r="N18" s="1494"/>
      <c r="O18" s="1523"/>
    </row>
    <row r="19" spans="1:15" ht="30" customHeight="1">
      <c r="A19" s="1501" t="s">
        <v>421</v>
      </c>
      <c r="B19" s="1510">
        <v>10000</v>
      </c>
      <c r="C19" s="1486">
        <v>0.3</v>
      </c>
      <c r="D19" s="1486">
        <v>0.2</v>
      </c>
      <c r="E19" s="1487">
        <f>B19*C19</f>
        <v>3000</v>
      </c>
      <c r="F19" s="1488">
        <f>B19*D19</f>
        <v>2000</v>
      </c>
      <c r="G19" s="441">
        <f>(E19*220%)+(E19*55%)</f>
        <v>8250.0000000000018</v>
      </c>
      <c r="H19" s="373">
        <f>E19*9%*11</f>
        <v>2970</v>
      </c>
      <c r="I19" s="580">
        <v>0</v>
      </c>
      <c r="J19" s="373">
        <f>(F19*18%)*80%</f>
        <v>288</v>
      </c>
      <c r="K19" s="442">
        <f>(F19*18%*11)*80%</f>
        <v>3168</v>
      </c>
      <c r="L19" s="457">
        <f>G19+H19</f>
        <v>11220.000000000002</v>
      </c>
      <c r="M19" s="460">
        <f>SUM(G19:K19)</f>
        <v>14676.000000000002</v>
      </c>
      <c r="N19" s="1494" t="s">
        <v>422</v>
      </c>
      <c r="O19" s="1544" t="s">
        <v>423</v>
      </c>
    </row>
    <row r="20" spans="1:15" ht="20.25" customHeight="1">
      <c r="A20" s="1501"/>
      <c r="B20" s="1510"/>
      <c r="C20" s="1486"/>
      <c r="D20" s="1486"/>
      <c r="E20" s="1487"/>
      <c r="F20" s="1488"/>
      <c r="G20" s="443">
        <f>G19/B19</f>
        <v>0.82500000000000018</v>
      </c>
      <c r="H20" s="374">
        <f>H19/B19</f>
        <v>0.29699999999999999</v>
      </c>
      <c r="I20" s="374">
        <f>I19/B19</f>
        <v>0</v>
      </c>
      <c r="J20" s="374">
        <f>J19/B19</f>
        <v>2.8799999999999999E-2</v>
      </c>
      <c r="K20" s="444">
        <f>K19/B19</f>
        <v>0.31680000000000003</v>
      </c>
      <c r="L20" s="458">
        <f>L19/B19</f>
        <v>1.1220000000000001</v>
      </c>
      <c r="M20" s="461">
        <f>M19/B19</f>
        <v>1.4676000000000002</v>
      </c>
      <c r="N20" s="1494"/>
      <c r="O20" s="1544"/>
    </row>
    <row r="21" spans="1:15" ht="30" customHeight="1">
      <c r="A21" s="1542" t="s">
        <v>424</v>
      </c>
      <c r="B21" s="1510">
        <v>10000</v>
      </c>
      <c r="C21" s="1486">
        <v>0.27</v>
      </c>
      <c r="D21" s="1489">
        <v>0.189</v>
      </c>
      <c r="E21" s="1487">
        <f>B21*C21</f>
        <v>2700</v>
      </c>
      <c r="F21" s="1488">
        <f>B21*D21</f>
        <v>1890</v>
      </c>
      <c r="G21" s="441">
        <f>E21*34%</f>
        <v>918.00000000000011</v>
      </c>
      <c r="H21" s="373">
        <f>E21*34%*11</f>
        <v>10098.000000000002</v>
      </c>
      <c r="I21" s="580">
        <v>0</v>
      </c>
      <c r="J21" s="373">
        <f>F21*34%*80%</f>
        <v>514.08000000000004</v>
      </c>
      <c r="K21" s="442">
        <f>F21*34%*11*80%</f>
        <v>5654.880000000001</v>
      </c>
      <c r="L21" s="457">
        <f>G21+H21</f>
        <v>11016.000000000002</v>
      </c>
      <c r="M21" s="460">
        <f>SUM(G21:K21)</f>
        <v>17184.960000000003</v>
      </c>
      <c r="N21" s="1511" t="s">
        <v>425</v>
      </c>
      <c r="O21" s="1523" t="s">
        <v>126</v>
      </c>
    </row>
    <row r="22" spans="1:15" ht="20.25" customHeight="1">
      <c r="A22" s="1501"/>
      <c r="B22" s="1510"/>
      <c r="C22" s="1486"/>
      <c r="D22" s="1489"/>
      <c r="E22" s="1487"/>
      <c r="F22" s="1488"/>
      <c r="G22" s="443">
        <f>G21/B21</f>
        <v>9.1800000000000007E-2</v>
      </c>
      <c r="H22" s="374">
        <f>H21/B21</f>
        <v>1.0098000000000003</v>
      </c>
      <c r="I22" s="374">
        <f>I21/B21</f>
        <v>0</v>
      </c>
      <c r="J22" s="374">
        <f>J21/B21</f>
        <v>5.1408000000000002E-2</v>
      </c>
      <c r="K22" s="444">
        <f>K21/B21</f>
        <v>0.5654880000000001</v>
      </c>
      <c r="L22" s="458">
        <f>L21/B21</f>
        <v>1.1016000000000001</v>
      </c>
      <c r="M22" s="461">
        <f>M21/B21</f>
        <v>1.7184960000000002</v>
      </c>
      <c r="N22" s="1493"/>
      <c r="O22" s="1523"/>
    </row>
    <row r="23" spans="1:15" s="375" customFormat="1" ht="30" customHeight="1">
      <c r="A23" s="1536" t="s">
        <v>426</v>
      </c>
      <c r="B23" s="1538">
        <v>10000</v>
      </c>
      <c r="C23" s="1486">
        <v>0.4</v>
      </c>
      <c r="D23" s="1543">
        <v>0.21</v>
      </c>
      <c r="E23" s="1487">
        <f>B23*C23</f>
        <v>4000</v>
      </c>
      <c r="F23" s="1488">
        <f>B23*D23</f>
        <v>2100</v>
      </c>
      <c r="G23" s="450">
        <f>E23*215%</f>
        <v>8600</v>
      </c>
      <c r="H23" s="440">
        <f>E23*31.2%*6</f>
        <v>7488</v>
      </c>
      <c r="I23" s="580">
        <v>0</v>
      </c>
      <c r="J23" s="440">
        <f>F23*215%*80%</f>
        <v>3612</v>
      </c>
      <c r="K23" s="451">
        <f>F23*31.2%*6*80%</f>
        <v>3144.9600000000005</v>
      </c>
      <c r="L23" s="457">
        <f>G23+H23</f>
        <v>16088</v>
      </c>
      <c r="M23" s="460">
        <f>SUM(G23:K23)</f>
        <v>22844.959999999999</v>
      </c>
      <c r="N23" s="1540" t="s">
        <v>427</v>
      </c>
      <c r="O23" s="1524" t="s">
        <v>428</v>
      </c>
    </row>
    <row r="24" spans="1:15" s="375" customFormat="1" ht="20.25" customHeight="1">
      <c r="A24" s="1537"/>
      <c r="B24" s="1539"/>
      <c r="C24" s="1486"/>
      <c r="D24" s="1543"/>
      <c r="E24" s="1487"/>
      <c r="F24" s="1488"/>
      <c r="G24" s="443">
        <f>G23/B23</f>
        <v>0.86</v>
      </c>
      <c r="H24" s="374">
        <f>H23/B23</f>
        <v>0.74880000000000002</v>
      </c>
      <c r="I24" s="374">
        <f>I23/B23</f>
        <v>0</v>
      </c>
      <c r="J24" s="374">
        <f>J23/B23</f>
        <v>0.36120000000000002</v>
      </c>
      <c r="K24" s="444">
        <f>K23/B23</f>
        <v>0.31449600000000005</v>
      </c>
      <c r="L24" s="458">
        <f>L23/B23</f>
        <v>1.6088</v>
      </c>
      <c r="M24" s="461">
        <f>M23/B23</f>
        <v>2.2844959999999999</v>
      </c>
      <c r="N24" s="1541"/>
      <c r="O24" s="1523"/>
    </row>
    <row r="25" spans="1:15" s="375" customFormat="1" ht="30" customHeight="1">
      <c r="A25" s="1528" t="s">
        <v>429</v>
      </c>
      <c r="B25" s="1530">
        <v>10000</v>
      </c>
      <c r="C25" s="1532">
        <v>0.3</v>
      </c>
      <c r="D25" s="1534" t="s">
        <v>430</v>
      </c>
      <c r="E25" s="1512">
        <f>B25*C25</f>
        <v>3000</v>
      </c>
      <c r="F25" s="1514" t="s">
        <v>430</v>
      </c>
      <c r="G25" s="452">
        <f>E25*33.5%</f>
        <v>1005.0000000000001</v>
      </c>
      <c r="H25" s="376">
        <f>E25*33.5%*11</f>
        <v>11055.000000000002</v>
      </c>
      <c r="I25" s="580">
        <v>0</v>
      </c>
      <c r="J25" s="376">
        <f>(B25*6%)*80%</f>
        <v>480</v>
      </c>
      <c r="K25" s="453">
        <f>(B25*6%*11)*80%</f>
        <v>5280</v>
      </c>
      <c r="L25" s="457">
        <f>G25+H25</f>
        <v>12060.000000000002</v>
      </c>
      <c r="M25" s="460">
        <f>SUM(G25:K25)</f>
        <v>17820</v>
      </c>
      <c r="N25" s="1511" t="s">
        <v>431</v>
      </c>
      <c r="O25" s="1519" t="s">
        <v>432</v>
      </c>
    </row>
    <row r="26" spans="1:15" s="375" customFormat="1" ht="20.25" customHeight="1" thickBot="1">
      <c r="A26" s="1529"/>
      <c r="B26" s="1531"/>
      <c r="C26" s="1533"/>
      <c r="D26" s="1535"/>
      <c r="E26" s="1513"/>
      <c r="F26" s="1515"/>
      <c r="G26" s="454">
        <f>G25/B25</f>
        <v>0.10050000000000001</v>
      </c>
      <c r="H26" s="455">
        <f>H25/B25</f>
        <v>1.1055000000000001</v>
      </c>
      <c r="I26" s="374">
        <f>I25/B25</f>
        <v>0</v>
      </c>
      <c r="J26" s="455">
        <f>J25/B25</f>
        <v>4.8000000000000001E-2</v>
      </c>
      <c r="K26" s="456">
        <f>K25/B25</f>
        <v>0.52800000000000002</v>
      </c>
      <c r="L26" s="459">
        <f>L25/B25</f>
        <v>1.2060000000000002</v>
      </c>
      <c r="M26" s="462">
        <f>M25/B25</f>
        <v>1.782</v>
      </c>
      <c r="N26" s="1527"/>
      <c r="O26" s="1520"/>
    </row>
  </sheetData>
  <mergeCells count="83">
    <mergeCell ref="O17:O18"/>
    <mergeCell ref="O19:O20"/>
    <mergeCell ref="O21:O22"/>
    <mergeCell ref="O23:O24"/>
    <mergeCell ref="N21:N22"/>
    <mergeCell ref="N17:N18"/>
    <mergeCell ref="A23:A24"/>
    <mergeCell ref="B23:B24"/>
    <mergeCell ref="N23:N24"/>
    <mergeCell ref="A21:A22"/>
    <mergeCell ref="B21:B22"/>
    <mergeCell ref="C23:C24"/>
    <mergeCell ref="D23:D24"/>
    <mergeCell ref="E23:E24"/>
    <mergeCell ref="F23:F24"/>
    <mergeCell ref="A1:O1"/>
    <mergeCell ref="L7:L8"/>
    <mergeCell ref="O25:O26"/>
    <mergeCell ref="O7:O8"/>
    <mergeCell ref="O9:O10"/>
    <mergeCell ref="O11:O12"/>
    <mergeCell ref="O13:O14"/>
    <mergeCell ref="O15:O16"/>
    <mergeCell ref="A19:A20"/>
    <mergeCell ref="B19:B20"/>
    <mergeCell ref="N19:N20"/>
    <mergeCell ref="N25:N26"/>
    <mergeCell ref="A25:A26"/>
    <mergeCell ref="B25:B26"/>
    <mergeCell ref="C25:C26"/>
    <mergeCell ref="D25:D26"/>
    <mergeCell ref="E25:E26"/>
    <mergeCell ref="F25:F26"/>
    <mergeCell ref="A17:A18"/>
    <mergeCell ref="B17:B18"/>
    <mergeCell ref="N13:N14"/>
    <mergeCell ref="A15:A16"/>
    <mergeCell ref="B15:B16"/>
    <mergeCell ref="N15:N16"/>
    <mergeCell ref="A13:A14"/>
    <mergeCell ref="B13:B14"/>
    <mergeCell ref="C13:C14"/>
    <mergeCell ref="D13:D14"/>
    <mergeCell ref="E13:E14"/>
    <mergeCell ref="F13:F14"/>
    <mergeCell ref="C15:C16"/>
    <mergeCell ref="D15:D16"/>
    <mergeCell ref="A11:A12"/>
    <mergeCell ref="B11:B12"/>
    <mergeCell ref="N11:N12"/>
    <mergeCell ref="C11:C12"/>
    <mergeCell ref="D11:D12"/>
    <mergeCell ref="E11:E12"/>
    <mergeCell ref="F11:F12"/>
    <mergeCell ref="E7:F7"/>
    <mergeCell ref="C9:C10"/>
    <mergeCell ref="D9:D10"/>
    <mergeCell ref="E9:E10"/>
    <mergeCell ref="F9:F10"/>
    <mergeCell ref="A9:A10"/>
    <mergeCell ref="B9:B10"/>
    <mergeCell ref="A7:A8"/>
    <mergeCell ref="B7:B8"/>
    <mergeCell ref="C7:D7"/>
    <mergeCell ref="N7:N8"/>
    <mergeCell ref="M7:M8"/>
    <mergeCell ref="N9:N10"/>
    <mergeCell ref="J7:K7"/>
    <mergeCell ref="G7:I7"/>
    <mergeCell ref="E15:E16"/>
    <mergeCell ref="F15:F16"/>
    <mergeCell ref="C17:C18"/>
    <mergeCell ref="D17:D18"/>
    <mergeCell ref="E17:E18"/>
    <mergeCell ref="F17:F18"/>
    <mergeCell ref="C19:C20"/>
    <mergeCell ref="D19:D20"/>
    <mergeCell ref="E19:E20"/>
    <mergeCell ref="F19:F20"/>
    <mergeCell ref="C21:C22"/>
    <mergeCell ref="D21:D22"/>
    <mergeCell ref="E21:E22"/>
    <mergeCell ref="F21:F22"/>
  </mergeCells>
  <phoneticPr fontId="4" type="noConversion"/>
  <printOptions horizontalCentered="1"/>
  <pageMargins left="0.15748031496062992" right="0.15748031496062992" top="0.5" bottom="0.19685039370078741"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25"/>
  <sheetViews>
    <sheetView workbookViewId="0"/>
  </sheetViews>
  <sheetFormatPr defaultRowHeight="16.5"/>
  <cols>
    <col min="1" max="1" width="1.25" customWidth="1"/>
    <col min="2" max="2" width="2.125" customWidth="1"/>
    <col min="3" max="15" width="10.625" customWidth="1"/>
    <col min="257" max="257" width="1.25" customWidth="1"/>
    <col min="258" max="258" width="2.125" customWidth="1"/>
    <col min="259" max="271" width="10.625" customWidth="1"/>
    <col min="513" max="513" width="1.25" customWidth="1"/>
    <col min="514" max="514" width="2.125" customWidth="1"/>
    <col min="515" max="527" width="10.625" customWidth="1"/>
    <col min="769" max="769" width="1.25" customWidth="1"/>
    <col min="770" max="770" width="2.125" customWidth="1"/>
    <col min="771" max="783" width="10.625" customWidth="1"/>
    <col min="1025" max="1025" width="1.25" customWidth="1"/>
    <col min="1026" max="1026" width="2.125" customWidth="1"/>
    <col min="1027" max="1039" width="10.625" customWidth="1"/>
    <col min="1281" max="1281" width="1.25" customWidth="1"/>
    <col min="1282" max="1282" width="2.125" customWidth="1"/>
    <col min="1283" max="1295" width="10.625" customWidth="1"/>
    <col min="1537" max="1537" width="1.25" customWidth="1"/>
    <col min="1538" max="1538" width="2.125" customWidth="1"/>
    <col min="1539" max="1551" width="10.625" customWidth="1"/>
    <col min="1793" max="1793" width="1.25" customWidth="1"/>
    <col min="1794" max="1794" width="2.125" customWidth="1"/>
    <col min="1795" max="1807" width="10.625" customWidth="1"/>
    <col min="2049" max="2049" width="1.25" customWidth="1"/>
    <col min="2050" max="2050" width="2.125" customWidth="1"/>
    <col min="2051" max="2063" width="10.625" customWidth="1"/>
    <col min="2305" max="2305" width="1.25" customWidth="1"/>
    <col min="2306" max="2306" width="2.125" customWidth="1"/>
    <col min="2307" max="2319" width="10.625" customWidth="1"/>
    <col min="2561" max="2561" width="1.25" customWidth="1"/>
    <col min="2562" max="2562" width="2.125" customWidth="1"/>
    <col min="2563" max="2575" width="10.625" customWidth="1"/>
    <col min="2817" max="2817" width="1.25" customWidth="1"/>
    <col min="2818" max="2818" width="2.125" customWidth="1"/>
    <col min="2819" max="2831" width="10.625" customWidth="1"/>
    <col min="3073" max="3073" width="1.25" customWidth="1"/>
    <col min="3074" max="3074" width="2.125" customWidth="1"/>
    <col min="3075" max="3087" width="10.625" customWidth="1"/>
    <col min="3329" max="3329" width="1.25" customWidth="1"/>
    <col min="3330" max="3330" width="2.125" customWidth="1"/>
    <col min="3331" max="3343" width="10.625" customWidth="1"/>
    <col min="3585" max="3585" width="1.25" customWidth="1"/>
    <col min="3586" max="3586" width="2.125" customWidth="1"/>
    <col min="3587" max="3599" width="10.625" customWidth="1"/>
    <col min="3841" max="3841" width="1.25" customWidth="1"/>
    <col min="3842" max="3842" width="2.125" customWidth="1"/>
    <col min="3843" max="3855" width="10.625" customWidth="1"/>
    <col min="4097" max="4097" width="1.25" customWidth="1"/>
    <col min="4098" max="4098" width="2.125" customWidth="1"/>
    <col min="4099" max="4111" width="10.625" customWidth="1"/>
    <col min="4353" max="4353" width="1.25" customWidth="1"/>
    <col min="4354" max="4354" width="2.125" customWidth="1"/>
    <col min="4355" max="4367" width="10.625" customWidth="1"/>
    <col min="4609" max="4609" width="1.25" customWidth="1"/>
    <col min="4610" max="4610" width="2.125" customWidth="1"/>
    <col min="4611" max="4623" width="10.625" customWidth="1"/>
    <col min="4865" max="4865" width="1.25" customWidth="1"/>
    <col min="4866" max="4866" width="2.125" customWidth="1"/>
    <col min="4867" max="4879" width="10.625" customWidth="1"/>
    <col min="5121" max="5121" width="1.25" customWidth="1"/>
    <col min="5122" max="5122" width="2.125" customWidth="1"/>
    <col min="5123" max="5135" width="10.625" customWidth="1"/>
    <col min="5377" max="5377" width="1.25" customWidth="1"/>
    <col min="5378" max="5378" width="2.125" customWidth="1"/>
    <col min="5379" max="5391" width="10.625" customWidth="1"/>
    <col min="5633" max="5633" width="1.25" customWidth="1"/>
    <col min="5634" max="5634" width="2.125" customWidth="1"/>
    <col min="5635" max="5647" width="10.625" customWidth="1"/>
    <col min="5889" max="5889" width="1.25" customWidth="1"/>
    <col min="5890" max="5890" width="2.125" customWidth="1"/>
    <col min="5891" max="5903" width="10.625" customWidth="1"/>
    <col min="6145" max="6145" width="1.25" customWidth="1"/>
    <col min="6146" max="6146" width="2.125" customWidth="1"/>
    <col min="6147" max="6159" width="10.625" customWidth="1"/>
    <col min="6401" max="6401" width="1.25" customWidth="1"/>
    <col min="6402" max="6402" width="2.125" customWidth="1"/>
    <col min="6403" max="6415" width="10.625" customWidth="1"/>
    <col min="6657" max="6657" width="1.25" customWidth="1"/>
    <col min="6658" max="6658" width="2.125" customWidth="1"/>
    <col min="6659" max="6671" width="10.625" customWidth="1"/>
    <col min="6913" max="6913" width="1.25" customWidth="1"/>
    <col min="6914" max="6914" width="2.125" customWidth="1"/>
    <col min="6915" max="6927" width="10.625" customWidth="1"/>
    <col min="7169" max="7169" width="1.25" customWidth="1"/>
    <col min="7170" max="7170" width="2.125" customWidth="1"/>
    <col min="7171" max="7183" width="10.625" customWidth="1"/>
    <col min="7425" max="7425" width="1.25" customWidth="1"/>
    <col min="7426" max="7426" width="2.125" customWidth="1"/>
    <col min="7427" max="7439" width="10.625" customWidth="1"/>
    <col min="7681" max="7681" width="1.25" customWidth="1"/>
    <col min="7682" max="7682" width="2.125" customWidth="1"/>
    <col min="7683" max="7695" width="10.625" customWidth="1"/>
    <col min="7937" max="7937" width="1.25" customWidth="1"/>
    <col min="7938" max="7938" width="2.125" customWidth="1"/>
    <col min="7939" max="7951" width="10.625" customWidth="1"/>
    <col min="8193" max="8193" width="1.25" customWidth="1"/>
    <col min="8194" max="8194" width="2.125" customWidth="1"/>
    <col min="8195" max="8207" width="10.625" customWidth="1"/>
    <col min="8449" max="8449" width="1.25" customWidth="1"/>
    <col min="8450" max="8450" width="2.125" customWidth="1"/>
    <col min="8451" max="8463" width="10.625" customWidth="1"/>
    <col min="8705" max="8705" width="1.25" customWidth="1"/>
    <col min="8706" max="8706" width="2.125" customWidth="1"/>
    <col min="8707" max="8719" width="10.625" customWidth="1"/>
    <col min="8961" max="8961" width="1.25" customWidth="1"/>
    <col min="8962" max="8962" width="2.125" customWidth="1"/>
    <col min="8963" max="8975" width="10.625" customWidth="1"/>
    <col min="9217" max="9217" width="1.25" customWidth="1"/>
    <col min="9218" max="9218" width="2.125" customWidth="1"/>
    <col min="9219" max="9231" width="10.625" customWidth="1"/>
    <col min="9473" max="9473" width="1.25" customWidth="1"/>
    <col min="9474" max="9474" width="2.125" customWidth="1"/>
    <col min="9475" max="9487" width="10.625" customWidth="1"/>
    <col min="9729" max="9729" width="1.25" customWidth="1"/>
    <col min="9730" max="9730" width="2.125" customWidth="1"/>
    <col min="9731" max="9743" width="10.625" customWidth="1"/>
    <col min="9985" max="9985" width="1.25" customWidth="1"/>
    <col min="9986" max="9986" width="2.125" customWidth="1"/>
    <col min="9987" max="9999" width="10.625" customWidth="1"/>
    <col min="10241" max="10241" width="1.25" customWidth="1"/>
    <col min="10242" max="10242" width="2.125" customWidth="1"/>
    <col min="10243" max="10255" width="10.625" customWidth="1"/>
    <col min="10497" max="10497" width="1.25" customWidth="1"/>
    <col min="10498" max="10498" width="2.125" customWidth="1"/>
    <col min="10499" max="10511" width="10.625" customWidth="1"/>
    <col min="10753" max="10753" width="1.25" customWidth="1"/>
    <col min="10754" max="10754" width="2.125" customWidth="1"/>
    <col min="10755" max="10767" width="10.625" customWidth="1"/>
    <col min="11009" max="11009" width="1.25" customWidth="1"/>
    <col min="11010" max="11010" width="2.125" customWidth="1"/>
    <col min="11011" max="11023" width="10.625" customWidth="1"/>
    <col min="11265" max="11265" width="1.25" customWidth="1"/>
    <col min="11266" max="11266" width="2.125" customWidth="1"/>
    <col min="11267" max="11279" width="10.625" customWidth="1"/>
    <col min="11521" max="11521" width="1.25" customWidth="1"/>
    <col min="11522" max="11522" width="2.125" customWidth="1"/>
    <col min="11523" max="11535" width="10.625" customWidth="1"/>
    <col min="11777" max="11777" width="1.25" customWidth="1"/>
    <col min="11778" max="11778" width="2.125" customWidth="1"/>
    <col min="11779" max="11791" width="10.625" customWidth="1"/>
    <col min="12033" max="12033" width="1.25" customWidth="1"/>
    <col min="12034" max="12034" width="2.125" customWidth="1"/>
    <col min="12035" max="12047" width="10.625" customWidth="1"/>
    <col min="12289" max="12289" width="1.25" customWidth="1"/>
    <col min="12290" max="12290" width="2.125" customWidth="1"/>
    <col min="12291" max="12303" width="10.625" customWidth="1"/>
    <col min="12545" max="12545" width="1.25" customWidth="1"/>
    <col min="12546" max="12546" width="2.125" customWidth="1"/>
    <col min="12547" max="12559" width="10.625" customWidth="1"/>
    <col min="12801" max="12801" width="1.25" customWidth="1"/>
    <col min="12802" max="12802" width="2.125" customWidth="1"/>
    <col min="12803" max="12815" width="10.625" customWidth="1"/>
    <col min="13057" max="13057" width="1.25" customWidth="1"/>
    <col min="13058" max="13058" width="2.125" customWidth="1"/>
    <col min="13059" max="13071" width="10.625" customWidth="1"/>
    <col min="13313" max="13313" width="1.25" customWidth="1"/>
    <col min="13314" max="13314" width="2.125" customWidth="1"/>
    <col min="13315" max="13327" width="10.625" customWidth="1"/>
    <col min="13569" max="13569" width="1.25" customWidth="1"/>
    <col min="13570" max="13570" width="2.125" customWidth="1"/>
    <col min="13571" max="13583" width="10.625" customWidth="1"/>
    <col min="13825" max="13825" width="1.25" customWidth="1"/>
    <col min="13826" max="13826" width="2.125" customWidth="1"/>
    <col min="13827" max="13839" width="10.625" customWidth="1"/>
    <col min="14081" max="14081" width="1.25" customWidth="1"/>
    <col min="14082" max="14082" width="2.125" customWidth="1"/>
    <col min="14083" max="14095" width="10.625" customWidth="1"/>
    <col min="14337" max="14337" width="1.25" customWidth="1"/>
    <col min="14338" max="14338" width="2.125" customWidth="1"/>
    <col min="14339" max="14351" width="10.625" customWidth="1"/>
    <col min="14593" max="14593" width="1.25" customWidth="1"/>
    <col min="14594" max="14594" width="2.125" customWidth="1"/>
    <col min="14595" max="14607" width="10.625" customWidth="1"/>
    <col min="14849" max="14849" width="1.25" customWidth="1"/>
    <col min="14850" max="14850" width="2.125" customWidth="1"/>
    <col min="14851" max="14863" width="10.625" customWidth="1"/>
    <col min="15105" max="15105" width="1.25" customWidth="1"/>
    <col min="15106" max="15106" width="2.125" customWidth="1"/>
    <col min="15107" max="15119" width="10.625" customWidth="1"/>
    <col min="15361" max="15361" width="1.25" customWidth="1"/>
    <col min="15362" max="15362" width="2.125" customWidth="1"/>
    <col min="15363" max="15375" width="10.625" customWidth="1"/>
    <col min="15617" max="15617" width="1.25" customWidth="1"/>
    <col min="15618" max="15618" width="2.125" customWidth="1"/>
    <col min="15619" max="15631" width="10.625" customWidth="1"/>
    <col min="15873" max="15873" width="1.25" customWidth="1"/>
    <col min="15874" max="15874" width="2.125" customWidth="1"/>
    <col min="15875" max="15887" width="10.625" customWidth="1"/>
    <col min="16129" max="16129" width="1.25" customWidth="1"/>
    <col min="16130" max="16130" width="2.125" customWidth="1"/>
    <col min="16131" max="16143" width="10.625" customWidth="1"/>
  </cols>
  <sheetData>
    <row r="1" spans="2:17" s="7" customFormat="1" ht="30" customHeight="1" thickBot="1">
      <c r="B1" s="658" t="s">
        <v>725</v>
      </c>
      <c r="C1" s="658"/>
      <c r="D1" s="658"/>
      <c r="E1" s="658"/>
      <c r="F1" s="658"/>
      <c r="G1" s="658"/>
      <c r="H1" s="658"/>
      <c r="I1" s="658"/>
      <c r="J1" s="658"/>
      <c r="K1" s="658"/>
      <c r="L1" s="658"/>
      <c r="M1" s="658"/>
      <c r="N1" s="658"/>
      <c r="O1" s="658"/>
      <c r="P1" s="658"/>
      <c r="Q1" s="658"/>
    </row>
    <row r="2" spans="2:17" ht="10.5" customHeight="1" thickTop="1"/>
    <row r="3" spans="2:17" ht="24.75" customHeight="1">
      <c r="B3" s="8" t="s">
        <v>15</v>
      </c>
    </row>
    <row r="4" spans="2:17" ht="62.25" customHeight="1">
      <c r="B4" s="657" t="s">
        <v>16</v>
      </c>
      <c r="C4" s="657"/>
      <c r="D4" s="657"/>
      <c r="E4" s="657"/>
      <c r="F4" s="657"/>
      <c r="G4" s="657"/>
      <c r="H4" s="657"/>
      <c r="I4" s="657"/>
      <c r="J4" s="657"/>
      <c r="K4" s="657"/>
      <c r="L4" s="657"/>
      <c r="M4" s="657"/>
      <c r="N4" s="657"/>
      <c r="O4" s="657"/>
      <c r="P4" s="657"/>
      <c r="Q4" s="657"/>
    </row>
    <row r="5" spans="2:17" ht="24.75" customHeight="1">
      <c r="B5" s="8" t="s">
        <v>17</v>
      </c>
    </row>
    <row r="6" spans="2:17" ht="24" customHeight="1">
      <c r="B6" s="657" t="s">
        <v>18</v>
      </c>
      <c r="C6" s="657"/>
      <c r="D6" s="657"/>
      <c r="E6" s="657"/>
      <c r="F6" s="657"/>
      <c r="G6" s="657"/>
      <c r="H6" s="657"/>
      <c r="I6" s="657"/>
      <c r="J6" s="657"/>
      <c r="K6" s="657"/>
      <c r="L6" s="657"/>
      <c r="M6" s="657"/>
      <c r="N6" s="657"/>
      <c r="O6" s="657"/>
    </row>
    <row r="7" spans="2:17" ht="21.95" customHeight="1">
      <c r="C7" s="9" t="s">
        <v>19</v>
      </c>
    </row>
    <row r="8" spans="2:17" ht="54" customHeight="1">
      <c r="C8" s="657" t="s">
        <v>20</v>
      </c>
      <c r="D8" s="657"/>
      <c r="E8" s="657"/>
      <c r="F8" s="657"/>
      <c r="G8" s="657"/>
      <c r="H8" s="657"/>
      <c r="I8" s="657"/>
      <c r="J8" s="657"/>
      <c r="K8" s="657"/>
      <c r="L8" s="657"/>
      <c r="M8" s="657"/>
      <c r="N8" s="657"/>
      <c r="O8" s="657"/>
      <c r="P8" s="657"/>
      <c r="Q8" s="657"/>
    </row>
    <row r="9" spans="2:17" ht="21" customHeight="1">
      <c r="C9" s="10" t="s">
        <v>231</v>
      </c>
    </row>
    <row r="10" spans="2:17" ht="21.95" customHeight="1">
      <c r="C10" s="9" t="s">
        <v>21</v>
      </c>
    </row>
    <row r="11" spans="2:17" ht="44.25" customHeight="1">
      <c r="C11" s="657" t="s">
        <v>22</v>
      </c>
      <c r="D11" s="657"/>
      <c r="E11" s="657"/>
      <c r="F11" s="657"/>
      <c r="G11" s="657"/>
      <c r="H11" s="657"/>
      <c r="I11" s="657"/>
      <c r="J11" s="657"/>
      <c r="K11" s="657"/>
      <c r="L11" s="657"/>
      <c r="M11" s="657"/>
      <c r="N11" s="657"/>
      <c r="O11" s="657"/>
      <c r="P11" s="657"/>
      <c r="Q11" s="657"/>
    </row>
    <row r="12" spans="2:17" ht="21" customHeight="1">
      <c r="C12" s="10" t="s">
        <v>233</v>
      </c>
      <c r="K12" s="11"/>
    </row>
    <row r="13" spans="2:17" ht="21.95" customHeight="1">
      <c r="C13" s="9" t="s">
        <v>23</v>
      </c>
    </row>
    <row r="14" spans="2:17" ht="42.75" customHeight="1">
      <c r="C14" s="659" t="s">
        <v>24</v>
      </c>
      <c r="D14" s="659"/>
      <c r="E14" s="659"/>
      <c r="F14" s="659"/>
      <c r="G14" s="659"/>
      <c r="H14" s="659"/>
      <c r="I14" s="659"/>
      <c r="J14" s="659"/>
      <c r="K14" s="659"/>
      <c r="L14" s="659"/>
      <c r="M14" s="659"/>
      <c r="N14" s="659"/>
      <c r="O14" s="659"/>
      <c r="P14" s="659"/>
      <c r="Q14" s="659"/>
    </row>
    <row r="15" spans="2:17" ht="18" customHeight="1">
      <c r="C15" s="12" t="s">
        <v>25</v>
      </c>
      <c r="D15" s="12" t="s">
        <v>26</v>
      </c>
      <c r="E15" s="12" t="s">
        <v>27</v>
      </c>
      <c r="F15" s="12" t="s">
        <v>2</v>
      </c>
      <c r="G15" s="12" t="s">
        <v>3</v>
      </c>
      <c r="H15" s="12" t="s">
        <v>4</v>
      </c>
      <c r="I15" s="12" t="s">
        <v>5</v>
      </c>
      <c r="J15" s="12" t="s">
        <v>6</v>
      </c>
      <c r="K15" s="12" t="s">
        <v>7</v>
      </c>
      <c r="L15" s="12" t="s">
        <v>8</v>
      </c>
      <c r="M15" s="12" t="s">
        <v>9</v>
      </c>
      <c r="N15" s="12" t="s">
        <v>10</v>
      </c>
      <c r="O15" s="12" t="s">
        <v>11</v>
      </c>
    </row>
    <row r="16" spans="2:17" ht="18" customHeight="1">
      <c r="C16" s="13" t="s">
        <v>28</v>
      </c>
      <c r="D16" s="14">
        <v>1.2</v>
      </c>
      <c r="E16" s="14">
        <v>1</v>
      </c>
      <c r="F16" s="14">
        <v>0.9</v>
      </c>
      <c r="G16" s="14">
        <v>0.8</v>
      </c>
      <c r="H16" s="14">
        <v>0.7</v>
      </c>
      <c r="I16" s="14">
        <v>0.6</v>
      </c>
      <c r="J16" s="14">
        <v>0.5</v>
      </c>
      <c r="K16" s="14">
        <v>0.4</v>
      </c>
      <c r="L16" s="14">
        <v>0.3</v>
      </c>
      <c r="M16" s="14">
        <v>0.2</v>
      </c>
      <c r="N16" s="14">
        <v>0.15</v>
      </c>
      <c r="O16" s="14">
        <v>0.1</v>
      </c>
    </row>
    <row r="17" spans="2:17" ht="18" customHeight="1"/>
    <row r="18" spans="2:17" ht="18" customHeight="1">
      <c r="C18" s="12" t="s">
        <v>25</v>
      </c>
      <c r="D18" s="12" t="s">
        <v>29</v>
      </c>
      <c r="E18" s="12" t="s">
        <v>30</v>
      </c>
      <c r="F18" s="12" t="s">
        <v>12</v>
      </c>
      <c r="G18" s="12" t="s">
        <v>13</v>
      </c>
      <c r="H18" s="12" t="s">
        <v>14</v>
      </c>
    </row>
    <row r="19" spans="2:17" ht="18" customHeight="1">
      <c r="C19" s="13" t="s">
        <v>31</v>
      </c>
      <c r="D19" s="14">
        <v>0.1</v>
      </c>
      <c r="E19" s="14">
        <v>7.0000000000000007E-2</v>
      </c>
      <c r="F19" s="14">
        <v>7.0000000000000007E-2</v>
      </c>
      <c r="G19" s="14">
        <v>0.05</v>
      </c>
      <c r="H19" s="14">
        <v>0.05</v>
      </c>
    </row>
    <row r="20" spans="2:17" ht="18" customHeight="1">
      <c r="C20" s="13" t="s">
        <v>32</v>
      </c>
      <c r="D20" s="14">
        <v>0</v>
      </c>
      <c r="E20" s="14">
        <v>0</v>
      </c>
      <c r="F20" s="14">
        <v>0</v>
      </c>
      <c r="G20" s="14">
        <v>0</v>
      </c>
      <c r="H20" s="14">
        <v>0</v>
      </c>
    </row>
    <row r="21" spans="2:17" ht="6" customHeight="1"/>
    <row r="22" spans="2:17">
      <c r="C22" s="15" t="s">
        <v>33</v>
      </c>
    </row>
    <row r="23" spans="2:17">
      <c r="C23" s="16" t="s">
        <v>232</v>
      </c>
    </row>
    <row r="24" spans="2:17" ht="24.75" customHeight="1">
      <c r="B24" s="8" t="s">
        <v>34</v>
      </c>
    </row>
    <row r="25" spans="2:17" ht="48.75" customHeight="1">
      <c r="C25" s="657" t="s">
        <v>35</v>
      </c>
      <c r="D25" s="657"/>
      <c r="E25" s="657"/>
      <c r="F25" s="657"/>
      <c r="G25" s="657"/>
      <c r="H25" s="657"/>
      <c r="I25" s="657"/>
      <c r="J25" s="657"/>
      <c r="K25" s="657"/>
      <c r="L25" s="657"/>
      <c r="M25" s="657"/>
      <c r="N25" s="657"/>
      <c r="O25" s="657"/>
      <c r="P25" s="657"/>
      <c r="Q25" s="657"/>
    </row>
  </sheetData>
  <mergeCells count="7">
    <mergeCell ref="C25:Q25"/>
    <mergeCell ref="B1:Q1"/>
    <mergeCell ref="B4:Q4"/>
    <mergeCell ref="B6:O6"/>
    <mergeCell ref="C8:Q8"/>
    <mergeCell ref="C11:Q11"/>
    <mergeCell ref="C14:Q14"/>
  </mergeCells>
  <phoneticPr fontId="4" type="noConversion"/>
  <printOptions horizontalCentered="1"/>
  <pageMargins left="0.15748031496062992" right="0.15748031496062992" top="0.35433070866141736" bottom="0.19685039370078741" header="0.31496062992125984" footer="0.31496062992125984"/>
  <pageSetup paperSize="9" scale="83"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Q13"/>
  <sheetViews>
    <sheetView workbookViewId="0">
      <selection activeCell="F24" sqref="F24"/>
    </sheetView>
  </sheetViews>
  <sheetFormatPr defaultRowHeight="16.5"/>
  <cols>
    <col min="1" max="1" width="1" style="17" customWidth="1"/>
    <col min="2" max="4" width="7.125" style="17" customWidth="1"/>
    <col min="5" max="5" width="12.875" style="17" customWidth="1"/>
    <col min="6" max="7" width="23.75" style="17" customWidth="1"/>
    <col min="8" max="11" width="7.25" style="17" customWidth="1"/>
    <col min="12" max="12" width="6.25" style="17" customWidth="1"/>
    <col min="13" max="17" width="7.25" style="17" customWidth="1"/>
    <col min="18" max="16384" width="9" style="17"/>
  </cols>
  <sheetData>
    <row r="1" spans="1:17" ht="30" customHeight="1" thickBot="1">
      <c r="B1" s="663" t="s">
        <v>614</v>
      </c>
      <c r="C1" s="663"/>
      <c r="D1" s="663"/>
      <c r="E1" s="663"/>
      <c r="F1" s="663"/>
      <c r="G1" s="663"/>
      <c r="H1" s="663"/>
      <c r="I1" s="663"/>
      <c r="J1" s="663"/>
      <c r="K1" s="663"/>
      <c r="L1" s="663"/>
      <c r="M1" s="663"/>
      <c r="N1" s="663"/>
      <c r="O1" s="663"/>
      <c r="P1" s="663"/>
      <c r="Q1" s="663"/>
    </row>
    <row r="2" spans="1:17" s="18" customFormat="1" ht="18" customHeight="1" thickTop="1" thickBot="1"/>
    <row r="3" spans="1:17" s="18" customFormat="1" ht="20.25" customHeight="1">
      <c r="B3" s="664" t="s">
        <v>36</v>
      </c>
      <c r="C3" s="665"/>
      <c r="D3" s="666"/>
      <c r="E3" s="615" t="s">
        <v>37</v>
      </c>
      <c r="F3" s="667" t="s">
        <v>25</v>
      </c>
      <c r="G3" s="667"/>
      <c r="H3" s="667" t="s">
        <v>38</v>
      </c>
      <c r="I3" s="667"/>
      <c r="J3" s="667"/>
      <c r="K3" s="667"/>
      <c r="L3" s="668"/>
      <c r="M3" s="668" t="s">
        <v>39</v>
      </c>
      <c r="N3" s="665"/>
      <c r="O3" s="665"/>
      <c r="P3" s="665"/>
      <c r="Q3" s="669"/>
    </row>
    <row r="4" spans="1:17" s="18" customFormat="1" ht="20.25" customHeight="1">
      <c r="B4" s="670"/>
      <c r="C4" s="671"/>
      <c r="D4" s="672"/>
      <c r="E4" s="649"/>
      <c r="F4" s="679"/>
      <c r="G4" s="680"/>
      <c r="H4" s="676"/>
      <c r="I4" s="677"/>
      <c r="J4" s="677"/>
      <c r="K4" s="677"/>
      <c r="L4" s="677"/>
      <c r="M4" s="676"/>
      <c r="N4" s="677"/>
      <c r="O4" s="677"/>
      <c r="P4" s="677"/>
      <c r="Q4" s="678"/>
    </row>
    <row r="5" spans="1:17" s="18" customFormat="1" ht="20.25" customHeight="1" thickBot="1">
      <c r="B5" s="673"/>
      <c r="C5" s="674"/>
      <c r="D5" s="675"/>
      <c r="E5" s="533"/>
      <c r="F5" s="681"/>
      <c r="G5" s="682"/>
      <c r="H5" s="660"/>
      <c r="I5" s="661"/>
      <c r="J5" s="661"/>
      <c r="K5" s="661"/>
      <c r="L5" s="661"/>
      <c r="M5" s="660"/>
      <c r="N5" s="661"/>
      <c r="O5" s="661"/>
      <c r="P5" s="661"/>
      <c r="Q5" s="662"/>
    </row>
    <row r="6" spans="1:17" s="18" customFormat="1" ht="20.25" customHeight="1">
      <c r="A6" s="475"/>
      <c r="B6" s="475"/>
      <c r="C6" s="475"/>
      <c r="D6" s="475"/>
      <c r="E6" s="475"/>
      <c r="F6" s="475"/>
      <c r="G6" s="475"/>
      <c r="H6" s="475"/>
      <c r="I6" s="475"/>
      <c r="J6" s="475"/>
      <c r="K6" s="475"/>
      <c r="L6" s="475"/>
      <c r="M6" s="475"/>
      <c r="N6" s="475"/>
      <c r="O6" s="475"/>
      <c r="P6" s="475"/>
      <c r="Q6" s="475"/>
    </row>
    <row r="7" spans="1:17" s="19" customFormat="1" ht="22.5" customHeight="1">
      <c r="B7" s="19" t="s">
        <v>40</v>
      </c>
    </row>
    <row r="8" spans="1:17" s="19" customFormat="1" ht="22.5" customHeight="1">
      <c r="B8" s="20" t="s">
        <v>41</v>
      </c>
    </row>
    <row r="9" spans="1:17" s="19" customFormat="1" ht="22.5" customHeight="1">
      <c r="B9" s="20" t="s">
        <v>717</v>
      </c>
    </row>
    <row r="10" spans="1:17" s="19" customFormat="1" ht="9.75" customHeight="1">
      <c r="B10" s="20"/>
    </row>
    <row r="11" spans="1:17" s="21" customFormat="1" ht="23.25" customHeight="1">
      <c r="B11" s="22" t="s">
        <v>87</v>
      </c>
    </row>
    <row r="12" spans="1:17" customFormat="1" ht="18" customHeight="1">
      <c r="A12" s="18"/>
      <c r="B12" s="23" t="s">
        <v>137</v>
      </c>
      <c r="C12" s="369"/>
      <c r="D12" s="368"/>
      <c r="E12" s="377"/>
      <c r="F12" s="370"/>
      <c r="G12" s="370"/>
      <c r="H12" s="370"/>
    </row>
    <row r="13" spans="1:17" s="21" customFormat="1" ht="22.5" customHeight="1">
      <c r="B13" s="23"/>
    </row>
  </sheetData>
  <mergeCells count="11">
    <mergeCell ref="M5:Q5"/>
    <mergeCell ref="B1:Q1"/>
    <mergeCell ref="B3:D3"/>
    <mergeCell ref="F3:G3"/>
    <mergeCell ref="H3:L3"/>
    <mergeCell ref="M3:Q3"/>
    <mergeCell ref="B4:D5"/>
    <mergeCell ref="H4:L4"/>
    <mergeCell ref="M4:Q4"/>
    <mergeCell ref="F4:G5"/>
    <mergeCell ref="H5:L5"/>
  </mergeCells>
  <phoneticPr fontId="4" type="noConversion"/>
  <printOptions horizontalCentered="1"/>
  <pageMargins left="0.15748031496062992" right="0.15748031496062992" top="0.35433070866141736" bottom="0.19685039370078741"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53"/>
  <sheetViews>
    <sheetView workbookViewId="0"/>
  </sheetViews>
  <sheetFormatPr defaultColWidth="7.25" defaultRowHeight="12"/>
  <cols>
    <col min="1" max="1" width="1.125" style="18" customWidth="1"/>
    <col min="2" max="2" width="10.625" style="18" customWidth="1"/>
    <col min="3" max="3" width="9.75" style="18" customWidth="1"/>
    <col min="4" max="4" width="8.5" style="18" customWidth="1"/>
    <col min="5" max="5" width="8.75" style="18" customWidth="1"/>
    <col min="6" max="6" width="7.625" style="18" customWidth="1"/>
    <col min="7" max="8" width="8.5" style="18" customWidth="1"/>
    <col min="9" max="9" width="9.375" style="18" customWidth="1"/>
    <col min="10" max="10" width="8.625" style="18" customWidth="1"/>
    <col min="11" max="11" width="5.75" style="18" customWidth="1"/>
    <col min="12" max="12" width="8" style="18" customWidth="1"/>
    <col min="13" max="27" width="8.125" style="18" customWidth="1"/>
    <col min="28" max="16384" width="7.25" style="18"/>
  </cols>
  <sheetData>
    <row r="1" spans="1:30" s="24" customFormat="1" ht="30" customHeight="1" thickBot="1">
      <c r="B1" s="663" t="s">
        <v>726</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row>
    <row r="2" spans="1:30" s="392" customFormat="1" ht="10.5" customHeight="1" thickTop="1">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row>
    <row r="3" spans="1:30" s="24" customFormat="1" ht="23.25" customHeight="1">
      <c r="A3" s="78"/>
      <c r="B3" s="79" t="s">
        <v>104</v>
      </c>
      <c r="C3" s="78"/>
      <c r="D3" s="78"/>
      <c r="E3" s="78"/>
      <c r="F3" s="78"/>
      <c r="G3" s="78"/>
      <c r="H3" s="78"/>
      <c r="I3" s="78"/>
      <c r="J3" s="78"/>
      <c r="K3" s="78"/>
      <c r="L3" s="78"/>
      <c r="M3" s="78"/>
      <c r="N3" s="78"/>
      <c r="O3" s="78"/>
      <c r="P3" s="78"/>
      <c r="Q3" s="78"/>
      <c r="R3" s="78"/>
      <c r="S3" s="78"/>
      <c r="T3" s="78"/>
      <c r="U3" s="78"/>
      <c r="V3" s="78"/>
      <c r="W3" s="78"/>
      <c r="X3" s="78"/>
      <c r="Y3" s="78"/>
      <c r="Z3" s="78"/>
    </row>
    <row r="4" spans="1:30" s="24" customFormat="1" ht="23.2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row>
    <row r="5" spans="1:30" s="357" customFormat="1" ht="18" customHeight="1">
      <c r="B5" s="25"/>
      <c r="C5" s="25"/>
      <c r="F5" s="358"/>
      <c r="G5" s="358"/>
      <c r="H5" s="358"/>
      <c r="I5" s="358"/>
      <c r="J5" s="358"/>
      <c r="K5" s="358"/>
    </row>
    <row r="6" spans="1:30" s="357" customFormat="1" ht="18" customHeight="1" thickBot="1">
      <c r="B6" s="359" t="s">
        <v>194</v>
      </c>
      <c r="C6" s="25"/>
      <c r="F6" s="358"/>
      <c r="G6" s="358"/>
      <c r="H6" s="358"/>
      <c r="I6" s="358"/>
      <c r="J6" s="358"/>
      <c r="K6" s="358"/>
    </row>
    <row r="7" spans="1:30" s="357" customFormat="1" ht="18" customHeight="1">
      <c r="B7" s="701" t="s">
        <v>107</v>
      </c>
      <c r="C7" s="702"/>
      <c r="D7" s="703" t="s">
        <v>195</v>
      </c>
      <c r="E7" s="704"/>
      <c r="F7" s="704"/>
      <c r="G7" s="704"/>
      <c r="H7" s="704"/>
      <c r="I7" s="704"/>
      <c r="J7" s="704"/>
      <c r="K7" s="705"/>
      <c r="L7" s="702" t="s">
        <v>196</v>
      </c>
      <c r="M7" s="702"/>
      <c r="N7" s="702"/>
      <c r="O7" s="702"/>
      <c r="P7" s="702"/>
      <c r="Q7" s="706"/>
    </row>
    <row r="8" spans="1:30" s="357" customFormat="1" ht="18" customHeight="1">
      <c r="B8" s="707" t="s">
        <v>138</v>
      </c>
      <c r="C8" s="708"/>
      <c r="D8" s="711" t="s">
        <v>197</v>
      </c>
      <c r="E8" s="712"/>
      <c r="F8" s="712"/>
      <c r="G8" s="712"/>
      <c r="H8" s="712"/>
      <c r="I8" s="712"/>
      <c r="J8" s="712"/>
      <c r="K8" s="713"/>
      <c r="L8" s="714"/>
      <c r="M8" s="714"/>
      <c r="N8" s="714"/>
      <c r="O8" s="714"/>
      <c r="P8" s="714"/>
      <c r="Q8" s="715"/>
    </row>
    <row r="9" spans="1:30" s="357" customFormat="1" ht="27" customHeight="1">
      <c r="B9" s="709"/>
      <c r="C9" s="710"/>
      <c r="D9" s="720" t="s">
        <v>198</v>
      </c>
      <c r="E9" s="721"/>
      <c r="F9" s="721"/>
      <c r="G9" s="721"/>
      <c r="H9" s="721"/>
      <c r="I9" s="721"/>
      <c r="J9" s="721"/>
      <c r="K9" s="722"/>
      <c r="L9" s="716"/>
      <c r="M9" s="716"/>
      <c r="N9" s="716"/>
      <c r="O9" s="716"/>
      <c r="P9" s="716"/>
      <c r="Q9" s="717"/>
    </row>
    <row r="10" spans="1:30" s="357" customFormat="1" ht="18" customHeight="1">
      <c r="B10" s="723" t="s">
        <v>109</v>
      </c>
      <c r="C10" s="724"/>
      <c r="D10" s="725" t="s">
        <v>199</v>
      </c>
      <c r="E10" s="726"/>
      <c r="F10" s="726"/>
      <c r="G10" s="726"/>
      <c r="H10" s="726"/>
      <c r="I10" s="726"/>
      <c r="J10" s="726"/>
      <c r="K10" s="727"/>
      <c r="L10" s="716"/>
      <c r="M10" s="716"/>
      <c r="N10" s="716"/>
      <c r="O10" s="716"/>
      <c r="P10" s="716"/>
      <c r="Q10" s="717"/>
    </row>
    <row r="11" spans="1:30" s="357" customFormat="1" ht="18" customHeight="1">
      <c r="B11" s="723"/>
      <c r="C11" s="724"/>
      <c r="D11" s="728" t="s">
        <v>200</v>
      </c>
      <c r="E11" s="729"/>
      <c r="F11" s="729"/>
      <c r="G11" s="729"/>
      <c r="H11" s="729"/>
      <c r="I11" s="729"/>
      <c r="J11" s="729"/>
      <c r="K11" s="730"/>
      <c r="L11" s="718"/>
      <c r="M11" s="718"/>
      <c r="N11" s="718"/>
      <c r="O11" s="718"/>
      <c r="P11" s="718"/>
      <c r="Q11" s="719"/>
    </row>
    <row r="12" spans="1:30" s="357" customFormat="1" ht="18" customHeight="1">
      <c r="B12" s="731" t="s">
        <v>201</v>
      </c>
      <c r="C12" s="732"/>
      <c r="D12" s="735" t="s">
        <v>202</v>
      </c>
      <c r="E12" s="736"/>
      <c r="F12" s="736"/>
      <c r="G12" s="736"/>
      <c r="H12" s="736"/>
      <c r="I12" s="736"/>
      <c r="J12" s="736"/>
      <c r="K12" s="737"/>
      <c r="L12" s="738" t="s">
        <v>42</v>
      </c>
      <c r="M12" s="739"/>
      <c r="N12" s="739"/>
      <c r="O12" s="739"/>
      <c r="P12" s="739"/>
      <c r="Q12" s="740"/>
    </row>
    <row r="13" spans="1:30" s="357" customFormat="1" ht="18" customHeight="1" thickBot="1">
      <c r="B13" s="733"/>
      <c r="C13" s="734"/>
      <c r="D13" s="744" t="s">
        <v>203</v>
      </c>
      <c r="E13" s="745"/>
      <c r="F13" s="745"/>
      <c r="G13" s="745"/>
      <c r="H13" s="745"/>
      <c r="I13" s="745"/>
      <c r="J13" s="745"/>
      <c r="K13" s="746"/>
      <c r="L13" s="741"/>
      <c r="M13" s="742"/>
      <c r="N13" s="742"/>
      <c r="O13" s="742"/>
      <c r="P13" s="742"/>
      <c r="Q13" s="743"/>
    </row>
    <row r="14" spans="1:30" s="357" customFormat="1" ht="18" customHeight="1">
      <c r="B14" s="25"/>
      <c r="C14" s="25"/>
      <c r="F14" s="358"/>
      <c r="G14" s="358"/>
      <c r="H14" s="358"/>
      <c r="I14" s="358"/>
      <c r="J14" s="358"/>
      <c r="K14" s="358"/>
    </row>
    <row r="15" spans="1:30" s="357" customFormat="1" ht="18" customHeight="1">
      <c r="B15" s="25"/>
      <c r="C15" s="25"/>
      <c r="F15" s="358"/>
      <c r="G15" s="358"/>
      <c r="H15" s="358"/>
      <c r="I15" s="358"/>
      <c r="J15" s="358"/>
      <c r="K15" s="358"/>
    </row>
    <row r="16" spans="1:30" s="357" customFormat="1" ht="18" customHeight="1">
      <c r="B16" s="359" t="s">
        <v>204</v>
      </c>
      <c r="C16" s="25"/>
      <c r="F16" s="358"/>
      <c r="G16" s="358"/>
      <c r="H16" s="358"/>
      <c r="I16" s="358"/>
      <c r="J16" s="358"/>
      <c r="K16" s="358"/>
    </row>
    <row r="17" spans="1:30" s="34" customFormat="1" ht="25.5" customHeight="1">
      <c r="B17" s="423" t="s">
        <v>390</v>
      </c>
      <c r="C17" s="423"/>
      <c r="D17" s="423"/>
      <c r="E17" s="423"/>
      <c r="F17" s="423"/>
      <c r="G17" s="423"/>
      <c r="H17" s="424"/>
      <c r="I17" s="424"/>
      <c r="J17" s="425"/>
      <c r="K17" s="425"/>
      <c r="L17" s="425"/>
      <c r="M17" s="424"/>
      <c r="N17" s="424"/>
      <c r="O17" s="424"/>
      <c r="P17" s="424"/>
      <c r="Q17" s="424"/>
      <c r="R17" s="424"/>
      <c r="S17" s="424"/>
      <c r="T17" s="424"/>
      <c r="U17" s="424"/>
      <c r="V17" s="424"/>
      <c r="W17" s="424"/>
      <c r="X17" s="424"/>
      <c r="Y17" s="424"/>
    </row>
    <row r="18" spans="1:30" s="34" customFormat="1" ht="24" customHeight="1">
      <c r="A18" s="29"/>
      <c r="B18" s="30" t="s">
        <v>110</v>
      </c>
      <c r="C18" s="31"/>
      <c r="D18" s="31"/>
      <c r="E18" s="31"/>
      <c r="F18" s="31"/>
      <c r="G18" s="31"/>
      <c r="H18" s="32"/>
      <c r="I18" s="32"/>
      <c r="J18" s="33"/>
      <c r="K18" s="33"/>
      <c r="L18" s="33"/>
      <c r="M18" s="32"/>
      <c r="N18" s="32"/>
      <c r="O18" s="32"/>
      <c r="P18" s="32"/>
      <c r="Q18" s="32"/>
      <c r="R18" s="32"/>
      <c r="S18" s="32"/>
      <c r="T18" s="32"/>
      <c r="U18" s="32"/>
      <c r="V18" s="32"/>
      <c r="W18" s="32"/>
      <c r="X18" s="32"/>
      <c r="Y18" s="32"/>
      <c r="Z18" s="29"/>
      <c r="AA18" s="29"/>
    </row>
    <row r="19" spans="1:30" s="36" customFormat="1" ht="7.5" customHeight="1" thickBot="1">
      <c r="A19" s="358"/>
      <c r="B19" s="35"/>
      <c r="C19" s="358"/>
      <c r="D19" s="357"/>
      <c r="E19" s="357"/>
      <c r="F19" s="357"/>
      <c r="G19" s="358"/>
      <c r="H19" s="358"/>
      <c r="I19" s="358"/>
      <c r="J19" s="358"/>
      <c r="K19" s="358"/>
      <c r="L19" s="358"/>
      <c r="M19" s="358"/>
      <c r="N19" s="358"/>
      <c r="O19" s="358"/>
      <c r="P19" s="358"/>
      <c r="Q19" s="358"/>
      <c r="R19" s="358"/>
      <c r="S19" s="358"/>
      <c r="T19" s="358"/>
      <c r="U19" s="358"/>
      <c r="V19" s="358"/>
      <c r="W19" s="358"/>
      <c r="X19" s="358"/>
      <c r="Y19" s="358"/>
      <c r="Z19" s="358"/>
      <c r="AA19" s="358"/>
    </row>
    <row r="20" spans="1:30" s="37" customFormat="1" ht="18" customHeight="1">
      <c r="B20" s="747" t="s">
        <v>111</v>
      </c>
      <c r="C20" s="748"/>
      <c r="D20" s="749"/>
      <c r="E20" s="750" t="s">
        <v>112</v>
      </c>
      <c r="F20" s="750"/>
      <c r="G20" s="751"/>
      <c r="H20" s="245" t="s">
        <v>205</v>
      </c>
      <c r="I20" s="750" t="s">
        <v>206</v>
      </c>
      <c r="J20" s="751"/>
      <c r="K20" s="752" t="s">
        <v>207</v>
      </c>
      <c r="L20" s="753"/>
      <c r="M20" s="691" t="s">
        <v>114</v>
      </c>
      <c r="N20" s="754"/>
      <c r="O20" s="755"/>
      <c r="P20" s="689" t="s">
        <v>115</v>
      </c>
      <c r="Q20" s="690"/>
      <c r="R20" s="428">
        <v>0.93</v>
      </c>
      <c r="S20" s="699" t="s">
        <v>321</v>
      </c>
      <c r="T20" s="700"/>
      <c r="U20" s="539">
        <v>0.86</v>
      </c>
      <c r="V20" s="689" t="s">
        <v>238</v>
      </c>
      <c r="W20" s="690"/>
      <c r="X20" s="437">
        <v>0.83</v>
      </c>
      <c r="Y20" s="689" t="s">
        <v>116</v>
      </c>
      <c r="Z20" s="690"/>
      <c r="AA20" s="428">
        <v>0.75</v>
      </c>
      <c r="AB20" s="691" t="s">
        <v>117</v>
      </c>
      <c r="AC20" s="692"/>
      <c r="AD20" s="437">
        <v>0.7</v>
      </c>
    </row>
    <row r="21" spans="1:30" s="37" customFormat="1" ht="27.75" customHeight="1" thickBot="1">
      <c r="B21" s="246" t="s">
        <v>118</v>
      </c>
      <c r="C21" s="247" t="s">
        <v>43</v>
      </c>
      <c r="D21" s="248" t="s">
        <v>208</v>
      </c>
      <c r="E21" s="249" t="s">
        <v>119</v>
      </c>
      <c r="F21" s="250" t="s">
        <v>120</v>
      </c>
      <c r="G21" s="250" t="s">
        <v>209</v>
      </c>
      <c r="H21" s="251">
        <v>2.96</v>
      </c>
      <c r="I21" s="252" t="s">
        <v>210</v>
      </c>
      <c r="J21" s="252" t="s">
        <v>211</v>
      </c>
      <c r="K21" s="250" t="s">
        <v>212</v>
      </c>
      <c r="L21" s="253" t="s">
        <v>213</v>
      </c>
      <c r="M21" s="254" t="s">
        <v>121</v>
      </c>
      <c r="N21" s="255" t="s">
        <v>139</v>
      </c>
      <c r="O21" s="256" t="s">
        <v>140</v>
      </c>
      <c r="P21" s="257" t="s">
        <v>121</v>
      </c>
      <c r="Q21" s="255" t="s">
        <v>139</v>
      </c>
      <c r="R21" s="327" t="s">
        <v>140</v>
      </c>
      <c r="S21" s="536" t="s">
        <v>121</v>
      </c>
      <c r="T21" s="537" t="s">
        <v>139</v>
      </c>
      <c r="U21" s="538" t="s">
        <v>140</v>
      </c>
      <c r="V21" s="257" t="s">
        <v>121</v>
      </c>
      <c r="W21" s="255" t="s">
        <v>214</v>
      </c>
      <c r="X21" s="256" t="s">
        <v>140</v>
      </c>
      <c r="Y21" s="257" t="s">
        <v>121</v>
      </c>
      <c r="Z21" s="255" t="s">
        <v>139</v>
      </c>
      <c r="AA21" s="256" t="s">
        <v>140</v>
      </c>
      <c r="AB21" s="254" t="s">
        <v>121</v>
      </c>
      <c r="AC21" s="255" t="s">
        <v>139</v>
      </c>
      <c r="AD21" s="256" t="s">
        <v>140</v>
      </c>
    </row>
    <row r="22" spans="1:30" s="37" customFormat="1" ht="18" customHeight="1">
      <c r="B22" s="693" t="s">
        <v>215</v>
      </c>
      <c r="C22" s="694"/>
      <c r="D22" s="694"/>
      <c r="E22" s="695">
        <v>1000</v>
      </c>
      <c r="F22" s="696">
        <f>C23*E22</f>
        <v>2400</v>
      </c>
      <c r="G22" s="696" t="s">
        <v>122</v>
      </c>
      <c r="H22" s="697">
        <f>F22*$H$21</f>
        <v>7104</v>
      </c>
      <c r="I22" s="697">
        <f>F22*9.2%*11</f>
        <v>2428.7999999999997</v>
      </c>
      <c r="J22" s="697">
        <f>F22*5.5%*2</f>
        <v>264</v>
      </c>
      <c r="K22" s="697" t="s">
        <v>122</v>
      </c>
      <c r="L22" s="698" t="s">
        <v>122</v>
      </c>
      <c r="M22" s="38">
        <f>H22</f>
        <v>7104</v>
      </c>
      <c r="N22" s="39">
        <f>H22+I22</f>
        <v>9532.7999999999993</v>
      </c>
      <c r="O22" s="40">
        <f>H22+I22+J22</f>
        <v>9796.7999999999993</v>
      </c>
      <c r="P22" s="41">
        <f>M22*$R$20</f>
        <v>6606.72</v>
      </c>
      <c r="Q22" s="42">
        <f>N22*$R$20</f>
        <v>8865.503999999999</v>
      </c>
      <c r="R22" s="43">
        <f>O22*$R$20</f>
        <v>9111.0239999999994</v>
      </c>
      <c r="S22" s="555">
        <f>M22*$U$20</f>
        <v>6109.44</v>
      </c>
      <c r="T22" s="39">
        <f>N22*$U$20</f>
        <v>8198.2079999999987</v>
      </c>
      <c r="U22" s="556">
        <f>O22*$U$20</f>
        <v>8425.2479999999996</v>
      </c>
      <c r="V22" s="41">
        <f>M22*$X$20</f>
        <v>5896.32</v>
      </c>
      <c r="W22" s="42">
        <f>N22*$X$20</f>
        <v>7912.2239999999993</v>
      </c>
      <c r="X22" s="40">
        <f>O22*$X$20</f>
        <v>8131.3439999999991</v>
      </c>
      <c r="Y22" s="41">
        <f>M22*$AA$20</f>
        <v>5328</v>
      </c>
      <c r="Z22" s="42">
        <f>N22*$AA$20</f>
        <v>7149.5999999999995</v>
      </c>
      <c r="AA22" s="43">
        <f>O22*$AA$20</f>
        <v>7347.5999999999995</v>
      </c>
      <c r="AB22" s="44">
        <f>M22*$AD$20</f>
        <v>4972.7999999999993</v>
      </c>
      <c r="AC22" s="43">
        <f>N22*$AD$20</f>
        <v>6672.9599999999991</v>
      </c>
      <c r="AD22" s="40">
        <f>O22*$AD$20</f>
        <v>6857.7599999999993</v>
      </c>
    </row>
    <row r="23" spans="1:30" s="37" customFormat="1" ht="18" customHeight="1">
      <c r="B23" s="258" t="s">
        <v>216</v>
      </c>
      <c r="C23" s="259">
        <v>2.4</v>
      </c>
      <c r="D23" s="260" t="s">
        <v>217</v>
      </c>
      <c r="E23" s="685"/>
      <c r="F23" s="686"/>
      <c r="G23" s="686"/>
      <c r="H23" s="687"/>
      <c r="I23" s="687"/>
      <c r="J23" s="687"/>
      <c r="K23" s="687"/>
      <c r="L23" s="688"/>
      <c r="M23" s="45">
        <f>M22/$E$22</f>
        <v>7.1040000000000001</v>
      </c>
      <c r="N23" s="46">
        <f t="shared" ref="N23:AD23" si="0">N22/$E$22</f>
        <v>9.5327999999999999</v>
      </c>
      <c r="O23" s="47">
        <f t="shared" si="0"/>
        <v>9.7967999999999993</v>
      </c>
      <c r="P23" s="48">
        <f t="shared" si="0"/>
        <v>6.6067200000000001</v>
      </c>
      <c r="Q23" s="46">
        <f t="shared" si="0"/>
        <v>8.8655039999999996</v>
      </c>
      <c r="R23" s="49">
        <f t="shared" si="0"/>
        <v>9.1110239999999987</v>
      </c>
      <c r="S23" s="50">
        <f t="shared" ref="S23:U23" si="1">S22/$E$22</f>
        <v>6.1094399999999993</v>
      </c>
      <c r="T23" s="46">
        <f t="shared" si="1"/>
        <v>8.1982079999999993</v>
      </c>
      <c r="U23" s="51">
        <f t="shared" si="1"/>
        <v>8.4252479999999998</v>
      </c>
      <c r="V23" s="48">
        <f t="shared" si="0"/>
        <v>5.8963199999999993</v>
      </c>
      <c r="W23" s="46">
        <f t="shared" si="0"/>
        <v>7.9122239999999993</v>
      </c>
      <c r="X23" s="51">
        <f t="shared" si="0"/>
        <v>8.1313439999999986</v>
      </c>
      <c r="Y23" s="48">
        <f t="shared" si="0"/>
        <v>5.3280000000000003</v>
      </c>
      <c r="Z23" s="46">
        <f t="shared" si="0"/>
        <v>7.1495999999999995</v>
      </c>
      <c r="AA23" s="49">
        <f t="shared" si="0"/>
        <v>7.347599999999999</v>
      </c>
      <c r="AB23" s="52">
        <f t="shared" si="0"/>
        <v>4.9727999999999994</v>
      </c>
      <c r="AC23" s="46">
        <f t="shared" si="0"/>
        <v>6.6729599999999989</v>
      </c>
      <c r="AD23" s="51">
        <f t="shared" si="0"/>
        <v>6.857759999999999</v>
      </c>
    </row>
    <row r="24" spans="1:30" s="37" customFormat="1" ht="18" customHeight="1">
      <c r="B24" s="683" t="s">
        <v>237</v>
      </c>
      <c r="C24" s="684"/>
      <c r="D24" s="684"/>
      <c r="E24" s="685">
        <v>1000</v>
      </c>
      <c r="F24" s="686">
        <f>C25*E24</f>
        <v>2400</v>
      </c>
      <c r="G24" s="686" t="s">
        <v>217</v>
      </c>
      <c r="H24" s="687">
        <f>F24*$H$21</f>
        <v>7104</v>
      </c>
      <c r="I24" s="687">
        <f t="shared" ref="I24" si="2">F24*9.2%*11</f>
        <v>2428.7999999999997</v>
      </c>
      <c r="J24" s="687">
        <f t="shared" ref="J24" si="3">F24*5.5%*2</f>
        <v>264</v>
      </c>
      <c r="K24" s="687" t="s">
        <v>217</v>
      </c>
      <c r="L24" s="688" t="s">
        <v>217</v>
      </c>
      <c r="M24" s="53">
        <f>H24</f>
        <v>7104</v>
      </c>
      <c r="N24" s="42">
        <f>H24+I24</f>
        <v>9532.7999999999993</v>
      </c>
      <c r="O24" s="54">
        <f>H24+I24+J24</f>
        <v>9796.7999999999993</v>
      </c>
      <c r="P24" s="55">
        <f>M24*$R$20</f>
        <v>6606.72</v>
      </c>
      <c r="Q24" s="42">
        <f>N24*$R$20</f>
        <v>8865.503999999999</v>
      </c>
      <c r="R24" s="56">
        <f>O24*$R$20</f>
        <v>9111.0239999999994</v>
      </c>
      <c r="S24" s="57">
        <f>M24*$U$20</f>
        <v>6109.44</v>
      </c>
      <c r="T24" s="63">
        <f>N24*$U$20</f>
        <v>8198.2079999999987</v>
      </c>
      <c r="U24" s="54">
        <f>O24*$U$20</f>
        <v>8425.2479999999996</v>
      </c>
      <c r="V24" s="55">
        <f>M24*$X$20</f>
        <v>5896.32</v>
      </c>
      <c r="W24" s="42">
        <f>N24*$X$20</f>
        <v>7912.2239999999993</v>
      </c>
      <c r="X24" s="54">
        <f>O24*$X$20</f>
        <v>8131.3439999999991</v>
      </c>
      <c r="Y24" s="55">
        <f>M24*$AA$20</f>
        <v>5328</v>
      </c>
      <c r="Z24" s="42">
        <f>N24*$AA$20</f>
        <v>7149.5999999999995</v>
      </c>
      <c r="AA24" s="56">
        <f>O24*$AA$20</f>
        <v>7347.5999999999995</v>
      </c>
      <c r="AB24" s="57">
        <f>M24*$AD$20</f>
        <v>4972.7999999999993</v>
      </c>
      <c r="AC24" s="43">
        <f>N24*$AD$20</f>
        <v>6672.9599999999991</v>
      </c>
      <c r="AD24" s="54">
        <f>O24*$AD$20</f>
        <v>6857.7599999999993</v>
      </c>
    </row>
    <row r="25" spans="1:30" s="37" customFormat="1" ht="18" customHeight="1">
      <c r="B25" s="258" t="s">
        <v>145</v>
      </c>
      <c r="C25" s="259">
        <v>2.4</v>
      </c>
      <c r="D25" s="260" t="s">
        <v>122</v>
      </c>
      <c r="E25" s="685"/>
      <c r="F25" s="686"/>
      <c r="G25" s="686"/>
      <c r="H25" s="687"/>
      <c r="I25" s="687"/>
      <c r="J25" s="687"/>
      <c r="K25" s="687"/>
      <c r="L25" s="688"/>
      <c r="M25" s="45">
        <f>M24/$E$24</f>
        <v>7.1040000000000001</v>
      </c>
      <c r="N25" s="46">
        <f>N24/$E$24</f>
        <v>9.5327999999999999</v>
      </c>
      <c r="O25" s="47">
        <f>O24/$E$24</f>
        <v>9.7967999999999993</v>
      </c>
      <c r="P25" s="58">
        <f t="shared" ref="P25:AD25" si="4">P24/$E$24</f>
        <v>6.6067200000000001</v>
      </c>
      <c r="Q25" s="46">
        <f>Q24/$E$24</f>
        <v>8.8655039999999996</v>
      </c>
      <c r="R25" s="59">
        <f t="shared" si="4"/>
        <v>9.1110239999999987</v>
      </c>
      <c r="S25" s="52">
        <f t="shared" ref="S25" si="5">S24/$E$24</f>
        <v>6.1094399999999993</v>
      </c>
      <c r="T25" s="46">
        <f>T24/$E$24</f>
        <v>8.1982079999999993</v>
      </c>
      <c r="U25" s="47">
        <f t="shared" ref="U25" si="6">U24/$E$24</f>
        <v>8.4252479999999998</v>
      </c>
      <c r="V25" s="58">
        <f t="shared" si="4"/>
        <v>5.8963199999999993</v>
      </c>
      <c r="W25" s="46">
        <f>W24/$E$24</f>
        <v>7.9122239999999993</v>
      </c>
      <c r="X25" s="47">
        <f t="shared" si="4"/>
        <v>8.1313439999999986</v>
      </c>
      <c r="Y25" s="58">
        <f t="shared" si="4"/>
        <v>5.3280000000000003</v>
      </c>
      <c r="Z25" s="46">
        <f>Z24/$E$24</f>
        <v>7.1495999999999995</v>
      </c>
      <c r="AA25" s="59">
        <f t="shared" si="4"/>
        <v>7.347599999999999</v>
      </c>
      <c r="AB25" s="52">
        <f t="shared" si="4"/>
        <v>4.9727999999999994</v>
      </c>
      <c r="AC25" s="46">
        <f>AC24/$E$24</f>
        <v>6.6729599999999989</v>
      </c>
      <c r="AD25" s="47">
        <f t="shared" si="4"/>
        <v>6.857759999999999</v>
      </c>
    </row>
    <row r="26" spans="1:30" s="37" customFormat="1" ht="18" customHeight="1">
      <c r="B26" s="683" t="s">
        <v>218</v>
      </c>
      <c r="C26" s="684"/>
      <c r="D26" s="684"/>
      <c r="E26" s="685">
        <v>1000</v>
      </c>
      <c r="F26" s="686">
        <f>C27*E26</f>
        <v>2200</v>
      </c>
      <c r="G26" s="686" t="s">
        <v>122</v>
      </c>
      <c r="H26" s="687">
        <f>F26*$H$21</f>
        <v>6512</v>
      </c>
      <c r="I26" s="687">
        <f t="shared" ref="I26" si="7">F26*9.2%*11</f>
        <v>2226.4</v>
      </c>
      <c r="J26" s="687">
        <f t="shared" ref="J26" si="8">F26*5.5%*2</f>
        <v>242</v>
      </c>
      <c r="K26" s="687" t="s">
        <v>122</v>
      </c>
      <c r="L26" s="688" t="s">
        <v>122</v>
      </c>
      <c r="M26" s="53">
        <f>H26</f>
        <v>6512</v>
      </c>
      <c r="N26" s="42">
        <f>H26+I26</f>
        <v>8738.4</v>
      </c>
      <c r="O26" s="54">
        <f>H26+I26+J26</f>
        <v>8980.4</v>
      </c>
      <c r="P26" s="55">
        <f>M26*$R$20</f>
        <v>6056.1600000000008</v>
      </c>
      <c r="Q26" s="42">
        <f>N26*$R$20</f>
        <v>8126.7120000000004</v>
      </c>
      <c r="R26" s="56">
        <f>O26*$R$20</f>
        <v>8351.7720000000008</v>
      </c>
      <c r="S26" s="57">
        <f>M26*$U$20</f>
        <v>5600.32</v>
      </c>
      <c r="T26" s="63">
        <f>N26*$U$20</f>
        <v>7515.0239999999994</v>
      </c>
      <c r="U26" s="54">
        <f>O26*$U$20</f>
        <v>7723.1439999999993</v>
      </c>
      <c r="V26" s="55">
        <f>M26*$X$20</f>
        <v>5404.96</v>
      </c>
      <c r="W26" s="42">
        <f>N26*$X$20</f>
        <v>7252.8719999999994</v>
      </c>
      <c r="X26" s="54">
        <f>O26*$X$20</f>
        <v>7453.7319999999991</v>
      </c>
      <c r="Y26" s="55">
        <f>M26*$AA$20</f>
        <v>4884</v>
      </c>
      <c r="Z26" s="42">
        <f>N26*$AA$20</f>
        <v>6553.7999999999993</v>
      </c>
      <c r="AA26" s="56">
        <f>O26*$AA$20</f>
        <v>6735.2999999999993</v>
      </c>
      <c r="AB26" s="57">
        <f>M26*$AD$20</f>
        <v>4558.3999999999996</v>
      </c>
      <c r="AC26" s="43">
        <f>N26*$AD$20</f>
        <v>6116.8799999999992</v>
      </c>
      <c r="AD26" s="54">
        <f>O26*$AD$20</f>
        <v>6286.28</v>
      </c>
    </row>
    <row r="27" spans="1:30" s="37" customFormat="1" ht="18" customHeight="1">
      <c r="B27" s="258" t="s">
        <v>145</v>
      </c>
      <c r="C27" s="259">
        <v>2.2000000000000002</v>
      </c>
      <c r="D27" s="260" t="s">
        <v>122</v>
      </c>
      <c r="E27" s="685"/>
      <c r="F27" s="686"/>
      <c r="G27" s="686"/>
      <c r="H27" s="687"/>
      <c r="I27" s="687"/>
      <c r="J27" s="687"/>
      <c r="K27" s="687"/>
      <c r="L27" s="688"/>
      <c r="M27" s="45">
        <f t="shared" ref="M27:AD27" si="9">M26/$E$26</f>
        <v>6.5119999999999996</v>
      </c>
      <c r="N27" s="46">
        <f t="shared" si="9"/>
        <v>8.7384000000000004</v>
      </c>
      <c r="O27" s="47">
        <f t="shared" si="9"/>
        <v>8.9803999999999995</v>
      </c>
      <c r="P27" s="58">
        <f t="shared" si="9"/>
        <v>6.0561600000000011</v>
      </c>
      <c r="Q27" s="46">
        <f t="shared" si="9"/>
        <v>8.1267120000000013</v>
      </c>
      <c r="R27" s="59">
        <f t="shared" si="9"/>
        <v>8.3517720000000004</v>
      </c>
      <c r="S27" s="52">
        <f t="shared" ref="S27:U27" si="10">S26/$E$26</f>
        <v>5.60032</v>
      </c>
      <c r="T27" s="46">
        <f t="shared" si="10"/>
        <v>7.5150239999999995</v>
      </c>
      <c r="U27" s="47">
        <f t="shared" si="10"/>
        <v>7.7231439999999996</v>
      </c>
      <c r="V27" s="58">
        <f t="shared" si="9"/>
        <v>5.40496</v>
      </c>
      <c r="W27" s="46">
        <f t="shared" si="9"/>
        <v>7.2528719999999991</v>
      </c>
      <c r="X27" s="47">
        <f t="shared" si="9"/>
        <v>7.4537319999999987</v>
      </c>
      <c r="Y27" s="58">
        <f t="shared" si="9"/>
        <v>4.8840000000000003</v>
      </c>
      <c r="Z27" s="46">
        <f t="shared" si="9"/>
        <v>6.553799999999999</v>
      </c>
      <c r="AA27" s="59">
        <f t="shared" si="9"/>
        <v>6.7352999999999996</v>
      </c>
      <c r="AB27" s="52">
        <f t="shared" si="9"/>
        <v>4.5583999999999998</v>
      </c>
      <c r="AC27" s="46">
        <f t="shared" si="9"/>
        <v>6.1168799999999992</v>
      </c>
      <c r="AD27" s="47">
        <f t="shared" si="9"/>
        <v>6.2862799999999996</v>
      </c>
    </row>
    <row r="28" spans="1:30" s="37" customFormat="1" ht="18" customHeight="1">
      <c r="B28" s="683" t="s">
        <v>219</v>
      </c>
      <c r="C28" s="684"/>
      <c r="D28" s="756"/>
      <c r="E28" s="757">
        <v>1000</v>
      </c>
      <c r="F28" s="759">
        <f>C29*E28</f>
        <v>2400</v>
      </c>
      <c r="G28" s="759" t="s">
        <v>122</v>
      </c>
      <c r="H28" s="761">
        <f>F28*$H$21</f>
        <v>7104</v>
      </c>
      <c r="I28" s="761">
        <f t="shared" ref="I28" si="11">F28*9.2%*11</f>
        <v>2428.7999999999997</v>
      </c>
      <c r="J28" s="761">
        <f t="shared" ref="J28" si="12">F28*5.5%*2</f>
        <v>264</v>
      </c>
      <c r="K28" s="761" t="s">
        <v>122</v>
      </c>
      <c r="L28" s="763" t="s">
        <v>122</v>
      </c>
      <c r="M28" s="53">
        <f>H28</f>
        <v>7104</v>
      </c>
      <c r="N28" s="42">
        <f>H28+I28</f>
        <v>9532.7999999999993</v>
      </c>
      <c r="O28" s="54">
        <f>H28+I28+J28</f>
        <v>9796.7999999999993</v>
      </c>
      <c r="P28" s="55">
        <f>M28*$R$20</f>
        <v>6606.72</v>
      </c>
      <c r="Q28" s="42">
        <f>N28*$R$20</f>
        <v>8865.503999999999</v>
      </c>
      <c r="R28" s="56">
        <f>O28*$R$20</f>
        <v>9111.0239999999994</v>
      </c>
      <c r="S28" s="57">
        <f>M28*$U$20</f>
        <v>6109.44</v>
      </c>
      <c r="T28" s="63">
        <f>N28*$U$20</f>
        <v>8198.2079999999987</v>
      </c>
      <c r="U28" s="54">
        <f>O28*$U$20</f>
        <v>8425.2479999999996</v>
      </c>
      <c r="V28" s="55">
        <f>M28*$X$20</f>
        <v>5896.32</v>
      </c>
      <c r="W28" s="42">
        <f>N28*$X$20</f>
        <v>7912.2239999999993</v>
      </c>
      <c r="X28" s="54">
        <f>O28*$X$20</f>
        <v>8131.3439999999991</v>
      </c>
      <c r="Y28" s="55">
        <f>M28*$AA$20</f>
        <v>5328</v>
      </c>
      <c r="Z28" s="42">
        <f>N28*$AA$20</f>
        <v>7149.5999999999995</v>
      </c>
      <c r="AA28" s="56">
        <f>O28*$AA$20</f>
        <v>7347.5999999999995</v>
      </c>
      <c r="AB28" s="57">
        <f>M28*$AD$20</f>
        <v>4972.7999999999993</v>
      </c>
      <c r="AC28" s="43">
        <f>N28*$AD$20</f>
        <v>6672.9599999999991</v>
      </c>
      <c r="AD28" s="54">
        <f>O28*$AD$20</f>
        <v>6857.7599999999993</v>
      </c>
    </row>
    <row r="29" spans="1:30" s="37" customFormat="1" ht="18" customHeight="1">
      <c r="B29" s="258" t="s">
        <v>145</v>
      </c>
      <c r="C29" s="259">
        <v>2.4</v>
      </c>
      <c r="D29" s="260" t="s">
        <v>122</v>
      </c>
      <c r="E29" s="758"/>
      <c r="F29" s="760"/>
      <c r="G29" s="760"/>
      <c r="H29" s="762"/>
      <c r="I29" s="762"/>
      <c r="J29" s="762"/>
      <c r="K29" s="762"/>
      <c r="L29" s="764"/>
      <c r="M29" s="45">
        <f>M28/$E$28</f>
        <v>7.1040000000000001</v>
      </c>
      <c r="N29" s="46">
        <f>N28/$E$28</f>
        <v>9.5327999999999999</v>
      </c>
      <c r="O29" s="47">
        <f>O28/$E$28</f>
        <v>9.7967999999999993</v>
      </c>
      <c r="P29" s="58">
        <f t="shared" ref="P29:AD29" si="13">P28/$E$26</f>
        <v>6.6067200000000001</v>
      </c>
      <c r="Q29" s="46">
        <f t="shared" si="13"/>
        <v>8.8655039999999996</v>
      </c>
      <c r="R29" s="59">
        <f t="shared" si="13"/>
        <v>9.1110239999999987</v>
      </c>
      <c r="S29" s="52">
        <f>S28/$E$28</f>
        <v>6.1094399999999993</v>
      </c>
      <c r="T29" s="46">
        <f t="shared" ref="T29:U29" si="14">T28/$E$28</f>
        <v>8.1982079999999993</v>
      </c>
      <c r="U29" s="47">
        <f t="shared" si="14"/>
        <v>8.4252479999999998</v>
      </c>
      <c r="V29" s="58">
        <f t="shared" si="13"/>
        <v>5.8963199999999993</v>
      </c>
      <c r="W29" s="46">
        <f t="shared" si="13"/>
        <v>7.9122239999999993</v>
      </c>
      <c r="X29" s="47">
        <f t="shared" si="13"/>
        <v>8.1313439999999986</v>
      </c>
      <c r="Y29" s="58">
        <f t="shared" si="13"/>
        <v>5.3280000000000003</v>
      </c>
      <c r="Z29" s="46">
        <f t="shared" si="13"/>
        <v>7.1495999999999995</v>
      </c>
      <c r="AA29" s="59">
        <f t="shared" si="13"/>
        <v>7.347599999999999</v>
      </c>
      <c r="AB29" s="52">
        <f t="shared" si="13"/>
        <v>4.9727999999999994</v>
      </c>
      <c r="AC29" s="46">
        <f t="shared" si="13"/>
        <v>6.6729599999999989</v>
      </c>
      <c r="AD29" s="47">
        <f t="shared" si="13"/>
        <v>6.857759999999999</v>
      </c>
    </row>
    <row r="30" spans="1:30" s="37" customFormat="1" ht="18" customHeight="1">
      <c r="B30" s="683" t="s">
        <v>44</v>
      </c>
      <c r="C30" s="684"/>
      <c r="D30" s="684"/>
      <c r="E30" s="685">
        <v>1000</v>
      </c>
      <c r="F30" s="686">
        <f>C31*E30</f>
        <v>900</v>
      </c>
      <c r="G30" s="686" t="s">
        <v>122</v>
      </c>
      <c r="H30" s="687">
        <f>F30*$H$21</f>
        <v>2664</v>
      </c>
      <c r="I30" s="687">
        <f t="shared" ref="I30" si="15">F30*9.2%*11</f>
        <v>910.8</v>
      </c>
      <c r="J30" s="687">
        <f t="shared" ref="J30" si="16">F30*5.5%*2</f>
        <v>99</v>
      </c>
      <c r="K30" s="687" t="s">
        <v>122</v>
      </c>
      <c r="L30" s="688" t="s">
        <v>122</v>
      </c>
      <c r="M30" s="53">
        <f>H30</f>
        <v>2664</v>
      </c>
      <c r="N30" s="42">
        <f>H30+I30</f>
        <v>3574.8</v>
      </c>
      <c r="O30" s="54">
        <f>H30+I30+J30</f>
        <v>3673.8</v>
      </c>
      <c r="P30" s="55">
        <f>M30*$R$20</f>
        <v>2477.52</v>
      </c>
      <c r="Q30" s="42">
        <f>N30*$R$20</f>
        <v>3324.5640000000003</v>
      </c>
      <c r="R30" s="56">
        <f>O30*$R$20</f>
        <v>3416.6340000000005</v>
      </c>
      <c r="S30" s="57">
        <f>M30*$U$20</f>
        <v>2291.04</v>
      </c>
      <c r="T30" s="63">
        <f>N30*$U$20</f>
        <v>3074.328</v>
      </c>
      <c r="U30" s="54">
        <f>O30*$U$20</f>
        <v>3159.4680000000003</v>
      </c>
      <c r="V30" s="55">
        <f>M30*$X$20</f>
        <v>2211.12</v>
      </c>
      <c r="W30" s="42">
        <f>N30*$X$20</f>
        <v>2967.0839999999998</v>
      </c>
      <c r="X30" s="54">
        <f>O30*$X$20</f>
        <v>3049.2539999999999</v>
      </c>
      <c r="Y30" s="55">
        <f>M30*$AA$20</f>
        <v>1998</v>
      </c>
      <c r="Z30" s="42">
        <f>N30*$AA$20</f>
        <v>2681.1000000000004</v>
      </c>
      <c r="AA30" s="56">
        <f>O30*$AA$20</f>
        <v>2755.3500000000004</v>
      </c>
      <c r="AB30" s="57">
        <f>M30*$AD$20</f>
        <v>1864.8</v>
      </c>
      <c r="AC30" s="43">
        <f>N30*$AD$20</f>
        <v>2502.36</v>
      </c>
      <c r="AD30" s="54">
        <f>O30*$AD$20</f>
        <v>2571.66</v>
      </c>
    </row>
    <row r="31" spans="1:30" s="37" customFormat="1" ht="18" customHeight="1">
      <c r="B31" s="258" t="s">
        <v>134</v>
      </c>
      <c r="C31" s="259">
        <v>0.9</v>
      </c>
      <c r="D31" s="260" t="s">
        <v>122</v>
      </c>
      <c r="E31" s="685"/>
      <c r="F31" s="686"/>
      <c r="G31" s="686"/>
      <c r="H31" s="687"/>
      <c r="I31" s="687"/>
      <c r="J31" s="687"/>
      <c r="K31" s="687"/>
      <c r="L31" s="688"/>
      <c r="M31" s="60">
        <f t="shared" ref="M31:AD31" si="17">M30/$E$30</f>
        <v>2.6640000000000001</v>
      </c>
      <c r="N31" s="61">
        <f t="shared" si="17"/>
        <v>3.5748000000000002</v>
      </c>
      <c r="O31" s="62">
        <f t="shared" si="17"/>
        <v>3.6738000000000004</v>
      </c>
      <c r="P31" s="58">
        <f t="shared" si="17"/>
        <v>2.4775200000000002</v>
      </c>
      <c r="Q31" s="61">
        <f t="shared" si="17"/>
        <v>3.3245640000000005</v>
      </c>
      <c r="R31" s="59">
        <f t="shared" si="17"/>
        <v>3.4166340000000006</v>
      </c>
      <c r="S31" s="52">
        <f t="shared" ref="S31:U31" si="18">S30/$E$30</f>
        <v>2.2910399999999997</v>
      </c>
      <c r="T31" s="61">
        <f t="shared" si="18"/>
        <v>3.0743279999999999</v>
      </c>
      <c r="U31" s="47">
        <f t="shared" si="18"/>
        <v>3.1594680000000004</v>
      </c>
      <c r="V31" s="58">
        <f t="shared" si="17"/>
        <v>2.2111199999999998</v>
      </c>
      <c r="W31" s="61">
        <f t="shared" si="17"/>
        <v>2.9670839999999998</v>
      </c>
      <c r="X31" s="47">
        <f t="shared" si="17"/>
        <v>3.0492539999999999</v>
      </c>
      <c r="Y31" s="58">
        <f t="shared" si="17"/>
        <v>1.998</v>
      </c>
      <c r="Z31" s="61">
        <f t="shared" si="17"/>
        <v>2.6811000000000003</v>
      </c>
      <c r="AA31" s="59">
        <f t="shared" si="17"/>
        <v>2.7553500000000004</v>
      </c>
      <c r="AB31" s="52">
        <f t="shared" si="17"/>
        <v>1.8648</v>
      </c>
      <c r="AC31" s="61">
        <f t="shared" si="17"/>
        <v>2.5023599999999999</v>
      </c>
      <c r="AD31" s="47">
        <f t="shared" si="17"/>
        <v>2.5716600000000001</v>
      </c>
    </row>
    <row r="32" spans="1:30" s="37" customFormat="1" ht="18" customHeight="1">
      <c r="B32" s="683" t="s">
        <v>45</v>
      </c>
      <c r="C32" s="684"/>
      <c r="D32" s="684"/>
      <c r="E32" s="685">
        <v>1000</v>
      </c>
      <c r="F32" s="686">
        <f>C33*E32</f>
        <v>2200</v>
      </c>
      <c r="G32" s="686" t="s">
        <v>122</v>
      </c>
      <c r="H32" s="687">
        <f>F32*$H$21</f>
        <v>6512</v>
      </c>
      <c r="I32" s="687">
        <f t="shared" ref="I32" si="19">F32*9.2%*11</f>
        <v>2226.4</v>
      </c>
      <c r="J32" s="687">
        <f t="shared" ref="J32" si="20">F32*5.5%*2</f>
        <v>242</v>
      </c>
      <c r="K32" s="687" t="s">
        <v>122</v>
      </c>
      <c r="L32" s="688" t="s">
        <v>122</v>
      </c>
      <c r="M32" s="53">
        <f>H32</f>
        <v>6512</v>
      </c>
      <c r="N32" s="42">
        <f>H32+I32</f>
        <v>8738.4</v>
      </c>
      <c r="O32" s="54">
        <f>H32+I32+J32</f>
        <v>8980.4</v>
      </c>
      <c r="P32" s="55">
        <f>M32*$R$20</f>
        <v>6056.1600000000008</v>
      </c>
      <c r="Q32" s="42">
        <f>N32*$R$20</f>
        <v>8126.7120000000004</v>
      </c>
      <c r="R32" s="56">
        <f>O32*$R$20</f>
        <v>8351.7720000000008</v>
      </c>
      <c r="S32" s="57">
        <f>M32*$U$20</f>
        <v>5600.32</v>
      </c>
      <c r="T32" s="63">
        <f>N32*$U$20</f>
        <v>7515.0239999999994</v>
      </c>
      <c r="U32" s="54">
        <f>O32*$U$20</f>
        <v>7723.1439999999993</v>
      </c>
      <c r="V32" s="55">
        <f>M32*$X$20</f>
        <v>5404.96</v>
      </c>
      <c r="W32" s="42">
        <f>N32*$X$20</f>
        <v>7252.8719999999994</v>
      </c>
      <c r="X32" s="54">
        <f>O32*$X$20</f>
        <v>7453.7319999999991</v>
      </c>
      <c r="Y32" s="55">
        <f>M32*$AA$20</f>
        <v>4884</v>
      </c>
      <c r="Z32" s="42">
        <f>N32*$AA$20</f>
        <v>6553.7999999999993</v>
      </c>
      <c r="AA32" s="56">
        <f>O32*$AA$20</f>
        <v>6735.2999999999993</v>
      </c>
      <c r="AB32" s="57">
        <f>M32*$AD$20</f>
        <v>4558.3999999999996</v>
      </c>
      <c r="AC32" s="43">
        <f>N32*$AD$20</f>
        <v>6116.8799999999992</v>
      </c>
      <c r="AD32" s="54">
        <f>O32*$AD$20</f>
        <v>6286.28</v>
      </c>
    </row>
    <row r="33" spans="2:30" s="37" customFormat="1" ht="18" customHeight="1">
      <c r="B33" s="258" t="s">
        <v>145</v>
      </c>
      <c r="C33" s="259">
        <v>2.2000000000000002</v>
      </c>
      <c r="D33" s="260" t="s">
        <v>122</v>
      </c>
      <c r="E33" s="685"/>
      <c r="F33" s="686"/>
      <c r="G33" s="686"/>
      <c r="H33" s="687"/>
      <c r="I33" s="687"/>
      <c r="J33" s="687"/>
      <c r="K33" s="687"/>
      <c r="L33" s="688"/>
      <c r="M33" s="60">
        <f t="shared" ref="M33:AD33" si="21">M32/$E$32</f>
        <v>6.5119999999999996</v>
      </c>
      <c r="N33" s="61">
        <f t="shared" si="21"/>
        <v>8.7384000000000004</v>
      </c>
      <c r="O33" s="62">
        <f t="shared" si="21"/>
        <v>8.9803999999999995</v>
      </c>
      <c r="P33" s="58">
        <f t="shared" si="21"/>
        <v>6.0561600000000011</v>
      </c>
      <c r="Q33" s="61">
        <f t="shared" si="21"/>
        <v>8.1267120000000013</v>
      </c>
      <c r="R33" s="59">
        <f t="shared" si="21"/>
        <v>8.3517720000000004</v>
      </c>
      <c r="S33" s="52">
        <f t="shared" ref="S33:U33" si="22">S32/$E$32</f>
        <v>5.60032</v>
      </c>
      <c r="T33" s="61">
        <f t="shared" si="22"/>
        <v>7.5150239999999995</v>
      </c>
      <c r="U33" s="47">
        <f t="shared" si="22"/>
        <v>7.7231439999999996</v>
      </c>
      <c r="V33" s="58">
        <f t="shared" si="21"/>
        <v>5.40496</v>
      </c>
      <c r="W33" s="61">
        <f t="shared" si="21"/>
        <v>7.2528719999999991</v>
      </c>
      <c r="X33" s="47">
        <f t="shared" si="21"/>
        <v>7.4537319999999987</v>
      </c>
      <c r="Y33" s="58">
        <f t="shared" si="21"/>
        <v>4.8840000000000003</v>
      </c>
      <c r="Z33" s="61">
        <f t="shared" si="21"/>
        <v>6.553799999999999</v>
      </c>
      <c r="AA33" s="59">
        <f t="shared" si="21"/>
        <v>6.7352999999999996</v>
      </c>
      <c r="AB33" s="52">
        <f t="shared" si="21"/>
        <v>4.5583999999999998</v>
      </c>
      <c r="AC33" s="61">
        <f t="shared" si="21"/>
        <v>6.1168799999999992</v>
      </c>
      <c r="AD33" s="47">
        <f t="shared" si="21"/>
        <v>6.2862799999999996</v>
      </c>
    </row>
    <row r="34" spans="2:30" s="37" customFormat="1" ht="18" customHeight="1">
      <c r="B34" s="683" t="s">
        <v>220</v>
      </c>
      <c r="C34" s="684"/>
      <c r="D34" s="684"/>
      <c r="E34" s="685">
        <v>1000</v>
      </c>
      <c r="F34" s="686">
        <f>C35*E34</f>
        <v>1850</v>
      </c>
      <c r="G34" s="686" t="s">
        <v>122</v>
      </c>
      <c r="H34" s="687">
        <f>F34*$H$21</f>
        <v>5476</v>
      </c>
      <c r="I34" s="687">
        <f t="shared" ref="I34" si="23">F34*9.2%*11</f>
        <v>1872.1999999999998</v>
      </c>
      <c r="J34" s="687">
        <f t="shared" ref="J34" si="24">F34*5.5%*2</f>
        <v>203.5</v>
      </c>
      <c r="K34" s="687" t="s">
        <v>122</v>
      </c>
      <c r="L34" s="688" t="s">
        <v>122</v>
      </c>
      <c r="M34" s="53">
        <f>H34</f>
        <v>5476</v>
      </c>
      <c r="N34" s="42">
        <f>H34+I34</f>
        <v>7348.2</v>
      </c>
      <c r="O34" s="54">
        <f>H34+I34+J34</f>
        <v>7551.7</v>
      </c>
      <c r="P34" s="55">
        <f>M34*$R$20</f>
        <v>5092.68</v>
      </c>
      <c r="Q34" s="42">
        <f>N34*$R$20</f>
        <v>6833.826</v>
      </c>
      <c r="R34" s="56">
        <f>O34*$R$20</f>
        <v>7023.0810000000001</v>
      </c>
      <c r="S34" s="57">
        <f>M34*$U$20</f>
        <v>4709.3599999999997</v>
      </c>
      <c r="T34" s="63">
        <f>N34*$U$20</f>
        <v>6319.4519999999993</v>
      </c>
      <c r="U34" s="54">
        <f>O34*$U$20</f>
        <v>6494.4619999999995</v>
      </c>
      <c r="V34" s="55">
        <f>M34*$X$20</f>
        <v>4545.08</v>
      </c>
      <c r="W34" s="42">
        <f>N34*$X$20</f>
        <v>6099.0059999999994</v>
      </c>
      <c r="X34" s="54">
        <f>O34*$X$20</f>
        <v>6267.9109999999991</v>
      </c>
      <c r="Y34" s="55">
        <f>M34*$AA$20</f>
        <v>4107</v>
      </c>
      <c r="Z34" s="42">
        <f>N34*$AA$20</f>
        <v>5511.15</v>
      </c>
      <c r="AA34" s="56">
        <f>O34*$AA$20</f>
        <v>5663.7749999999996</v>
      </c>
      <c r="AB34" s="57">
        <f>M34*$AD$20</f>
        <v>3833.2</v>
      </c>
      <c r="AC34" s="43">
        <f>N34*$AD$20</f>
        <v>5143.74</v>
      </c>
      <c r="AD34" s="54">
        <f>O34*$AD$20</f>
        <v>5286.19</v>
      </c>
    </row>
    <row r="35" spans="2:30" s="37" customFormat="1" ht="18" customHeight="1">
      <c r="B35" s="258" t="s">
        <v>221</v>
      </c>
      <c r="C35" s="259">
        <v>1.85</v>
      </c>
      <c r="D35" s="260" t="s">
        <v>122</v>
      </c>
      <c r="E35" s="685"/>
      <c r="F35" s="686"/>
      <c r="G35" s="686"/>
      <c r="H35" s="687"/>
      <c r="I35" s="687"/>
      <c r="J35" s="687"/>
      <c r="K35" s="687"/>
      <c r="L35" s="688"/>
      <c r="M35" s="60">
        <f t="shared" ref="M35:AD35" si="25">M34/$E$34</f>
        <v>5.476</v>
      </c>
      <c r="N35" s="61">
        <f t="shared" si="25"/>
        <v>7.3481999999999994</v>
      </c>
      <c r="O35" s="62">
        <f t="shared" si="25"/>
        <v>7.5516999999999994</v>
      </c>
      <c r="P35" s="58">
        <f t="shared" si="25"/>
        <v>5.0926800000000005</v>
      </c>
      <c r="Q35" s="61">
        <f t="shared" si="25"/>
        <v>6.8338260000000002</v>
      </c>
      <c r="R35" s="59">
        <f t="shared" si="25"/>
        <v>7.0230810000000004</v>
      </c>
      <c r="S35" s="52">
        <f t="shared" ref="S35:U35" si="26">S34/$E$34</f>
        <v>4.7093599999999993</v>
      </c>
      <c r="T35" s="61">
        <f t="shared" si="26"/>
        <v>6.3194519999999992</v>
      </c>
      <c r="U35" s="47">
        <f t="shared" si="26"/>
        <v>6.4944619999999995</v>
      </c>
      <c r="V35" s="58">
        <f t="shared" si="25"/>
        <v>4.5450799999999996</v>
      </c>
      <c r="W35" s="61">
        <f t="shared" si="25"/>
        <v>6.0990059999999993</v>
      </c>
      <c r="X35" s="47">
        <f t="shared" si="25"/>
        <v>6.2679109999999989</v>
      </c>
      <c r="Y35" s="58">
        <f t="shared" si="25"/>
        <v>4.1070000000000002</v>
      </c>
      <c r="Z35" s="61">
        <f t="shared" si="25"/>
        <v>5.5111499999999998</v>
      </c>
      <c r="AA35" s="59">
        <f t="shared" si="25"/>
        <v>5.6637749999999993</v>
      </c>
      <c r="AB35" s="52">
        <f t="shared" si="25"/>
        <v>3.8331999999999997</v>
      </c>
      <c r="AC35" s="61">
        <f t="shared" si="25"/>
        <v>5.1437400000000002</v>
      </c>
      <c r="AD35" s="47">
        <f t="shared" si="25"/>
        <v>5.2861899999999995</v>
      </c>
    </row>
    <row r="36" spans="2:30" s="37" customFormat="1" ht="18" customHeight="1">
      <c r="B36" s="683" t="s">
        <v>222</v>
      </c>
      <c r="C36" s="684"/>
      <c r="D36" s="684"/>
      <c r="E36" s="685">
        <v>1000</v>
      </c>
      <c r="F36" s="686">
        <f>C37*E36</f>
        <v>440</v>
      </c>
      <c r="G36" s="686">
        <f>D37*E36</f>
        <v>56</v>
      </c>
      <c r="H36" s="687">
        <f>F36*$H$21</f>
        <v>1302.4000000000001</v>
      </c>
      <c r="I36" s="687">
        <f t="shared" ref="I36" si="27">F36*9.2%*11</f>
        <v>445.28</v>
      </c>
      <c r="J36" s="687">
        <f t="shared" ref="J36" si="28">F36*5.5%*2</f>
        <v>48.4</v>
      </c>
      <c r="K36" s="687">
        <f>G36*37.9%</f>
        <v>21.224</v>
      </c>
      <c r="L36" s="688">
        <f>G36*37.9%*36</f>
        <v>764.06399999999996</v>
      </c>
      <c r="M36" s="53">
        <f>H36+K36</f>
        <v>1323.624</v>
      </c>
      <c r="N36" s="42">
        <f>H36+I36+(K36*12)</f>
        <v>2002.3679999999999</v>
      </c>
      <c r="O36" s="54">
        <f>H36+I36+J36+L36</f>
        <v>2560.1440000000002</v>
      </c>
      <c r="P36" s="55">
        <f>M36*$R$20</f>
        <v>1230.9703200000001</v>
      </c>
      <c r="Q36" s="42">
        <f>N36*$R$20</f>
        <v>1862.2022400000001</v>
      </c>
      <c r="R36" s="56">
        <f>O36*$R$20</f>
        <v>2380.9339200000004</v>
      </c>
      <c r="S36" s="57">
        <f>M36*$U$20</f>
        <v>1138.31664</v>
      </c>
      <c r="T36" s="63">
        <f>N36*$U$20</f>
        <v>1722.03648</v>
      </c>
      <c r="U36" s="54">
        <f>O36*$U$20</f>
        <v>2201.7238400000001</v>
      </c>
      <c r="V36" s="55">
        <f>M36*$X$20</f>
        <v>1098.6079199999999</v>
      </c>
      <c r="W36" s="42">
        <f>N36*$X$20</f>
        <v>1661.9654399999999</v>
      </c>
      <c r="X36" s="54">
        <f>O36*$X$20</f>
        <v>2124.9195199999999</v>
      </c>
      <c r="Y36" s="55">
        <f>M36*$AA$20</f>
        <v>992.71800000000007</v>
      </c>
      <c r="Z36" s="42">
        <f>N36*$AA$20</f>
        <v>1501.7759999999998</v>
      </c>
      <c r="AA36" s="56">
        <f>O36*$AA$20</f>
        <v>1920.1080000000002</v>
      </c>
      <c r="AB36" s="57">
        <f>M36*$AD$20</f>
        <v>926.53679999999997</v>
      </c>
      <c r="AC36" s="43">
        <f>N36*$AD$20</f>
        <v>1401.6575999999998</v>
      </c>
      <c r="AD36" s="54">
        <f>O36*$AD$20</f>
        <v>1792.1008000000002</v>
      </c>
    </row>
    <row r="37" spans="2:30" s="37" customFormat="1" ht="18" customHeight="1">
      <c r="B37" s="258" t="s">
        <v>46</v>
      </c>
      <c r="C37" s="259">
        <v>0.44</v>
      </c>
      <c r="D37" s="262">
        <v>5.6000000000000001E-2</v>
      </c>
      <c r="E37" s="685"/>
      <c r="F37" s="686"/>
      <c r="G37" s="686"/>
      <c r="H37" s="687"/>
      <c r="I37" s="687"/>
      <c r="J37" s="687"/>
      <c r="K37" s="687"/>
      <c r="L37" s="688"/>
      <c r="M37" s="45">
        <f>M36/$E$36</f>
        <v>1.3236240000000001</v>
      </c>
      <c r="N37" s="46">
        <f>N36/$E$36</f>
        <v>2.0023680000000001</v>
      </c>
      <c r="O37" s="47">
        <f t="shared" ref="O37:AD37" si="29">O36/$E$36</f>
        <v>2.5601440000000002</v>
      </c>
      <c r="P37" s="58">
        <f t="shared" si="29"/>
        <v>1.2309703200000002</v>
      </c>
      <c r="Q37" s="46">
        <f>Q36/$E$36</f>
        <v>1.86220224</v>
      </c>
      <c r="R37" s="59">
        <f t="shared" si="29"/>
        <v>2.3809339200000004</v>
      </c>
      <c r="S37" s="52">
        <f t="shared" ref="S37" si="30">S36/$E$36</f>
        <v>1.13831664</v>
      </c>
      <c r="T37" s="46">
        <f>T36/$E$36</f>
        <v>1.7220364800000001</v>
      </c>
      <c r="U37" s="47">
        <f t="shared" ref="U37" si="31">U36/$E$36</f>
        <v>2.2017238400000001</v>
      </c>
      <c r="V37" s="58">
        <f t="shared" si="29"/>
        <v>1.0986079199999998</v>
      </c>
      <c r="W37" s="46">
        <f>W36/$E$36</f>
        <v>1.6619654399999999</v>
      </c>
      <c r="X37" s="47">
        <f t="shared" si="29"/>
        <v>2.1249195199999997</v>
      </c>
      <c r="Y37" s="58">
        <f t="shared" si="29"/>
        <v>0.9927180000000001</v>
      </c>
      <c r="Z37" s="46">
        <f>Z36/$E$36</f>
        <v>1.5017759999999998</v>
      </c>
      <c r="AA37" s="59">
        <f t="shared" si="29"/>
        <v>1.9201080000000001</v>
      </c>
      <c r="AB37" s="52">
        <f t="shared" si="29"/>
        <v>0.92653679999999994</v>
      </c>
      <c r="AC37" s="46">
        <f>AC36/$E$36</f>
        <v>1.4016575999999998</v>
      </c>
      <c r="AD37" s="47">
        <f t="shared" si="29"/>
        <v>1.7921008000000003</v>
      </c>
    </row>
    <row r="38" spans="2:30" s="37" customFormat="1" ht="18" customHeight="1">
      <c r="B38" s="683" t="s">
        <v>223</v>
      </c>
      <c r="C38" s="684"/>
      <c r="D38" s="684"/>
      <c r="E38" s="685">
        <v>1000</v>
      </c>
      <c r="F38" s="686">
        <f>C39*E38</f>
        <v>226</v>
      </c>
      <c r="G38" s="686">
        <f>D39*E38</f>
        <v>35</v>
      </c>
      <c r="H38" s="687">
        <f>F38*$H$21</f>
        <v>668.96</v>
      </c>
      <c r="I38" s="687">
        <f t="shared" ref="I38" si="32">F38*9.2%*11</f>
        <v>228.71199999999999</v>
      </c>
      <c r="J38" s="687">
        <f t="shared" ref="J38" si="33">F38*5.5%*2</f>
        <v>24.86</v>
      </c>
      <c r="K38" s="687">
        <f>G38*37.9%</f>
        <v>13.265000000000001</v>
      </c>
      <c r="L38" s="688">
        <f>G38*37.9%*36</f>
        <v>477.54</v>
      </c>
      <c r="M38" s="53">
        <f>H38+K38</f>
        <v>682.22500000000002</v>
      </c>
      <c r="N38" s="42">
        <f>H38+I38+(K38*12)</f>
        <v>1056.8520000000001</v>
      </c>
      <c r="O38" s="54">
        <f>H38+I38+J38+L38</f>
        <v>1400.0720000000001</v>
      </c>
      <c r="P38" s="55">
        <f>M38*$R$20</f>
        <v>634.4692500000001</v>
      </c>
      <c r="Q38" s="42">
        <f>N38*$R$20</f>
        <v>982.87236000000019</v>
      </c>
      <c r="R38" s="56">
        <f>O38*$R$20</f>
        <v>1302.0669600000001</v>
      </c>
      <c r="S38" s="57">
        <f>M38*$U$20</f>
        <v>586.71350000000007</v>
      </c>
      <c r="T38" s="63">
        <f>N38*$U$20</f>
        <v>908.89272000000005</v>
      </c>
      <c r="U38" s="54">
        <f>O38*$U$20</f>
        <v>1204.0619200000001</v>
      </c>
      <c r="V38" s="55">
        <f>M38*$X$20</f>
        <v>566.24675000000002</v>
      </c>
      <c r="W38" s="42">
        <f>N38*$X$20</f>
        <v>877.18716000000006</v>
      </c>
      <c r="X38" s="54">
        <f>O38*$X$20</f>
        <v>1162.0597600000001</v>
      </c>
      <c r="Y38" s="55">
        <f>M38*$AA$20</f>
        <v>511.66875000000005</v>
      </c>
      <c r="Z38" s="42">
        <f>N38*$AA$20</f>
        <v>792.63900000000012</v>
      </c>
      <c r="AA38" s="56">
        <f>O38*$AA$20</f>
        <v>1050.0540000000001</v>
      </c>
      <c r="AB38" s="57">
        <f>M38*$AD$20</f>
        <v>477.5575</v>
      </c>
      <c r="AC38" s="43">
        <f>N38*$AD$20</f>
        <v>739.79640000000006</v>
      </c>
      <c r="AD38" s="54">
        <f>O38*$AD$20</f>
        <v>980.05039999999997</v>
      </c>
    </row>
    <row r="39" spans="2:30" s="37" customFormat="1" ht="18" customHeight="1">
      <c r="B39" s="258" t="s">
        <v>144</v>
      </c>
      <c r="C39" s="261">
        <v>0.22600000000000001</v>
      </c>
      <c r="D39" s="266">
        <v>3.5000000000000003E-2</v>
      </c>
      <c r="E39" s="685"/>
      <c r="F39" s="686"/>
      <c r="G39" s="686"/>
      <c r="H39" s="687"/>
      <c r="I39" s="687"/>
      <c r="J39" s="687"/>
      <c r="K39" s="687"/>
      <c r="L39" s="688"/>
      <c r="M39" s="45">
        <f t="shared" ref="M39:AD39" si="34">M38/$E$38</f>
        <v>0.68222499999999997</v>
      </c>
      <c r="N39" s="46">
        <f t="shared" si="34"/>
        <v>1.0568520000000001</v>
      </c>
      <c r="O39" s="47">
        <f t="shared" si="34"/>
        <v>1.4000720000000002</v>
      </c>
      <c r="P39" s="58">
        <f t="shared" si="34"/>
        <v>0.6344692500000001</v>
      </c>
      <c r="Q39" s="46">
        <f t="shared" si="34"/>
        <v>0.98287236000000022</v>
      </c>
      <c r="R39" s="59">
        <f t="shared" si="34"/>
        <v>1.3020669600000001</v>
      </c>
      <c r="S39" s="52">
        <f t="shared" ref="S39:U39" si="35">S38/$E$38</f>
        <v>0.58671350000000011</v>
      </c>
      <c r="T39" s="46">
        <f t="shared" si="35"/>
        <v>0.9088927200000001</v>
      </c>
      <c r="U39" s="47">
        <f t="shared" si="35"/>
        <v>1.20406192</v>
      </c>
      <c r="V39" s="58">
        <f t="shared" si="34"/>
        <v>0.56624675000000002</v>
      </c>
      <c r="W39" s="46">
        <f t="shared" si="34"/>
        <v>0.87718716000000008</v>
      </c>
      <c r="X39" s="47">
        <f t="shared" si="34"/>
        <v>1.16205976</v>
      </c>
      <c r="Y39" s="58">
        <f t="shared" si="34"/>
        <v>0.51166875000000001</v>
      </c>
      <c r="Z39" s="46">
        <f t="shared" si="34"/>
        <v>0.79263900000000009</v>
      </c>
      <c r="AA39" s="59">
        <f t="shared" si="34"/>
        <v>1.050054</v>
      </c>
      <c r="AB39" s="52">
        <f t="shared" si="34"/>
        <v>0.47755750000000002</v>
      </c>
      <c r="AC39" s="46">
        <f t="shared" si="34"/>
        <v>0.73979640000000002</v>
      </c>
      <c r="AD39" s="47">
        <f t="shared" si="34"/>
        <v>0.98005039999999999</v>
      </c>
    </row>
    <row r="40" spans="2:30" s="37" customFormat="1" ht="18" customHeight="1">
      <c r="B40" s="683" t="s">
        <v>224</v>
      </c>
      <c r="C40" s="684"/>
      <c r="D40" s="684"/>
      <c r="E40" s="685">
        <v>1000</v>
      </c>
      <c r="F40" s="686">
        <f>C41*E40</f>
        <v>75</v>
      </c>
      <c r="G40" s="687" t="s">
        <v>122</v>
      </c>
      <c r="H40" s="687">
        <f>F40*16%</f>
        <v>12</v>
      </c>
      <c r="I40" s="687" t="s">
        <v>122</v>
      </c>
      <c r="J40" s="687" t="s">
        <v>122</v>
      </c>
      <c r="K40" s="687" t="s">
        <v>122</v>
      </c>
      <c r="L40" s="688" t="s">
        <v>122</v>
      </c>
      <c r="M40" s="53">
        <f>$H$40</f>
        <v>12</v>
      </c>
      <c r="N40" s="63">
        <f>$H$40</f>
        <v>12</v>
      </c>
      <c r="O40" s="54">
        <f>$H$40</f>
        <v>12</v>
      </c>
      <c r="P40" s="55">
        <f>$M$40*$R$20</f>
        <v>11.16</v>
      </c>
      <c r="Q40" s="63">
        <f>$N$40*$R$20</f>
        <v>11.16</v>
      </c>
      <c r="R40" s="56">
        <f>$O$40*$R$20</f>
        <v>11.16</v>
      </c>
      <c r="S40" s="57">
        <f>M40*$U$20</f>
        <v>10.32</v>
      </c>
      <c r="T40" s="63">
        <f>N40*$U$20</f>
        <v>10.32</v>
      </c>
      <c r="U40" s="54">
        <f>O40*$U$20</f>
        <v>10.32</v>
      </c>
      <c r="V40" s="55">
        <f>$M$40*$X$20</f>
        <v>9.9599999999999991</v>
      </c>
      <c r="W40" s="63">
        <f>$N$40*$X$20</f>
        <v>9.9599999999999991</v>
      </c>
      <c r="X40" s="54">
        <f>$O$40*$X$20</f>
        <v>9.9599999999999991</v>
      </c>
      <c r="Y40" s="55">
        <f>$M$40*$AA$20</f>
        <v>9</v>
      </c>
      <c r="Z40" s="63">
        <f>$N$40*$AA$20</f>
        <v>9</v>
      </c>
      <c r="AA40" s="56">
        <f>$O$40*$AA$20</f>
        <v>9</v>
      </c>
      <c r="AB40" s="57">
        <f>$M$40*$AD$20</f>
        <v>8.3999999999999986</v>
      </c>
      <c r="AC40" s="56">
        <f>$N$40*$AD$20</f>
        <v>8.3999999999999986</v>
      </c>
      <c r="AD40" s="54">
        <f>$O$40*$AD$20</f>
        <v>8.3999999999999986</v>
      </c>
    </row>
    <row r="41" spans="2:30" s="37" customFormat="1" ht="18" customHeight="1">
      <c r="B41" s="258" t="s">
        <v>225</v>
      </c>
      <c r="C41" s="261">
        <v>7.4999999999999997E-2</v>
      </c>
      <c r="D41" s="262" t="s">
        <v>122</v>
      </c>
      <c r="E41" s="685"/>
      <c r="F41" s="686"/>
      <c r="G41" s="687"/>
      <c r="H41" s="687"/>
      <c r="I41" s="687"/>
      <c r="J41" s="687"/>
      <c r="K41" s="687"/>
      <c r="L41" s="688"/>
      <c r="M41" s="45">
        <f t="shared" ref="M41:AD41" si="36">M40/$E$40</f>
        <v>1.2E-2</v>
      </c>
      <c r="N41" s="46">
        <f t="shared" si="36"/>
        <v>1.2E-2</v>
      </c>
      <c r="O41" s="47">
        <f t="shared" si="36"/>
        <v>1.2E-2</v>
      </c>
      <c r="P41" s="58">
        <f t="shared" si="36"/>
        <v>1.116E-2</v>
      </c>
      <c r="Q41" s="46">
        <f t="shared" si="36"/>
        <v>1.116E-2</v>
      </c>
      <c r="R41" s="59">
        <f t="shared" si="36"/>
        <v>1.116E-2</v>
      </c>
      <c r="S41" s="52">
        <f t="shared" ref="S41:U41" si="37">S40/$E$40</f>
        <v>1.0320000000000001E-2</v>
      </c>
      <c r="T41" s="46">
        <f t="shared" si="37"/>
        <v>1.0320000000000001E-2</v>
      </c>
      <c r="U41" s="47">
        <f t="shared" si="37"/>
        <v>1.0320000000000001E-2</v>
      </c>
      <c r="V41" s="58">
        <f t="shared" si="36"/>
        <v>9.9599999999999984E-3</v>
      </c>
      <c r="W41" s="46">
        <f t="shared" si="36"/>
        <v>9.9599999999999984E-3</v>
      </c>
      <c r="X41" s="47">
        <f t="shared" si="36"/>
        <v>9.9599999999999984E-3</v>
      </c>
      <c r="Y41" s="58">
        <f t="shared" si="36"/>
        <v>8.9999999999999993E-3</v>
      </c>
      <c r="Z41" s="46">
        <f t="shared" si="36"/>
        <v>8.9999999999999993E-3</v>
      </c>
      <c r="AA41" s="59">
        <f t="shared" si="36"/>
        <v>8.9999999999999993E-3</v>
      </c>
      <c r="AB41" s="52">
        <f t="shared" si="36"/>
        <v>8.3999999999999977E-3</v>
      </c>
      <c r="AC41" s="46">
        <f t="shared" si="36"/>
        <v>8.3999999999999977E-3</v>
      </c>
      <c r="AD41" s="47">
        <f t="shared" si="36"/>
        <v>8.3999999999999977E-3</v>
      </c>
    </row>
    <row r="42" spans="2:30" s="37" customFormat="1" ht="18" customHeight="1">
      <c r="B42" s="765" t="s">
        <v>226</v>
      </c>
      <c r="C42" s="766"/>
      <c r="D42" s="766"/>
      <c r="E42" s="758">
        <v>1000</v>
      </c>
      <c r="F42" s="760">
        <f>C43*E42</f>
        <v>270</v>
      </c>
      <c r="G42" s="762" t="s">
        <v>122</v>
      </c>
      <c r="H42" s="762">
        <f>F42*34%</f>
        <v>91.800000000000011</v>
      </c>
      <c r="I42" s="762">
        <f>(F42*34%)*11</f>
        <v>1009.8000000000002</v>
      </c>
      <c r="J42" s="762" t="s">
        <v>122</v>
      </c>
      <c r="K42" s="762" t="s">
        <v>122</v>
      </c>
      <c r="L42" s="764" t="s">
        <v>122</v>
      </c>
      <c r="M42" s="38">
        <f>$H$42</f>
        <v>91.800000000000011</v>
      </c>
      <c r="N42" s="42">
        <f>H42+I42</f>
        <v>1101.6000000000001</v>
      </c>
      <c r="O42" s="40">
        <f>H42+I42</f>
        <v>1101.6000000000001</v>
      </c>
      <c r="P42" s="41">
        <f>$M$42*$R$20</f>
        <v>85.374000000000009</v>
      </c>
      <c r="Q42" s="42">
        <f>$N$42*$R$20</f>
        <v>1024.4880000000003</v>
      </c>
      <c r="R42" s="43">
        <f>$O$42*$R$20</f>
        <v>1024.4880000000003</v>
      </c>
      <c r="S42" s="57">
        <f>M42*$U$20</f>
        <v>78.948000000000008</v>
      </c>
      <c r="T42" s="63">
        <f>N42*$U$20</f>
        <v>947.37600000000009</v>
      </c>
      <c r="U42" s="54">
        <f>O42*$U$20</f>
        <v>947.37600000000009</v>
      </c>
      <c r="V42" s="41">
        <f>$M$42*$X$20</f>
        <v>76.194000000000003</v>
      </c>
      <c r="W42" s="42">
        <f>$N$42*$X$20</f>
        <v>914.32800000000009</v>
      </c>
      <c r="X42" s="40">
        <f>$O$42*$X$20</f>
        <v>914.32800000000009</v>
      </c>
      <c r="Y42" s="41">
        <f>$M$42*$AA$20</f>
        <v>68.850000000000009</v>
      </c>
      <c r="Z42" s="42">
        <f>$N$42*$AA$20</f>
        <v>826.2</v>
      </c>
      <c r="AA42" s="43">
        <f>$O$42*$AA$20</f>
        <v>826.2</v>
      </c>
      <c r="AB42" s="44">
        <f>$M$42*$AD$20</f>
        <v>64.260000000000005</v>
      </c>
      <c r="AC42" s="43">
        <f>$N$42*$AD$20</f>
        <v>771.12</v>
      </c>
      <c r="AD42" s="40">
        <f>$O$42*$AD$20</f>
        <v>771.12</v>
      </c>
    </row>
    <row r="43" spans="2:30" s="37" customFormat="1" ht="18" customHeight="1" thickBot="1">
      <c r="B43" s="263" t="s">
        <v>129</v>
      </c>
      <c r="C43" s="264">
        <v>0.27</v>
      </c>
      <c r="D43" s="265" t="s">
        <v>122</v>
      </c>
      <c r="E43" s="767"/>
      <c r="F43" s="768"/>
      <c r="G43" s="769"/>
      <c r="H43" s="769"/>
      <c r="I43" s="769"/>
      <c r="J43" s="769"/>
      <c r="K43" s="769"/>
      <c r="L43" s="770"/>
      <c r="M43" s="64">
        <f t="shared" ref="M43:AC43" si="38">M42/$E$42</f>
        <v>9.1800000000000007E-2</v>
      </c>
      <c r="N43" s="65">
        <f t="shared" si="38"/>
        <v>1.1016000000000001</v>
      </c>
      <c r="O43" s="66">
        <f t="shared" si="38"/>
        <v>1.1016000000000001</v>
      </c>
      <c r="P43" s="67">
        <f t="shared" si="38"/>
        <v>8.5374000000000005E-2</v>
      </c>
      <c r="Q43" s="65">
        <f t="shared" si="38"/>
        <v>1.0244880000000003</v>
      </c>
      <c r="R43" s="68">
        <f t="shared" si="38"/>
        <v>1.0244880000000003</v>
      </c>
      <c r="S43" s="69">
        <f t="shared" ref="S43:U43" si="39">S42/$E$42</f>
        <v>7.8948000000000004E-2</v>
      </c>
      <c r="T43" s="65">
        <f t="shared" si="39"/>
        <v>0.94737600000000011</v>
      </c>
      <c r="U43" s="66">
        <f t="shared" si="39"/>
        <v>0.94737600000000011</v>
      </c>
      <c r="V43" s="67">
        <f t="shared" si="38"/>
        <v>7.6193999999999998E-2</v>
      </c>
      <c r="W43" s="65">
        <f t="shared" si="38"/>
        <v>0.91432800000000014</v>
      </c>
      <c r="X43" s="66">
        <f t="shared" si="38"/>
        <v>0.91432800000000014</v>
      </c>
      <c r="Y43" s="67">
        <f t="shared" si="38"/>
        <v>6.8850000000000008E-2</v>
      </c>
      <c r="Z43" s="65">
        <f t="shared" si="38"/>
        <v>0.82620000000000005</v>
      </c>
      <c r="AA43" s="68">
        <f t="shared" si="38"/>
        <v>0.82620000000000005</v>
      </c>
      <c r="AB43" s="69">
        <f t="shared" si="38"/>
        <v>6.4260000000000012E-2</v>
      </c>
      <c r="AC43" s="65">
        <f t="shared" si="38"/>
        <v>0.77112000000000003</v>
      </c>
      <c r="AD43" s="66">
        <f>AD42/$E$42</f>
        <v>0.77112000000000003</v>
      </c>
    </row>
    <row r="44" spans="2:30" ht="18" customHeight="1">
      <c r="L44" s="70"/>
    </row>
    <row r="45" spans="2:30" s="71" customFormat="1" ht="18" customHeight="1">
      <c r="B45" s="72" t="s">
        <v>135</v>
      </c>
      <c r="C45" s="72"/>
      <c r="D45" s="73"/>
      <c r="E45" s="74"/>
      <c r="F45" s="74"/>
    </row>
    <row r="46" spans="2:30" s="71" customFormat="1" ht="18" customHeight="1">
      <c r="B46" s="71" t="s">
        <v>227</v>
      </c>
      <c r="C46" s="72"/>
      <c r="D46" s="74"/>
      <c r="E46" s="74"/>
      <c r="F46" s="74"/>
    </row>
    <row r="47" spans="2:30" s="71" customFormat="1" ht="18" customHeight="1">
      <c r="B47" s="75" t="s">
        <v>228</v>
      </c>
      <c r="C47" s="72"/>
      <c r="D47" s="74"/>
      <c r="E47" s="74"/>
      <c r="F47" s="74"/>
    </row>
    <row r="48" spans="2:30" s="73" customFormat="1" ht="18" customHeight="1">
      <c r="B48" s="73" t="s">
        <v>47</v>
      </c>
      <c r="C48" s="76"/>
      <c r="D48" s="76"/>
      <c r="E48" s="76"/>
    </row>
    <row r="49" spans="1:21" s="73" customFormat="1" ht="18" customHeight="1">
      <c r="B49" s="73" t="s">
        <v>819</v>
      </c>
      <c r="C49" s="76"/>
      <c r="D49" s="76"/>
      <c r="E49" s="76"/>
      <c r="U49" s="71"/>
    </row>
    <row r="50" spans="1:21" s="71" customFormat="1" ht="23.25" customHeight="1">
      <c r="B50" s="71" t="s">
        <v>229</v>
      </c>
      <c r="C50" s="72"/>
      <c r="D50" s="74"/>
      <c r="E50" s="74"/>
      <c r="F50" s="74"/>
    </row>
    <row r="51" spans="1:21" s="71" customFormat="1" ht="18" customHeight="1">
      <c r="B51" s="75" t="s">
        <v>136</v>
      </c>
      <c r="C51" s="74"/>
      <c r="D51" s="74"/>
      <c r="E51" s="74"/>
      <c r="F51" s="74"/>
    </row>
    <row r="52" spans="1:21" s="21" customFormat="1" ht="13.5">
      <c r="B52" s="388" t="s">
        <v>230</v>
      </c>
    </row>
    <row r="53" spans="1:21" customFormat="1" ht="18" customHeight="1">
      <c r="A53" s="18"/>
      <c r="B53" s="389" t="s">
        <v>130</v>
      </c>
      <c r="C53" s="369"/>
      <c r="D53" s="368"/>
      <c r="E53" s="377"/>
      <c r="F53" s="370"/>
      <c r="G53" s="370"/>
      <c r="H53" s="370"/>
    </row>
  </sheetData>
  <mergeCells count="124">
    <mergeCell ref="B42:D42"/>
    <mergeCell ref="E42:E43"/>
    <mergeCell ref="F42:F43"/>
    <mergeCell ref="G42:G43"/>
    <mergeCell ref="H42:H43"/>
    <mergeCell ref="I42:I43"/>
    <mergeCell ref="J42:J43"/>
    <mergeCell ref="K42:K43"/>
    <mergeCell ref="L42:L43"/>
    <mergeCell ref="B38:D38"/>
    <mergeCell ref="E38:E39"/>
    <mergeCell ref="F38:F39"/>
    <mergeCell ref="G38:G39"/>
    <mergeCell ref="H38:H39"/>
    <mergeCell ref="I38:I39"/>
    <mergeCell ref="J38:J39"/>
    <mergeCell ref="K38:K39"/>
    <mergeCell ref="L38:L39"/>
    <mergeCell ref="B36:D36"/>
    <mergeCell ref="E36:E37"/>
    <mergeCell ref="F36:F37"/>
    <mergeCell ref="G36:G37"/>
    <mergeCell ref="H36:H37"/>
    <mergeCell ref="I36:I37"/>
    <mergeCell ref="J36:J37"/>
    <mergeCell ref="K36:K37"/>
    <mergeCell ref="L36:L37"/>
    <mergeCell ref="I30:I31"/>
    <mergeCell ref="J30:J31"/>
    <mergeCell ref="K30:K31"/>
    <mergeCell ref="L30:L31"/>
    <mergeCell ref="B30:D30"/>
    <mergeCell ref="E30:E31"/>
    <mergeCell ref="F30:F31"/>
    <mergeCell ref="G30:G31"/>
    <mergeCell ref="H30:H31"/>
    <mergeCell ref="B28:D28"/>
    <mergeCell ref="E28:E29"/>
    <mergeCell ref="F28:F29"/>
    <mergeCell ref="G28:G29"/>
    <mergeCell ref="H28:H29"/>
    <mergeCell ref="I28:I29"/>
    <mergeCell ref="J28:J29"/>
    <mergeCell ref="K28:K29"/>
    <mergeCell ref="L28:L29"/>
    <mergeCell ref="B12:C13"/>
    <mergeCell ref="D12:K12"/>
    <mergeCell ref="L12:Q13"/>
    <mergeCell ref="D13:K13"/>
    <mergeCell ref="B20:D20"/>
    <mergeCell ref="E20:G20"/>
    <mergeCell ref="I20:J20"/>
    <mergeCell ref="K20:L20"/>
    <mergeCell ref="M20:O20"/>
    <mergeCell ref="P20:Q20"/>
    <mergeCell ref="B1:AD1"/>
    <mergeCell ref="Y20:Z20"/>
    <mergeCell ref="AB20:AC20"/>
    <mergeCell ref="B22:D22"/>
    <mergeCell ref="E22:E23"/>
    <mergeCell ref="F22:F23"/>
    <mergeCell ref="G22:G23"/>
    <mergeCell ref="H22:H23"/>
    <mergeCell ref="I22:I23"/>
    <mergeCell ref="J22:J23"/>
    <mergeCell ref="K22:K23"/>
    <mergeCell ref="L22:L23"/>
    <mergeCell ref="V20:W20"/>
    <mergeCell ref="S20:T20"/>
    <mergeCell ref="B7:C7"/>
    <mergeCell ref="D7:K7"/>
    <mergeCell ref="L7:Q7"/>
    <mergeCell ref="B8:C9"/>
    <mergeCell ref="D8:K8"/>
    <mergeCell ref="L8:Q11"/>
    <mergeCell ref="D9:K9"/>
    <mergeCell ref="B10:C11"/>
    <mergeCell ref="D10:K10"/>
    <mergeCell ref="D11:K11"/>
    <mergeCell ref="H24:H25"/>
    <mergeCell ref="I24:I25"/>
    <mergeCell ref="J24:J25"/>
    <mergeCell ref="K24:K25"/>
    <mergeCell ref="L24:L25"/>
    <mergeCell ref="B26:D26"/>
    <mergeCell ref="E26:E27"/>
    <mergeCell ref="F26:F27"/>
    <mergeCell ref="G26:G27"/>
    <mergeCell ref="H26:H27"/>
    <mergeCell ref="I26:I27"/>
    <mergeCell ref="J26:J27"/>
    <mergeCell ref="K26:K27"/>
    <mergeCell ref="L26:L27"/>
    <mergeCell ref="B24:D24"/>
    <mergeCell ref="E24:E25"/>
    <mergeCell ref="F24:F25"/>
    <mergeCell ref="G24:G25"/>
    <mergeCell ref="B32:D32"/>
    <mergeCell ref="E32:E33"/>
    <mergeCell ref="F32:F33"/>
    <mergeCell ref="G32:G33"/>
    <mergeCell ref="H32:H33"/>
    <mergeCell ref="I32:I33"/>
    <mergeCell ref="J32:J33"/>
    <mergeCell ref="K32:K33"/>
    <mergeCell ref="L32:L33"/>
    <mergeCell ref="B34:D34"/>
    <mergeCell ref="E34:E35"/>
    <mergeCell ref="F34:F35"/>
    <mergeCell ref="G34:G35"/>
    <mergeCell ref="H34:H35"/>
    <mergeCell ref="I34:I35"/>
    <mergeCell ref="J34:J35"/>
    <mergeCell ref="K34:K35"/>
    <mergeCell ref="L34:L35"/>
    <mergeCell ref="B40:D40"/>
    <mergeCell ref="E40:E41"/>
    <mergeCell ref="F40:F41"/>
    <mergeCell ref="G40:G41"/>
    <mergeCell ref="H40:H41"/>
    <mergeCell ref="I40:I41"/>
    <mergeCell ref="J40:J41"/>
    <mergeCell ref="K40:K41"/>
    <mergeCell ref="L40:L41"/>
  </mergeCells>
  <phoneticPr fontId="4" type="noConversion"/>
  <printOptions horizontalCentered="1"/>
  <pageMargins left="0.15748031496062992" right="0.15748031496062992" top="0.35433070866141736" bottom="0.19685039370078741"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D53"/>
  <sheetViews>
    <sheetView workbookViewId="0"/>
  </sheetViews>
  <sheetFormatPr defaultColWidth="10.875" defaultRowHeight="18" customHeight="1"/>
  <cols>
    <col min="1" max="1" width="1" style="18" customWidth="1"/>
    <col min="2" max="3" width="10.625" style="18" customWidth="1"/>
    <col min="4" max="30" width="7.625" style="18" customWidth="1"/>
    <col min="31" max="256" width="10.875" style="18"/>
    <col min="257" max="257" width="1" style="18" customWidth="1"/>
    <col min="258" max="258" width="9" style="18" customWidth="1"/>
    <col min="259" max="259" width="10.875" style="18" customWidth="1"/>
    <col min="260" max="261" width="8.125" style="18" customWidth="1"/>
    <col min="262" max="262" width="12.625" style="18" bestFit="1" customWidth="1"/>
    <col min="263" max="264" width="7.5" style="18" customWidth="1"/>
    <col min="265" max="265" width="9" style="18" bestFit="1" customWidth="1"/>
    <col min="266" max="266" width="7.5" style="18" customWidth="1"/>
    <col min="267" max="267" width="8.125" style="18" customWidth="1"/>
    <col min="268" max="269" width="6.75" style="18" customWidth="1"/>
    <col min="270" max="271" width="8.5" style="18" bestFit="1" customWidth="1"/>
    <col min="272" max="283" width="8.125" style="18" customWidth="1"/>
    <col min="284" max="512" width="10.875" style="18"/>
    <col min="513" max="513" width="1" style="18" customWidth="1"/>
    <col min="514" max="514" width="9" style="18" customWidth="1"/>
    <col min="515" max="515" width="10.875" style="18" customWidth="1"/>
    <col min="516" max="517" width="8.125" style="18" customWidth="1"/>
    <col min="518" max="518" width="12.625" style="18" bestFit="1" customWidth="1"/>
    <col min="519" max="520" width="7.5" style="18" customWidth="1"/>
    <col min="521" max="521" width="9" style="18" bestFit="1" customWidth="1"/>
    <col min="522" max="522" width="7.5" style="18" customWidth="1"/>
    <col min="523" max="523" width="8.125" style="18" customWidth="1"/>
    <col min="524" max="525" width="6.75" style="18" customWidth="1"/>
    <col min="526" max="527" width="8.5" style="18" bestFit="1" customWidth="1"/>
    <col min="528" max="539" width="8.125" style="18" customWidth="1"/>
    <col min="540" max="768" width="10.875" style="18"/>
    <col min="769" max="769" width="1" style="18" customWidth="1"/>
    <col min="770" max="770" width="9" style="18" customWidth="1"/>
    <col min="771" max="771" width="10.875" style="18" customWidth="1"/>
    <col min="772" max="773" width="8.125" style="18" customWidth="1"/>
    <col min="774" max="774" width="12.625" style="18" bestFit="1" customWidth="1"/>
    <col min="775" max="776" width="7.5" style="18" customWidth="1"/>
    <col min="777" max="777" width="9" style="18" bestFit="1" customWidth="1"/>
    <col min="778" max="778" width="7.5" style="18" customWidth="1"/>
    <col min="779" max="779" width="8.125" style="18" customWidth="1"/>
    <col min="780" max="781" width="6.75" style="18" customWidth="1"/>
    <col min="782" max="783" width="8.5" style="18" bestFit="1" customWidth="1"/>
    <col min="784" max="795" width="8.125" style="18" customWidth="1"/>
    <col min="796" max="1024" width="10.875" style="18"/>
    <col min="1025" max="1025" width="1" style="18" customWidth="1"/>
    <col min="1026" max="1026" width="9" style="18" customWidth="1"/>
    <col min="1027" max="1027" width="10.875" style="18" customWidth="1"/>
    <col min="1028" max="1029" width="8.125" style="18" customWidth="1"/>
    <col min="1030" max="1030" width="12.625" style="18" bestFit="1" customWidth="1"/>
    <col min="1031" max="1032" width="7.5" style="18" customWidth="1"/>
    <col min="1033" max="1033" width="9" style="18" bestFit="1" customWidth="1"/>
    <col min="1034" max="1034" width="7.5" style="18" customWidth="1"/>
    <col min="1035" max="1035" width="8.125" style="18" customWidth="1"/>
    <col min="1036" max="1037" width="6.75" style="18" customWidth="1"/>
    <col min="1038" max="1039" width="8.5" style="18" bestFit="1" customWidth="1"/>
    <col min="1040" max="1051" width="8.125" style="18" customWidth="1"/>
    <col min="1052" max="1280" width="10.875" style="18"/>
    <col min="1281" max="1281" width="1" style="18" customWidth="1"/>
    <col min="1282" max="1282" width="9" style="18" customWidth="1"/>
    <col min="1283" max="1283" width="10.875" style="18" customWidth="1"/>
    <col min="1284" max="1285" width="8.125" style="18" customWidth="1"/>
    <col min="1286" max="1286" width="12.625" style="18" bestFit="1" customWidth="1"/>
    <col min="1287" max="1288" width="7.5" style="18" customWidth="1"/>
    <col min="1289" max="1289" width="9" style="18" bestFit="1" customWidth="1"/>
    <col min="1290" max="1290" width="7.5" style="18" customWidth="1"/>
    <col min="1291" max="1291" width="8.125" style="18" customWidth="1"/>
    <col min="1292" max="1293" width="6.75" style="18" customWidth="1"/>
    <col min="1294" max="1295" width="8.5" style="18" bestFit="1" customWidth="1"/>
    <col min="1296" max="1307" width="8.125" style="18" customWidth="1"/>
    <col min="1308" max="1536" width="10.875" style="18"/>
    <col min="1537" max="1537" width="1" style="18" customWidth="1"/>
    <col min="1538" max="1538" width="9" style="18" customWidth="1"/>
    <col min="1539" max="1539" width="10.875" style="18" customWidth="1"/>
    <col min="1540" max="1541" width="8.125" style="18" customWidth="1"/>
    <col min="1542" max="1542" width="12.625" style="18" bestFit="1" customWidth="1"/>
    <col min="1543" max="1544" width="7.5" style="18" customWidth="1"/>
    <col min="1545" max="1545" width="9" style="18" bestFit="1" customWidth="1"/>
    <col min="1546" max="1546" width="7.5" style="18" customWidth="1"/>
    <col min="1547" max="1547" width="8.125" style="18" customWidth="1"/>
    <col min="1548" max="1549" width="6.75" style="18" customWidth="1"/>
    <col min="1550" max="1551" width="8.5" style="18" bestFit="1" customWidth="1"/>
    <col min="1552" max="1563" width="8.125" style="18" customWidth="1"/>
    <col min="1564" max="1792" width="10.875" style="18"/>
    <col min="1793" max="1793" width="1" style="18" customWidth="1"/>
    <col min="1794" max="1794" width="9" style="18" customWidth="1"/>
    <col min="1795" max="1795" width="10.875" style="18" customWidth="1"/>
    <col min="1796" max="1797" width="8.125" style="18" customWidth="1"/>
    <col min="1798" max="1798" width="12.625" style="18" bestFit="1" customWidth="1"/>
    <col min="1799" max="1800" width="7.5" style="18" customWidth="1"/>
    <col min="1801" max="1801" width="9" style="18" bestFit="1" customWidth="1"/>
    <col min="1802" max="1802" width="7.5" style="18" customWidth="1"/>
    <col min="1803" max="1803" width="8.125" style="18" customWidth="1"/>
    <col min="1804" max="1805" width="6.75" style="18" customWidth="1"/>
    <col min="1806" max="1807" width="8.5" style="18" bestFit="1" customWidth="1"/>
    <col min="1808" max="1819" width="8.125" style="18" customWidth="1"/>
    <col min="1820" max="2048" width="10.875" style="18"/>
    <col min="2049" max="2049" width="1" style="18" customWidth="1"/>
    <col min="2050" max="2050" width="9" style="18" customWidth="1"/>
    <col min="2051" max="2051" width="10.875" style="18" customWidth="1"/>
    <col min="2052" max="2053" width="8.125" style="18" customWidth="1"/>
    <col min="2054" max="2054" width="12.625" style="18" bestFit="1" customWidth="1"/>
    <col min="2055" max="2056" width="7.5" style="18" customWidth="1"/>
    <col min="2057" max="2057" width="9" style="18" bestFit="1" customWidth="1"/>
    <col min="2058" max="2058" width="7.5" style="18" customWidth="1"/>
    <col min="2059" max="2059" width="8.125" style="18" customWidth="1"/>
    <col min="2060" max="2061" width="6.75" style="18" customWidth="1"/>
    <col min="2062" max="2063" width="8.5" style="18" bestFit="1" customWidth="1"/>
    <col min="2064" max="2075" width="8.125" style="18" customWidth="1"/>
    <col min="2076" max="2304" width="10.875" style="18"/>
    <col min="2305" max="2305" width="1" style="18" customWidth="1"/>
    <col min="2306" max="2306" width="9" style="18" customWidth="1"/>
    <col min="2307" max="2307" width="10.875" style="18" customWidth="1"/>
    <col min="2308" max="2309" width="8.125" style="18" customWidth="1"/>
    <col min="2310" max="2310" width="12.625" style="18" bestFit="1" customWidth="1"/>
    <col min="2311" max="2312" width="7.5" style="18" customWidth="1"/>
    <col min="2313" max="2313" width="9" style="18" bestFit="1" customWidth="1"/>
    <col min="2314" max="2314" width="7.5" style="18" customWidth="1"/>
    <col min="2315" max="2315" width="8.125" style="18" customWidth="1"/>
    <col min="2316" max="2317" width="6.75" style="18" customWidth="1"/>
    <col min="2318" max="2319" width="8.5" style="18" bestFit="1" customWidth="1"/>
    <col min="2320" max="2331" width="8.125" style="18" customWidth="1"/>
    <col min="2332" max="2560" width="10.875" style="18"/>
    <col min="2561" max="2561" width="1" style="18" customWidth="1"/>
    <col min="2562" max="2562" width="9" style="18" customWidth="1"/>
    <col min="2563" max="2563" width="10.875" style="18" customWidth="1"/>
    <col min="2564" max="2565" width="8.125" style="18" customWidth="1"/>
    <col min="2566" max="2566" width="12.625" style="18" bestFit="1" customWidth="1"/>
    <col min="2567" max="2568" width="7.5" style="18" customWidth="1"/>
    <col min="2569" max="2569" width="9" style="18" bestFit="1" customWidth="1"/>
    <col min="2570" max="2570" width="7.5" style="18" customWidth="1"/>
    <col min="2571" max="2571" width="8.125" style="18" customWidth="1"/>
    <col min="2572" max="2573" width="6.75" style="18" customWidth="1"/>
    <col min="2574" max="2575" width="8.5" style="18" bestFit="1" customWidth="1"/>
    <col min="2576" max="2587" width="8.125" style="18" customWidth="1"/>
    <col min="2588" max="2816" width="10.875" style="18"/>
    <col min="2817" max="2817" width="1" style="18" customWidth="1"/>
    <col min="2818" max="2818" width="9" style="18" customWidth="1"/>
    <col min="2819" max="2819" width="10.875" style="18" customWidth="1"/>
    <col min="2820" max="2821" width="8.125" style="18" customWidth="1"/>
    <col min="2822" max="2822" width="12.625" style="18" bestFit="1" customWidth="1"/>
    <col min="2823" max="2824" width="7.5" style="18" customWidth="1"/>
    <col min="2825" max="2825" width="9" style="18" bestFit="1" customWidth="1"/>
    <col min="2826" max="2826" width="7.5" style="18" customWidth="1"/>
    <col min="2827" max="2827" width="8.125" style="18" customWidth="1"/>
    <col min="2828" max="2829" width="6.75" style="18" customWidth="1"/>
    <col min="2830" max="2831" width="8.5" style="18" bestFit="1" customWidth="1"/>
    <col min="2832" max="2843" width="8.125" style="18" customWidth="1"/>
    <col min="2844" max="3072" width="10.875" style="18"/>
    <col min="3073" max="3073" width="1" style="18" customWidth="1"/>
    <col min="3074" max="3074" width="9" style="18" customWidth="1"/>
    <col min="3075" max="3075" width="10.875" style="18" customWidth="1"/>
    <col min="3076" max="3077" width="8.125" style="18" customWidth="1"/>
    <col min="3078" max="3078" width="12.625" style="18" bestFit="1" customWidth="1"/>
    <col min="3079" max="3080" width="7.5" style="18" customWidth="1"/>
    <col min="3081" max="3081" width="9" style="18" bestFit="1" customWidth="1"/>
    <col min="3082" max="3082" width="7.5" style="18" customWidth="1"/>
    <col min="3083" max="3083" width="8.125" style="18" customWidth="1"/>
    <col min="3084" max="3085" width="6.75" style="18" customWidth="1"/>
    <col min="3086" max="3087" width="8.5" style="18" bestFit="1" customWidth="1"/>
    <col min="3088" max="3099" width="8.125" style="18" customWidth="1"/>
    <col min="3100" max="3328" width="10.875" style="18"/>
    <col min="3329" max="3329" width="1" style="18" customWidth="1"/>
    <col min="3330" max="3330" width="9" style="18" customWidth="1"/>
    <col min="3331" max="3331" width="10.875" style="18" customWidth="1"/>
    <col min="3332" max="3333" width="8.125" style="18" customWidth="1"/>
    <col min="3334" max="3334" width="12.625" style="18" bestFit="1" customWidth="1"/>
    <col min="3335" max="3336" width="7.5" style="18" customWidth="1"/>
    <col min="3337" max="3337" width="9" style="18" bestFit="1" customWidth="1"/>
    <col min="3338" max="3338" width="7.5" style="18" customWidth="1"/>
    <col min="3339" max="3339" width="8.125" style="18" customWidth="1"/>
    <col min="3340" max="3341" width="6.75" style="18" customWidth="1"/>
    <col min="3342" max="3343" width="8.5" style="18" bestFit="1" customWidth="1"/>
    <col min="3344" max="3355" width="8.125" style="18" customWidth="1"/>
    <col min="3356" max="3584" width="10.875" style="18"/>
    <col min="3585" max="3585" width="1" style="18" customWidth="1"/>
    <col min="3586" max="3586" width="9" style="18" customWidth="1"/>
    <col min="3587" max="3587" width="10.875" style="18" customWidth="1"/>
    <col min="3588" max="3589" width="8.125" style="18" customWidth="1"/>
    <col min="3590" max="3590" width="12.625" style="18" bestFit="1" customWidth="1"/>
    <col min="3591" max="3592" width="7.5" style="18" customWidth="1"/>
    <col min="3593" max="3593" width="9" style="18" bestFit="1" customWidth="1"/>
    <col min="3594" max="3594" width="7.5" style="18" customWidth="1"/>
    <col min="3595" max="3595" width="8.125" style="18" customWidth="1"/>
    <col min="3596" max="3597" width="6.75" style="18" customWidth="1"/>
    <col min="3598" max="3599" width="8.5" style="18" bestFit="1" customWidth="1"/>
    <col min="3600" max="3611" width="8.125" style="18" customWidth="1"/>
    <col min="3612" max="3840" width="10.875" style="18"/>
    <col min="3841" max="3841" width="1" style="18" customWidth="1"/>
    <col min="3842" max="3842" width="9" style="18" customWidth="1"/>
    <col min="3843" max="3843" width="10.875" style="18" customWidth="1"/>
    <col min="3844" max="3845" width="8.125" style="18" customWidth="1"/>
    <col min="3846" max="3846" width="12.625" style="18" bestFit="1" customWidth="1"/>
    <col min="3847" max="3848" width="7.5" style="18" customWidth="1"/>
    <col min="3849" max="3849" width="9" style="18" bestFit="1" customWidth="1"/>
    <col min="3850" max="3850" width="7.5" style="18" customWidth="1"/>
    <col min="3851" max="3851" width="8.125" style="18" customWidth="1"/>
    <col min="3852" max="3853" width="6.75" style="18" customWidth="1"/>
    <col min="3854" max="3855" width="8.5" style="18" bestFit="1" customWidth="1"/>
    <col min="3856" max="3867" width="8.125" style="18" customWidth="1"/>
    <col min="3868" max="4096" width="10.875" style="18"/>
    <col min="4097" max="4097" width="1" style="18" customWidth="1"/>
    <col min="4098" max="4098" width="9" style="18" customWidth="1"/>
    <col min="4099" max="4099" width="10.875" style="18" customWidth="1"/>
    <col min="4100" max="4101" width="8.125" style="18" customWidth="1"/>
    <col min="4102" max="4102" width="12.625" style="18" bestFit="1" customWidth="1"/>
    <col min="4103" max="4104" width="7.5" style="18" customWidth="1"/>
    <col min="4105" max="4105" width="9" style="18" bestFit="1" customWidth="1"/>
    <col min="4106" max="4106" width="7.5" style="18" customWidth="1"/>
    <col min="4107" max="4107" width="8.125" style="18" customWidth="1"/>
    <col min="4108" max="4109" width="6.75" style="18" customWidth="1"/>
    <col min="4110" max="4111" width="8.5" style="18" bestFit="1" customWidth="1"/>
    <col min="4112" max="4123" width="8.125" style="18" customWidth="1"/>
    <col min="4124" max="4352" width="10.875" style="18"/>
    <col min="4353" max="4353" width="1" style="18" customWidth="1"/>
    <col min="4354" max="4354" width="9" style="18" customWidth="1"/>
    <col min="4355" max="4355" width="10.875" style="18" customWidth="1"/>
    <col min="4356" max="4357" width="8.125" style="18" customWidth="1"/>
    <col min="4358" max="4358" width="12.625" style="18" bestFit="1" customWidth="1"/>
    <col min="4359" max="4360" width="7.5" style="18" customWidth="1"/>
    <col min="4361" max="4361" width="9" style="18" bestFit="1" customWidth="1"/>
    <col min="4362" max="4362" width="7.5" style="18" customWidth="1"/>
    <col min="4363" max="4363" width="8.125" style="18" customWidth="1"/>
    <col min="4364" max="4365" width="6.75" style="18" customWidth="1"/>
    <col min="4366" max="4367" width="8.5" style="18" bestFit="1" customWidth="1"/>
    <col min="4368" max="4379" width="8.125" style="18" customWidth="1"/>
    <col min="4380" max="4608" width="10.875" style="18"/>
    <col min="4609" max="4609" width="1" style="18" customWidth="1"/>
    <col min="4610" max="4610" width="9" style="18" customWidth="1"/>
    <col min="4611" max="4611" width="10.875" style="18" customWidth="1"/>
    <col min="4612" max="4613" width="8.125" style="18" customWidth="1"/>
    <col min="4614" max="4614" width="12.625" style="18" bestFit="1" customWidth="1"/>
    <col min="4615" max="4616" width="7.5" style="18" customWidth="1"/>
    <col min="4617" max="4617" width="9" style="18" bestFit="1" customWidth="1"/>
    <col min="4618" max="4618" width="7.5" style="18" customWidth="1"/>
    <col min="4619" max="4619" width="8.125" style="18" customWidth="1"/>
    <col min="4620" max="4621" width="6.75" style="18" customWidth="1"/>
    <col min="4622" max="4623" width="8.5" style="18" bestFit="1" customWidth="1"/>
    <col min="4624" max="4635" width="8.125" style="18" customWidth="1"/>
    <col min="4636" max="4864" width="10.875" style="18"/>
    <col min="4865" max="4865" width="1" style="18" customWidth="1"/>
    <col min="4866" max="4866" width="9" style="18" customWidth="1"/>
    <col min="4867" max="4867" width="10.875" style="18" customWidth="1"/>
    <col min="4868" max="4869" width="8.125" style="18" customWidth="1"/>
    <col min="4870" max="4870" width="12.625" style="18" bestFit="1" customWidth="1"/>
    <col min="4871" max="4872" width="7.5" style="18" customWidth="1"/>
    <col min="4873" max="4873" width="9" style="18" bestFit="1" customWidth="1"/>
    <col min="4874" max="4874" width="7.5" style="18" customWidth="1"/>
    <col min="4875" max="4875" width="8.125" style="18" customWidth="1"/>
    <col min="4876" max="4877" width="6.75" style="18" customWidth="1"/>
    <col min="4878" max="4879" width="8.5" style="18" bestFit="1" customWidth="1"/>
    <col min="4880" max="4891" width="8.125" style="18" customWidth="1"/>
    <col min="4892" max="5120" width="10.875" style="18"/>
    <col min="5121" max="5121" width="1" style="18" customWidth="1"/>
    <col min="5122" max="5122" width="9" style="18" customWidth="1"/>
    <col min="5123" max="5123" width="10.875" style="18" customWidth="1"/>
    <col min="5124" max="5125" width="8.125" style="18" customWidth="1"/>
    <col min="5126" max="5126" width="12.625" style="18" bestFit="1" customWidth="1"/>
    <col min="5127" max="5128" width="7.5" style="18" customWidth="1"/>
    <col min="5129" max="5129" width="9" style="18" bestFit="1" customWidth="1"/>
    <col min="5130" max="5130" width="7.5" style="18" customWidth="1"/>
    <col min="5131" max="5131" width="8.125" style="18" customWidth="1"/>
    <col min="5132" max="5133" width="6.75" style="18" customWidth="1"/>
    <col min="5134" max="5135" width="8.5" style="18" bestFit="1" customWidth="1"/>
    <col min="5136" max="5147" width="8.125" style="18" customWidth="1"/>
    <col min="5148" max="5376" width="10.875" style="18"/>
    <col min="5377" max="5377" width="1" style="18" customWidth="1"/>
    <col min="5378" max="5378" width="9" style="18" customWidth="1"/>
    <col min="5379" max="5379" width="10.875" style="18" customWidth="1"/>
    <col min="5380" max="5381" width="8.125" style="18" customWidth="1"/>
    <col min="5382" max="5382" width="12.625" style="18" bestFit="1" customWidth="1"/>
    <col min="5383" max="5384" width="7.5" style="18" customWidth="1"/>
    <col min="5385" max="5385" width="9" style="18" bestFit="1" customWidth="1"/>
    <col min="5386" max="5386" width="7.5" style="18" customWidth="1"/>
    <col min="5387" max="5387" width="8.125" style="18" customWidth="1"/>
    <col min="5388" max="5389" width="6.75" style="18" customWidth="1"/>
    <col min="5390" max="5391" width="8.5" style="18" bestFit="1" customWidth="1"/>
    <col min="5392" max="5403" width="8.125" style="18" customWidth="1"/>
    <col min="5404" max="5632" width="10.875" style="18"/>
    <col min="5633" max="5633" width="1" style="18" customWidth="1"/>
    <col min="5634" max="5634" width="9" style="18" customWidth="1"/>
    <col min="5635" max="5635" width="10.875" style="18" customWidth="1"/>
    <col min="5636" max="5637" width="8.125" style="18" customWidth="1"/>
    <col min="5638" max="5638" width="12.625" style="18" bestFit="1" customWidth="1"/>
    <col min="5639" max="5640" width="7.5" style="18" customWidth="1"/>
    <col min="5641" max="5641" width="9" style="18" bestFit="1" customWidth="1"/>
    <col min="5642" max="5642" width="7.5" style="18" customWidth="1"/>
    <col min="5643" max="5643" width="8.125" style="18" customWidth="1"/>
    <col min="5644" max="5645" width="6.75" style="18" customWidth="1"/>
    <col min="5646" max="5647" width="8.5" style="18" bestFit="1" customWidth="1"/>
    <col min="5648" max="5659" width="8.125" style="18" customWidth="1"/>
    <col min="5660" max="5888" width="10.875" style="18"/>
    <col min="5889" max="5889" width="1" style="18" customWidth="1"/>
    <col min="5890" max="5890" width="9" style="18" customWidth="1"/>
    <col min="5891" max="5891" width="10.875" style="18" customWidth="1"/>
    <col min="5892" max="5893" width="8.125" style="18" customWidth="1"/>
    <col min="5894" max="5894" width="12.625" style="18" bestFit="1" customWidth="1"/>
    <col min="5895" max="5896" width="7.5" style="18" customWidth="1"/>
    <col min="5897" max="5897" width="9" style="18" bestFit="1" customWidth="1"/>
    <col min="5898" max="5898" width="7.5" style="18" customWidth="1"/>
    <col min="5899" max="5899" width="8.125" style="18" customWidth="1"/>
    <col min="5900" max="5901" width="6.75" style="18" customWidth="1"/>
    <col min="5902" max="5903" width="8.5" style="18" bestFit="1" customWidth="1"/>
    <col min="5904" max="5915" width="8.125" style="18" customWidth="1"/>
    <col min="5916" max="6144" width="10.875" style="18"/>
    <col min="6145" max="6145" width="1" style="18" customWidth="1"/>
    <col min="6146" max="6146" width="9" style="18" customWidth="1"/>
    <col min="6147" max="6147" width="10.875" style="18" customWidth="1"/>
    <col min="6148" max="6149" width="8.125" style="18" customWidth="1"/>
    <col min="6150" max="6150" width="12.625" style="18" bestFit="1" customWidth="1"/>
    <col min="6151" max="6152" width="7.5" style="18" customWidth="1"/>
    <col min="6153" max="6153" width="9" style="18" bestFit="1" customWidth="1"/>
    <col min="6154" max="6154" width="7.5" style="18" customWidth="1"/>
    <col min="6155" max="6155" width="8.125" style="18" customWidth="1"/>
    <col min="6156" max="6157" width="6.75" style="18" customWidth="1"/>
    <col min="6158" max="6159" width="8.5" style="18" bestFit="1" customWidth="1"/>
    <col min="6160" max="6171" width="8.125" style="18" customWidth="1"/>
    <col min="6172" max="6400" width="10.875" style="18"/>
    <col min="6401" max="6401" width="1" style="18" customWidth="1"/>
    <col min="6402" max="6402" width="9" style="18" customWidth="1"/>
    <col min="6403" max="6403" width="10.875" style="18" customWidth="1"/>
    <col min="6404" max="6405" width="8.125" style="18" customWidth="1"/>
    <col min="6406" max="6406" width="12.625" style="18" bestFit="1" customWidth="1"/>
    <col min="6407" max="6408" width="7.5" style="18" customWidth="1"/>
    <col min="6409" max="6409" width="9" style="18" bestFit="1" customWidth="1"/>
    <col min="6410" max="6410" width="7.5" style="18" customWidth="1"/>
    <col min="6411" max="6411" width="8.125" style="18" customWidth="1"/>
    <col min="6412" max="6413" width="6.75" style="18" customWidth="1"/>
    <col min="6414" max="6415" width="8.5" style="18" bestFit="1" customWidth="1"/>
    <col min="6416" max="6427" width="8.125" style="18" customWidth="1"/>
    <col min="6428" max="6656" width="10.875" style="18"/>
    <col min="6657" max="6657" width="1" style="18" customWidth="1"/>
    <col min="6658" max="6658" width="9" style="18" customWidth="1"/>
    <col min="6659" max="6659" width="10.875" style="18" customWidth="1"/>
    <col min="6660" max="6661" width="8.125" style="18" customWidth="1"/>
    <col min="6662" max="6662" width="12.625" style="18" bestFit="1" customWidth="1"/>
    <col min="6663" max="6664" width="7.5" style="18" customWidth="1"/>
    <col min="6665" max="6665" width="9" style="18" bestFit="1" customWidth="1"/>
    <col min="6666" max="6666" width="7.5" style="18" customWidth="1"/>
    <col min="6667" max="6667" width="8.125" style="18" customWidth="1"/>
    <col min="6668" max="6669" width="6.75" style="18" customWidth="1"/>
    <col min="6670" max="6671" width="8.5" style="18" bestFit="1" customWidth="1"/>
    <col min="6672" max="6683" width="8.125" style="18" customWidth="1"/>
    <col min="6684" max="6912" width="10.875" style="18"/>
    <col min="6913" max="6913" width="1" style="18" customWidth="1"/>
    <col min="6914" max="6914" width="9" style="18" customWidth="1"/>
    <col min="6915" max="6915" width="10.875" style="18" customWidth="1"/>
    <col min="6916" max="6917" width="8.125" style="18" customWidth="1"/>
    <col min="6918" max="6918" width="12.625" style="18" bestFit="1" customWidth="1"/>
    <col min="6919" max="6920" width="7.5" style="18" customWidth="1"/>
    <col min="6921" max="6921" width="9" style="18" bestFit="1" customWidth="1"/>
    <col min="6922" max="6922" width="7.5" style="18" customWidth="1"/>
    <col min="6923" max="6923" width="8.125" style="18" customWidth="1"/>
    <col min="6924" max="6925" width="6.75" style="18" customWidth="1"/>
    <col min="6926" max="6927" width="8.5" style="18" bestFit="1" customWidth="1"/>
    <col min="6928" max="6939" width="8.125" style="18" customWidth="1"/>
    <col min="6940" max="7168" width="10.875" style="18"/>
    <col min="7169" max="7169" width="1" style="18" customWidth="1"/>
    <col min="7170" max="7170" width="9" style="18" customWidth="1"/>
    <col min="7171" max="7171" width="10.875" style="18" customWidth="1"/>
    <col min="7172" max="7173" width="8.125" style="18" customWidth="1"/>
    <col min="7174" max="7174" width="12.625" style="18" bestFit="1" customWidth="1"/>
    <col min="7175" max="7176" width="7.5" style="18" customWidth="1"/>
    <col min="7177" max="7177" width="9" style="18" bestFit="1" customWidth="1"/>
    <col min="7178" max="7178" width="7.5" style="18" customWidth="1"/>
    <col min="7179" max="7179" width="8.125" style="18" customWidth="1"/>
    <col min="7180" max="7181" width="6.75" style="18" customWidth="1"/>
    <col min="7182" max="7183" width="8.5" style="18" bestFit="1" customWidth="1"/>
    <col min="7184" max="7195" width="8.125" style="18" customWidth="1"/>
    <col min="7196" max="7424" width="10.875" style="18"/>
    <col min="7425" max="7425" width="1" style="18" customWidth="1"/>
    <col min="7426" max="7426" width="9" style="18" customWidth="1"/>
    <col min="7427" max="7427" width="10.875" style="18" customWidth="1"/>
    <col min="7428" max="7429" width="8.125" style="18" customWidth="1"/>
    <col min="7430" max="7430" width="12.625" style="18" bestFit="1" customWidth="1"/>
    <col min="7431" max="7432" width="7.5" style="18" customWidth="1"/>
    <col min="7433" max="7433" width="9" style="18" bestFit="1" customWidth="1"/>
    <col min="7434" max="7434" width="7.5" style="18" customWidth="1"/>
    <col min="7435" max="7435" width="8.125" style="18" customWidth="1"/>
    <col min="7436" max="7437" width="6.75" style="18" customWidth="1"/>
    <col min="7438" max="7439" width="8.5" style="18" bestFit="1" customWidth="1"/>
    <col min="7440" max="7451" width="8.125" style="18" customWidth="1"/>
    <col min="7452" max="7680" width="10.875" style="18"/>
    <col min="7681" max="7681" width="1" style="18" customWidth="1"/>
    <col min="7682" max="7682" width="9" style="18" customWidth="1"/>
    <col min="7683" max="7683" width="10.875" style="18" customWidth="1"/>
    <col min="7684" max="7685" width="8.125" style="18" customWidth="1"/>
    <col min="7686" max="7686" width="12.625" style="18" bestFit="1" customWidth="1"/>
    <col min="7687" max="7688" width="7.5" style="18" customWidth="1"/>
    <col min="7689" max="7689" width="9" style="18" bestFit="1" customWidth="1"/>
    <col min="7690" max="7690" width="7.5" style="18" customWidth="1"/>
    <col min="7691" max="7691" width="8.125" style="18" customWidth="1"/>
    <col min="7692" max="7693" width="6.75" style="18" customWidth="1"/>
    <col min="7694" max="7695" width="8.5" style="18" bestFit="1" customWidth="1"/>
    <col min="7696" max="7707" width="8.125" style="18" customWidth="1"/>
    <col min="7708" max="7936" width="10.875" style="18"/>
    <col min="7937" max="7937" width="1" style="18" customWidth="1"/>
    <col min="7938" max="7938" width="9" style="18" customWidth="1"/>
    <col min="7939" max="7939" width="10.875" style="18" customWidth="1"/>
    <col min="7940" max="7941" width="8.125" style="18" customWidth="1"/>
    <col min="7942" max="7942" width="12.625" style="18" bestFit="1" customWidth="1"/>
    <col min="7943" max="7944" width="7.5" style="18" customWidth="1"/>
    <col min="7945" max="7945" width="9" style="18" bestFit="1" customWidth="1"/>
    <col min="7946" max="7946" width="7.5" style="18" customWidth="1"/>
    <col min="7947" max="7947" width="8.125" style="18" customWidth="1"/>
    <col min="7948" max="7949" width="6.75" style="18" customWidth="1"/>
    <col min="7950" max="7951" width="8.5" style="18" bestFit="1" customWidth="1"/>
    <col min="7952" max="7963" width="8.125" style="18" customWidth="1"/>
    <col min="7964" max="8192" width="10.875" style="18"/>
    <col min="8193" max="8193" width="1" style="18" customWidth="1"/>
    <col min="8194" max="8194" width="9" style="18" customWidth="1"/>
    <col min="8195" max="8195" width="10.875" style="18" customWidth="1"/>
    <col min="8196" max="8197" width="8.125" style="18" customWidth="1"/>
    <col min="8198" max="8198" width="12.625" style="18" bestFit="1" customWidth="1"/>
    <col min="8199" max="8200" width="7.5" style="18" customWidth="1"/>
    <col min="8201" max="8201" width="9" style="18" bestFit="1" customWidth="1"/>
    <col min="8202" max="8202" width="7.5" style="18" customWidth="1"/>
    <col min="8203" max="8203" width="8.125" style="18" customWidth="1"/>
    <col min="8204" max="8205" width="6.75" style="18" customWidth="1"/>
    <col min="8206" max="8207" width="8.5" style="18" bestFit="1" customWidth="1"/>
    <col min="8208" max="8219" width="8.125" style="18" customWidth="1"/>
    <col min="8220" max="8448" width="10.875" style="18"/>
    <col min="8449" max="8449" width="1" style="18" customWidth="1"/>
    <col min="8450" max="8450" width="9" style="18" customWidth="1"/>
    <col min="8451" max="8451" width="10.875" style="18" customWidth="1"/>
    <col min="8452" max="8453" width="8.125" style="18" customWidth="1"/>
    <col min="8454" max="8454" width="12.625" style="18" bestFit="1" customWidth="1"/>
    <col min="8455" max="8456" width="7.5" style="18" customWidth="1"/>
    <col min="8457" max="8457" width="9" style="18" bestFit="1" customWidth="1"/>
    <col min="8458" max="8458" width="7.5" style="18" customWidth="1"/>
    <col min="8459" max="8459" width="8.125" style="18" customWidth="1"/>
    <col min="8460" max="8461" width="6.75" style="18" customWidth="1"/>
    <col min="8462" max="8463" width="8.5" style="18" bestFit="1" customWidth="1"/>
    <col min="8464" max="8475" width="8.125" style="18" customWidth="1"/>
    <col min="8476" max="8704" width="10.875" style="18"/>
    <col min="8705" max="8705" width="1" style="18" customWidth="1"/>
    <col min="8706" max="8706" width="9" style="18" customWidth="1"/>
    <col min="8707" max="8707" width="10.875" style="18" customWidth="1"/>
    <col min="8708" max="8709" width="8.125" style="18" customWidth="1"/>
    <col min="8710" max="8710" width="12.625" style="18" bestFit="1" customWidth="1"/>
    <col min="8711" max="8712" width="7.5" style="18" customWidth="1"/>
    <col min="8713" max="8713" width="9" style="18" bestFit="1" customWidth="1"/>
    <col min="8714" max="8714" width="7.5" style="18" customWidth="1"/>
    <col min="8715" max="8715" width="8.125" style="18" customWidth="1"/>
    <col min="8716" max="8717" width="6.75" style="18" customWidth="1"/>
    <col min="8718" max="8719" width="8.5" style="18" bestFit="1" customWidth="1"/>
    <col min="8720" max="8731" width="8.125" style="18" customWidth="1"/>
    <col min="8732" max="8960" width="10.875" style="18"/>
    <col min="8961" max="8961" width="1" style="18" customWidth="1"/>
    <col min="8962" max="8962" width="9" style="18" customWidth="1"/>
    <col min="8963" max="8963" width="10.875" style="18" customWidth="1"/>
    <col min="8964" max="8965" width="8.125" style="18" customWidth="1"/>
    <col min="8966" max="8966" width="12.625" style="18" bestFit="1" customWidth="1"/>
    <col min="8967" max="8968" width="7.5" style="18" customWidth="1"/>
    <col min="8969" max="8969" width="9" style="18" bestFit="1" customWidth="1"/>
    <col min="8970" max="8970" width="7.5" style="18" customWidth="1"/>
    <col min="8971" max="8971" width="8.125" style="18" customWidth="1"/>
    <col min="8972" max="8973" width="6.75" style="18" customWidth="1"/>
    <col min="8974" max="8975" width="8.5" style="18" bestFit="1" customWidth="1"/>
    <col min="8976" max="8987" width="8.125" style="18" customWidth="1"/>
    <col min="8988" max="9216" width="10.875" style="18"/>
    <col min="9217" max="9217" width="1" style="18" customWidth="1"/>
    <col min="9218" max="9218" width="9" style="18" customWidth="1"/>
    <col min="9219" max="9219" width="10.875" style="18" customWidth="1"/>
    <col min="9220" max="9221" width="8.125" style="18" customWidth="1"/>
    <col min="9222" max="9222" width="12.625" style="18" bestFit="1" customWidth="1"/>
    <col min="9223" max="9224" width="7.5" style="18" customWidth="1"/>
    <col min="9225" max="9225" width="9" style="18" bestFit="1" customWidth="1"/>
    <col min="9226" max="9226" width="7.5" style="18" customWidth="1"/>
    <col min="9227" max="9227" width="8.125" style="18" customWidth="1"/>
    <col min="9228" max="9229" width="6.75" style="18" customWidth="1"/>
    <col min="9230" max="9231" width="8.5" style="18" bestFit="1" customWidth="1"/>
    <col min="9232" max="9243" width="8.125" style="18" customWidth="1"/>
    <col min="9244" max="9472" width="10.875" style="18"/>
    <col min="9473" max="9473" width="1" style="18" customWidth="1"/>
    <col min="9474" max="9474" width="9" style="18" customWidth="1"/>
    <col min="9475" max="9475" width="10.875" style="18" customWidth="1"/>
    <col min="9476" max="9477" width="8.125" style="18" customWidth="1"/>
    <col min="9478" max="9478" width="12.625" style="18" bestFit="1" customWidth="1"/>
    <col min="9479" max="9480" width="7.5" style="18" customWidth="1"/>
    <col min="9481" max="9481" width="9" style="18" bestFit="1" customWidth="1"/>
    <col min="9482" max="9482" width="7.5" style="18" customWidth="1"/>
    <col min="9483" max="9483" width="8.125" style="18" customWidth="1"/>
    <col min="9484" max="9485" width="6.75" style="18" customWidth="1"/>
    <col min="9486" max="9487" width="8.5" style="18" bestFit="1" customWidth="1"/>
    <col min="9488" max="9499" width="8.125" style="18" customWidth="1"/>
    <col min="9500" max="9728" width="10.875" style="18"/>
    <col min="9729" max="9729" width="1" style="18" customWidth="1"/>
    <col min="9730" max="9730" width="9" style="18" customWidth="1"/>
    <col min="9731" max="9731" width="10.875" style="18" customWidth="1"/>
    <col min="9732" max="9733" width="8.125" style="18" customWidth="1"/>
    <col min="9734" max="9734" width="12.625" style="18" bestFit="1" customWidth="1"/>
    <col min="9735" max="9736" width="7.5" style="18" customWidth="1"/>
    <col min="9737" max="9737" width="9" style="18" bestFit="1" customWidth="1"/>
    <col min="9738" max="9738" width="7.5" style="18" customWidth="1"/>
    <col min="9739" max="9739" width="8.125" style="18" customWidth="1"/>
    <col min="9740" max="9741" width="6.75" style="18" customWidth="1"/>
    <col min="9742" max="9743" width="8.5" style="18" bestFit="1" customWidth="1"/>
    <col min="9744" max="9755" width="8.125" style="18" customWidth="1"/>
    <col min="9756" max="9984" width="10.875" style="18"/>
    <col min="9985" max="9985" width="1" style="18" customWidth="1"/>
    <col min="9986" max="9986" width="9" style="18" customWidth="1"/>
    <col min="9987" max="9987" width="10.875" style="18" customWidth="1"/>
    <col min="9988" max="9989" width="8.125" style="18" customWidth="1"/>
    <col min="9990" max="9990" width="12.625" style="18" bestFit="1" customWidth="1"/>
    <col min="9991" max="9992" width="7.5" style="18" customWidth="1"/>
    <col min="9993" max="9993" width="9" style="18" bestFit="1" customWidth="1"/>
    <col min="9994" max="9994" width="7.5" style="18" customWidth="1"/>
    <col min="9995" max="9995" width="8.125" style="18" customWidth="1"/>
    <col min="9996" max="9997" width="6.75" style="18" customWidth="1"/>
    <col min="9998" max="9999" width="8.5" style="18" bestFit="1" customWidth="1"/>
    <col min="10000" max="10011" width="8.125" style="18" customWidth="1"/>
    <col min="10012" max="10240" width="10.875" style="18"/>
    <col min="10241" max="10241" width="1" style="18" customWidth="1"/>
    <col min="10242" max="10242" width="9" style="18" customWidth="1"/>
    <col min="10243" max="10243" width="10.875" style="18" customWidth="1"/>
    <col min="10244" max="10245" width="8.125" style="18" customWidth="1"/>
    <col min="10246" max="10246" width="12.625" style="18" bestFit="1" customWidth="1"/>
    <col min="10247" max="10248" width="7.5" style="18" customWidth="1"/>
    <col min="10249" max="10249" width="9" style="18" bestFit="1" customWidth="1"/>
    <col min="10250" max="10250" width="7.5" style="18" customWidth="1"/>
    <col min="10251" max="10251" width="8.125" style="18" customWidth="1"/>
    <col min="10252" max="10253" width="6.75" style="18" customWidth="1"/>
    <col min="10254" max="10255" width="8.5" style="18" bestFit="1" customWidth="1"/>
    <col min="10256" max="10267" width="8.125" style="18" customWidth="1"/>
    <col min="10268" max="10496" width="10.875" style="18"/>
    <col min="10497" max="10497" width="1" style="18" customWidth="1"/>
    <col min="10498" max="10498" width="9" style="18" customWidth="1"/>
    <col min="10499" max="10499" width="10.875" style="18" customWidth="1"/>
    <col min="10500" max="10501" width="8.125" style="18" customWidth="1"/>
    <col min="10502" max="10502" width="12.625" style="18" bestFit="1" customWidth="1"/>
    <col min="10503" max="10504" width="7.5" style="18" customWidth="1"/>
    <col min="10505" max="10505" width="9" style="18" bestFit="1" customWidth="1"/>
    <col min="10506" max="10506" width="7.5" style="18" customWidth="1"/>
    <col min="10507" max="10507" width="8.125" style="18" customWidth="1"/>
    <col min="10508" max="10509" width="6.75" style="18" customWidth="1"/>
    <col min="10510" max="10511" width="8.5" style="18" bestFit="1" customWidth="1"/>
    <col min="10512" max="10523" width="8.125" style="18" customWidth="1"/>
    <col min="10524" max="10752" width="10.875" style="18"/>
    <col min="10753" max="10753" width="1" style="18" customWidth="1"/>
    <col min="10754" max="10754" width="9" style="18" customWidth="1"/>
    <col min="10755" max="10755" width="10.875" style="18" customWidth="1"/>
    <col min="10756" max="10757" width="8.125" style="18" customWidth="1"/>
    <col min="10758" max="10758" width="12.625" style="18" bestFit="1" customWidth="1"/>
    <col min="10759" max="10760" width="7.5" style="18" customWidth="1"/>
    <col min="10761" max="10761" width="9" style="18" bestFit="1" customWidth="1"/>
    <col min="10762" max="10762" width="7.5" style="18" customWidth="1"/>
    <col min="10763" max="10763" width="8.125" style="18" customWidth="1"/>
    <col min="10764" max="10765" width="6.75" style="18" customWidth="1"/>
    <col min="10766" max="10767" width="8.5" style="18" bestFit="1" customWidth="1"/>
    <col min="10768" max="10779" width="8.125" style="18" customWidth="1"/>
    <col min="10780" max="11008" width="10.875" style="18"/>
    <col min="11009" max="11009" width="1" style="18" customWidth="1"/>
    <col min="11010" max="11010" width="9" style="18" customWidth="1"/>
    <col min="11011" max="11011" width="10.875" style="18" customWidth="1"/>
    <col min="11012" max="11013" width="8.125" style="18" customWidth="1"/>
    <col min="11014" max="11014" width="12.625" style="18" bestFit="1" customWidth="1"/>
    <col min="11015" max="11016" width="7.5" style="18" customWidth="1"/>
    <col min="11017" max="11017" width="9" style="18" bestFit="1" customWidth="1"/>
    <col min="11018" max="11018" width="7.5" style="18" customWidth="1"/>
    <col min="11019" max="11019" width="8.125" style="18" customWidth="1"/>
    <col min="11020" max="11021" width="6.75" style="18" customWidth="1"/>
    <col min="11022" max="11023" width="8.5" style="18" bestFit="1" customWidth="1"/>
    <col min="11024" max="11035" width="8.125" style="18" customWidth="1"/>
    <col min="11036" max="11264" width="10.875" style="18"/>
    <col min="11265" max="11265" width="1" style="18" customWidth="1"/>
    <col min="11266" max="11266" width="9" style="18" customWidth="1"/>
    <col min="11267" max="11267" width="10.875" style="18" customWidth="1"/>
    <col min="11268" max="11269" width="8.125" style="18" customWidth="1"/>
    <col min="11270" max="11270" width="12.625" style="18" bestFit="1" customWidth="1"/>
    <col min="11271" max="11272" width="7.5" style="18" customWidth="1"/>
    <col min="11273" max="11273" width="9" style="18" bestFit="1" customWidth="1"/>
    <col min="11274" max="11274" width="7.5" style="18" customWidth="1"/>
    <col min="11275" max="11275" width="8.125" style="18" customWidth="1"/>
    <col min="11276" max="11277" width="6.75" style="18" customWidth="1"/>
    <col min="11278" max="11279" width="8.5" style="18" bestFit="1" customWidth="1"/>
    <col min="11280" max="11291" width="8.125" style="18" customWidth="1"/>
    <col min="11292" max="11520" width="10.875" style="18"/>
    <col min="11521" max="11521" width="1" style="18" customWidth="1"/>
    <col min="11522" max="11522" width="9" style="18" customWidth="1"/>
    <col min="11523" max="11523" width="10.875" style="18" customWidth="1"/>
    <col min="11524" max="11525" width="8.125" style="18" customWidth="1"/>
    <col min="11526" max="11526" width="12.625" style="18" bestFit="1" customWidth="1"/>
    <col min="11527" max="11528" width="7.5" style="18" customWidth="1"/>
    <col min="11529" max="11529" width="9" style="18" bestFit="1" customWidth="1"/>
    <col min="11530" max="11530" width="7.5" style="18" customWidth="1"/>
    <col min="11531" max="11531" width="8.125" style="18" customWidth="1"/>
    <col min="11532" max="11533" width="6.75" style="18" customWidth="1"/>
    <col min="11534" max="11535" width="8.5" style="18" bestFit="1" customWidth="1"/>
    <col min="11536" max="11547" width="8.125" style="18" customWidth="1"/>
    <col min="11548" max="11776" width="10.875" style="18"/>
    <col min="11777" max="11777" width="1" style="18" customWidth="1"/>
    <col min="11778" max="11778" width="9" style="18" customWidth="1"/>
    <col min="11779" max="11779" width="10.875" style="18" customWidth="1"/>
    <col min="11780" max="11781" width="8.125" style="18" customWidth="1"/>
    <col min="11782" max="11782" width="12.625" style="18" bestFit="1" customWidth="1"/>
    <col min="11783" max="11784" width="7.5" style="18" customWidth="1"/>
    <col min="11785" max="11785" width="9" style="18" bestFit="1" customWidth="1"/>
    <col min="11786" max="11786" width="7.5" style="18" customWidth="1"/>
    <col min="11787" max="11787" width="8.125" style="18" customWidth="1"/>
    <col min="11788" max="11789" width="6.75" style="18" customWidth="1"/>
    <col min="11790" max="11791" width="8.5" style="18" bestFit="1" customWidth="1"/>
    <col min="11792" max="11803" width="8.125" style="18" customWidth="1"/>
    <col min="11804" max="12032" width="10.875" style="18"/>
    <col min="12033" max="12033" width="1" style="18" customWidth="1"/>
    <col min="12034" max="12034" width="9" style="18" customWidth="1"/>
    <col min="12035" max="12035" width="10.875" style="18" customWidth="1"/>
    <col min="12036" max="12037" width="8.125" style="18" customWidth="1"/>
    <col min="12038" max="12038" width="12.625" style="18" bestFit="1" customWidth="1"/>
    <col min="12039" max="12040" width="7.5" style="18" customWidth="1"/>
    <col min="12041" max="12041" width="9" style="18" bestFit="1" customWidth="1"/>
    <col min="12042" max="12042" width="7.5" style="18" customWidth="1"/>
    <col min="12043" max="12043" width="8.125" style="18" customWidth="1"/>
    <col min="12044" max="12045" width="6.75" style="18" customWidth="1"/>
    <col min="12046" max="12047" width="8.5" style="18" bestFit="1" customWidth="1"/>
    <col min="12048" max="12059" width="8.125" style="18" customWidth="1"/>
    <col min="12060" max="12288" width="10.875" style="18"/>
    <col min="12289" max="12289" width="1" style="18" customWidth="1"/>
    <col min="12290" max="12290" width="9" style="18" customWidth="1"/>
    <col min="12291" max="12291" width="10.875" style="18" customWidth="1"/>
    <col min="12292" max="12293" width="8.125" style="18" customWidth="1"/>
    <col min="12294" max="12294" width="12.625" style="18" bestFit="1" customWidth="1"/>
    <col min="12295" max="12296" width="7.5" style="18" customWidth="1"/>
    <col min="12297" max="12297" width="9" style="18" bestFit="1" customWidth="1"/>
    <col min="12298" max="12298" width="7.5" style="18" customWidth="1"/>
    <col min="12299" max="12299" width="8.125" style="18" customWidth="1"/>
    <col min="12300" max="12301" width="6.75" style="18" customWidth="1"/>
    <col min="12302" max="12303" width="8.5" style="18" bestFit="1" customWidth="1"/>
    <col min="12304" max="12315" width="8.125" style="18" customWidth="1"/>
    <col min="12316" max="12544" width="10.875" style="18"/>
    <col min="12545" max="12545" width="1" style="18" customWidth="1"/>
    <col min="12546" max="12546" width="9" style="18" customWidth="1"/>
    <col min="12547" max="12547" width="10.875" style="18" customWidth="1"/>
    <col min="12548" max="12549" width="8.125" style="18" customWidth="1"/>
    <col min="12550" max="12550" width="12.625" style="18" bestFit="1" customWidth="1"/>
    <col min="12551" max="12552" width="7.5" style="18" customWidth="1"/>
    <col min="12553" max="12553" width="9" style="18" bestFit="1" customWidth="1"/>
    <col min="12554" max="12554" width="7.5" style="18" customWidth="1"/>
    <col min="12555" max="12555" width="8.125" style="18" customWidth="1"/>
    <col min="12556" max="12557" width="6.75" style="18" customWidth="1"/>
    <col min="12558" max="12559" width="8.5" style="18" bestFit="1" customWidth="1"/>
    <col min="12560" max="12571" width="8.125" style="18" customWidth="1"/>
    <col min="12572" max="12800" width="10.875" style="18"/>
    <col min="12801" max="12801" width="1" style="18" customWidth="1"/>
    <col min="12802" max="12802" width="9" style="18" customWidth="1"/>
    <col min="12803" max="12803" width="10.875" style="18" customWidth="1"/>
    <col min="12804" max="12805" width="8.125" style="18" customWidth="1"/>
    <col min="12806" max="12806" width="12.625" style="18" bestFit="1" customWidth="1"/>
    <col min="12807" max="12808" width="7.5" style="18" customWidth="1"/>
    <col min="12809" max="12809" width="9" style="18" bestFit="1" customWidth="1"/>
    <col min="12810" max="12810" width="7.5" style="18" customWidth="1"/>
    <col min="12811" max="12811" width="8.125" style="18" customWidth="1"/>
    <col min="12812" max="12813" width="6.75" style="18" customWidth="1"/>
    <col min="12814" max="12815" width="8.5" style="18" bestFit="1" customWidth="1"/>
    <col min="12816" max="12827" width="8.125" style="18" customWidth="1"/>
    <col min="12828" max="13056" width="10.875" style="18"/>
    <col min="13057" max="13057" width="1" style="18" customWidth="1"/>
    <col min="13058" max="13058" width="9" style="18" customWidth="1"/>
    <col min="13059" max="13059" width="10.875" style="18" customWidth="1"/>
    <col min="13060" max="13061" width="8.125" style="18" customWidth="1"/>
    <col min="13062" max="13062" width="12.625" style="18" bestFit="1" customWidth="1"/>
    <col min="13063" max="13064" width="7.5" style="18" customWidth="1"/>
    <col min="13065" max="13065" width="9" style="18" bestFit="1" customWidth="1"/>
    <col min="13066" max="13066" width="7.5" style="18" customWidth="1"/>
    <col min="13067" max="13067" width="8.125" style="18" customWidth="1"/>
    <col min="13068" max="13069" width="6.75" style="18" customWidth="1"/>
    <col min="13070" max="13071" width="8.5" style="18" bestFit="1" customWidth="1"/>
    <col min="13072" max="13083" width="8.125" style="18" customWidth="1"/>
    <col min="13084" max="13312" width="10.875" style="18"/>
    <col min="13313" max="13313" width="1" style="18" customWidth="1"/>
    <col min="13314" max="13314" width="9" style="18" customWidth="1"/>
    <col min="13315" max="13315" width="10.875" style="18" customWidth="1"/>
    <col min="13316" max="13317" width="8.125" style="18" customWidth="1"/>
    <col min="13318" max="13318" width="12.625" style="18" bestFit="1" customWidth="1"/>
    <col min="13319" max="13320" width="7.5" style="18" customWidth="1"/>
    <col min="13321" max="13321" width="9" style="18" bestFit="1" customWidth="1"/>
    <col min="13322" max="13322" width="7.5" style="18" customWidth="1"/>
    <col min="13323" max="13323" width="8.125" style="18" customWidth="1"/>
    <col min="13324" max="13325" width="6.75" style="18" customWidth="1"/>
    <col min="13326" max="13327" width="8.5" style="18" bestFit="1" customWidth="1"/>
    <col min="13328" max="13339" width="8.125" style="18" customWidth="1"/>
    <col min="13340" max="13568" width="10.875" style="18"/>
    <col min="13569" max="13569" width="1" style="18" customWidth="1"/>
    <col min="13570" max="13570" width="9" style="18" customWidth="1"/>
    <col min="13571" max="13571" width="10.875" style="18" customWidth="1"/>
    <col min="13572" max="13573" width="8.125" style="18" customWidth="1"/>
    <col min="13574" max="13574" width="12.625" style="18" bestFit="1" customWidth="1"/>
    <col min="13575" max="13576" width="7.5" style="18" customWidth="1"/>
    <col min="13577" max="13577" width="9" style="18" bestFit="1" customWidth="1"/>
    <col min="13578" max="13578" width="7.5" style="18" customWidth="1"/>
    <col min="13579" max="13579" width="8.125" style="18" customWidth="1"/>
    <col min="13580" max="13581" width="6.75" style="18" customWidth="1"/>
    <col min="13582" max="13583" width="8.5" style="18" bestFit="1" customWidth="1"/>
    <col min="13584" max="13595" width="8.125" style="18" customWidth="1"/>
    <col min="13596" max="13824" width="10.875" style="18"/>
    <col min="13825" max="13825" width="1" style="18" customWidth="1"/>
    <col min="13826" max="13826" width="9" style="18" customWidth="1"/>
    <col min="13827" max="13827" width="10.875" style="18" customWidth="1"/>
    <col min="13828" max="13829" width="8.125" style="18" customWidth="1"/>
    <col min="13830" max="13830" width="12.625" style="18" bestFit="1" customWidth="1"/>
    <col min="13831" max="13832" width="7.5" style="18" customWidth="1"/>
    <col min="13833" max="13833" width="9" style="18" bestFit="1" customWidth="1"/>
    <col min="13834" max="13834" width="7.5" style="18" customWidth="1"/>
    <col min="13835" max="13835" width="8.125" style="18" customWidth="1"/>
    <col min="13836" max="13837" width="6.75" style="18" customWidth="1"/>
    <col min="13838" max="13839" width="8.5" style="18" bestFit="1" customWidth="1"/>
    <col min="13840" max="13851" width="8.125" style="18" customWidth="1"/>
    <col min="13852" max="14080" width="10.875" style="18"/>
    <col min="14081" max="14081" width="1" style="18" customWidth="1"/>
    <col min="14082" max="14082" width="9" style="18" customWidth="1"/>
    <col min="14083" max="14083" width="10.875" style="18" customWidth="1"/>
    <col min="14084" max="14085" width="8.125" style="18" customWidth="1"/>
    <col min="14086" max="14086" width="12.625" style="18" bestFit="1" customWidth="1"/>
    <col min="14087" max="14088" width="7.5" style="18" customWidth="1"/>
    <col min="14089" max="14089" width="9" style="18" bestFit="1" customWidth="1"/>
    <col min="14090" max="14090" width="7.5" style="18" customWidth="1"/>
    <col min="14091" max="14091" width="8.125" style="18" customWidth="1"/>
    <col min="14092" max="14093" width="6.75" style="18" customWidth="1"/>
    <col min="14094" max="14095" width="8.5" style="18" bestFit="1" customWidth="1"/>
    <col min="14096" max="14107" width="8.125" style="18" customWidth="1"/>
    <col min="14108" max="14336" width="10.875" style="18"/>
    <col min="14337" max="14337" width="1" style="18" customWidth="1"/>
    <col min="14338" max="14338" width="9" style="18" customWidth="1"/>
    <col min="14339" max="14339" width="10.875" style="18" customWidth="1"/>
    <col min="14340" max="14341" width="8.125" style="18" customWidth="1"/>
    <col min="14342" max="14342" width="12.625" style="18" bestFit="1" customWidth="1"/>
    <col min="14343" max="14344" width="7.5" style="18" customWidth="1"/>
    <col min="14345" max="14345" width="9" style="18" bestFit="1" customWidth="1"/>
    <col min="14346" max="14346" width="7.5" style="18" customWidth="1"/>
    <col min="14347" max="14347" width="8.125" style="18" customWidth="1"/>
    <col min="14348" max="14349" width="6.75" style="18" customWidth="1"/>
    <col min="14350" max="14351" width="8.5" style="18" bestFit="1" customWidth="1"/>
    <col min="14352" max="14363" width="8.125" style="18" customWidth="1"/>
    <col min="14364" max="14592" width="10.875" style="18"/>
    <col min="14593" max="14593" width="1" style="18" customWidth="1"/>
    <col min="14594" max="14594" width="9" style="18" customWidth="1"/>
    <col min="14595" max="14595" width="10.875" style="18" customWidth="1"/>
    <col min="14596" max="14597" width="8.125" style="18" customWidth="1"/>
    <col min="14598" max="14598" width="12.625" style="18" bestFit="1" customWidth="1"/>
    <col min="14599" max="14600" width="7.5" style="18" customWidth="1"/>
    <col min="14601" max="14601" width="9" style="18" bestFit="1" customWidth="1"/>
    <col min="14602" max="14602" width="7.5" style="18" customWidth="1"/>
    <col min="14603" max="14603" width="8.125" style="18" customWidth="1"/>
    <col min="14604" max="14605" width="6.75" style="18" customWidth="1"/>
    <col min="14606" max="14607" width="8.5" style="18" bestFit="1" customWidth="1"/>
    <col min="14608" max="14619" width="8.125" style="18" customWidth="1"/>
    <col min="14620" max="14848" width="10.875" style="18"/>
    <col min="14849" max="14849" width="1" style="18" customWidth="1"/>
    <col min="14850" max="14850" width="9" style="18" customWidth="1"/>
    <col min="14851" max="14851" width="10.875" style="18" customWidth="1"/>
    <col min="14852" max="14853" width="8.125" style="18" customWidth="1"/>
    <col min="14854" max="14854" width="12.625" style="18" bestFit="1" customWidth="1"/>
    <col min="14855" max="14856" width="7.5" style="18" customWidth="1"/>
    <col min="14857" max="14857" width="9" style="18" bestFit="1" customWidth="1"/>
    <col min="14858" max="14858" width="7.5" style="18" customWidth="1"/>
    <col min="14859" max="14859" width="8.125" style="18" customWidth="1"/>
    <col min="14860" max="14861" width="6.75" style="18" customWidth="1"/>
    <col min="14862" max="14863" width="8.5" style="18" bestFit="1" customWidth="1"/>
    <col min="14864" max="14875" width="8.125" style="18" customWidth="1"/>
    <col min="14876" max="15104" width="10.875" style="18"/>
    <col min="15105" max="15105" width="1" style="18" customWidth="1"/>
    <col min="15106" max="15106" width="9" style="18" customWidth="1"/>
    <col min="15107" max="15107" width="10.875" style="18" customWidth="1"/>
    <col min="15108" max="15109" width="8.125" style="18" customWidth="1"/>
    <col min="15110" max="15110" width="12.625" style="18" bestFit="1" customWidth="1"/>
    <col min="15111" max="15112" width="7.5" style="18" customWidth="1"/>
    <col min="15113" max="15113" width="9" style="18" bestFit="1" customWidth="1"/>
    <col min="15114" max="15114" width="7.5" style="18" customWidth="1"/>
    <col min="15115" max="15115" width="8.125" style="18" customWidth="1"/>
    <col min="15116" max="15117" width="6.75" style="18" customWidth="1"/>
    <col min="15118" max="15119" width="8.5" style="18" bestFit="1" customWidth="1"/>
    <col min="15120" max="15131" width="8.125" style="18" customWidth="1"/>
    <col min="15132" max="15360" width="10.875" style="18"/>
    <col min="15361" max="15361" width="1" style="18" customWidth="1"/>
    <col min="15362" max="15362" width="9" style="18" customWidth="1"/>
    <col min="15363" max="15363" width="10.875" style="18" customWidth="1"/>
    <col min="15364" max="15365" width="8.125" style="18" customWidth="1"/>
    <col min="15366" max="15366" width="12.625" style="18" bestFit="1" customWidth="1"/>
    <col min="15367" max="15368" width="7.5" style="18" customWidth="1"/>
    <col min="15369" max="15369" width="9" style="18" bestFit="1" customWidth="1"/>
    <col min="15370" max="15370" width="7.5" style="18" customWidth="1"/>
    <col min="15371" max="15371" width="8.125" style="18" customWidth="1"/>
    <col min="15372" max="15373" width="6.75" style="18" customWidth="1"/>
    <col min="15374" max="15375" width="8.5" style="18" bestFit="1" customWidth="1"/>
    <col min="15376" max="15387" width="8.125" style="18" customWidth="1"/>
    <col min="15388" max="15616" width="10.875" style="18"/>
    <col min="15617" max="15617" width="1" style="18" customWidth="1"/>
    <col min="15618" max="15618" width="9" style="18" customWidth="1"/>
    <col min="15619" max="15619" width="10.875" style="18" customWidth="1"/>
    <col min="15620" max="15621" width="8.125" style="18" customWidth="1"/>
    <col min="15622" max="15622" width="12.625" style="18" bestFit="1" customWidth="1"/>
    <col min="15623" max="15624" width="7.5" style="18" customWidth="1"/>
    <col min="15625" max="15625" width="9" style="18" bestFit="1" customWidth="1"/>
    <col min="15626" max="15626" width="7.5" style="18" customWidth="1"/>
    <col min="15627" max="15627" width="8.125" style="18" customWidth="1"/>
    <col min="15628" max="15629" width="6.75" style="18" customWidth="1"/>
    <col min="15630" max="15631" width="8.5" style="18" bestFit="1" customWidth="1"/>
    <col min="15632" max="15643" width="8.125" style="18" customWidth="1"/>
    <col min="15644" max="15872" width="10.875" style="18"/>
    <col min="15873" max="15873" width="1" style="18" customWidth="1"/>
    <col min="15874" max="15874" width="9" style="18" customWidth="1"/>
    <col min="15875" max="15875" width="10.875" style="18" customWidth="1"/>
    <col min="15876" max="15877" width="8.125" style="18" customWidth="1"/>
    <col min="15878" max="15878" width="12.625" style="18" bestFit="1" customWidth="1"/>
    <col min="15879" max="15880" width="7.5" style="18" customWidth="1"/>
    <col min="15881" max="15881" width="9" style="18" bestFit="1" customWidth="1"/>
    <col min="15882" max="15882" width="7.5" style="18" customWidth="1"/>
    <col min="15883" max="15883" width="8.125" style="18" customWidth="1"/>
    <col min="15884" max="15885" width="6.75" style="18" customWidth="1"/>
    <col min="15886" max="15887" width="8.5" style="18" bestFit="1" customWidth="1"/>
    <col min="15888" max="15899" width="8.125" style="18" customWidth="1"/>
    <col min="15900" max="16128" width="10.875" style="18"/>
    <col min="16129" max="16129" width="1" style="18" customWidth="1"/>
    <col min="16130" max="16130" width="9" style="18" customWidth="1"/>
    <col min="16131" max="16131" width="10.875" style="18" customWidth="1"/>
    <col min="16132" max="16133" width="8.125" style="18" customWidth="1"/>
    <col min="16134" max="16134" width="12.625" style="18" bestFit="1" customWidth="1"/>
    <col min="16135" max="16136" width="7.5" style="18" customWidth="1"/>
    <col min="16137" max="16137" width="9" style="18" bestFit="1" customWidth="1"/>
    <col min="16138" max="16138" width="7.5" style="18" customWidth="1"/>
    <col min="16139" max="16139" width="8.125" style="18" customWidth="1"/>
    <col min="16140" max="16141" width="6.75" style="18" customWidth="1"/>
    <col min="16142" max="16143" width="8.5" style="18" bestFit="1" customWidth="1"/>
    <col min="16144" max="16155" width="8.125" style="18" customWidth="1"/>
    <col min="16156" max="16384" width="10.875" style="18"/>
  </cols>
  <sheetData>
    <row r="1" spans="1:30" s="24" customFormat="1" ht="30" customHeight="1" thickBot="1">
      <c r="A1" s="25"/>
      <c r="B1" s="663" t="s">
        <v>727</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row>
    <row r="2" spans="1:30" s="24"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30" s="24" customFormat="1" ht="23.25" customHeight="1">
      <c r="A3" s="78"/>
      <c r="B3" s="79" t="s">
        <v>324</v>
      </c>
      <c r="C3" s="78"/>
      <c r="D3" s="78"/>
      <c r="E3" s="78"/>
      <c r="F3" s="78"/>
      <c r="G3" s="78"/>
      <c r="H3" s="78"/>
      <c r="I3" s="78"/>
      <c r="J3" s="78"/>
      <c r="K3" s="78"/>
      <c r="L3" s="78"/>
      <c r="M3" s="78"/>
      <c r="N3" s="78"/>
      <c r="O3" s="78"/>
      <c r="P3" s="78"/>
      <c r="Q3" s="78"/>
      <c r="R3" s="78"/>
      <c r="S3" s="78"/>
      <c r="T3" s="78"/>
      <c r="U3" s="78"/>
      <c r="V3" s="78"/>
      <c r="W3" s="78"/>
      <c r="X3" s="78"/>
      <c r="Y3" s="78"/>
      <c r="Z3" s="78"/>
      <c r="AA3" s="78"/>
    </row>
    <row r="4" spans="1:30" s="24" customFormat="1" ht="23.25" customHeight="1">
      <c r="A4" s="78"/>
      <c r="B4" s="80" t="s">
        <v>325</v>
      </c>
      <c r="C4" s="78"/>
      <c r="D4" s="78"/>
      <c r="E4" s="78"/>
      <c r="F4" s="78"/>
      <c r="G4" s="78"/>
      <c r="H4" s="78"/>
      <c r="I4" s="78"/>
      <c r="J4" s="78"/>
      <c r="K4" s="78"/>
      <c r="L4" s="78"/>
      <c r="M4" s="78"/>
      <c r="N4" s="78"/>
      <c r="O4" s="78"/>
      <c r="P4" s="78"/>
      <c r="Q4" s="78"/>
      <c r="R4" s="78"/>
      <c r="S4" s="78"/>
      <c r="T4" s="78"/>
      <c r="U4" s="78"/>
      <c r="V4" s="78"/>
      <c r="W4" s="78"/>
      <c r="X4" s="78"/>
      <c r="Y4" s="78"/>
      <c r="Z4" s="78"/>
      <c r="AA4" s="78"/>
    </row>
    <row r="5" spans="1:30" s="357" customFormat="1" ht="18" customHeight="1" thickBot="1">
      <c r="B5" s="25"/>
      <c r="C5" s="81"/>
      <c r="F5" s="358"/>
      <c r="G5" s="358"/>
      <c r="H5" s="358"/>
      <c r="I5" s="358"/>
      <c r="J5" s="358"/>
      <c r="K5" s="358"/>
      <c r="L5" s="358"/>
    </row>
    <row r="6" spans="1:30" s="83" customFormat="1" ht="18" customHeight="1">
      <c r="B6" s="701" t="s">
        <v>326</v>
      </c>
      <c r="C6" s="702"/>
      <c r="D6" s="791" t="s">
        <v>327</v>
      </c>
      <c r="E6" s="702"/>
      <c r="F6" s="702"/>
      <c r="G6" s="702"/>
      <c r="H6" s="702"/>
      <c r="I6" s="702"/>
      <c r="J6" s="702"/>
      <c r="K6" s="702"/>
      <c r="L6" s="702"/>
      <c r="M6" s="702"/>
      <c r="N6" s="702"/>
      <c r="O6" s="702"/>
      <c r="P6" s="702"/>
      <c r="Q6" s="825"/>
      <c r="R6" s="791" t="s">
        <v>328</v>
      </c>
      <c r="S6" s="702"/>
      <c r="T6" s="702"/>
      <c r="U6" s="702"/>
      <c r="V6" s="702"/>
      <c r="W6" s="702"/>
      <c r="X6" s="702"/>
      <c r="Y6" s="706"/>
      <c r="Z6" s="357"/>
      <c r="AA6" s="357"/>
    </row>
    <row r="7" spans="1:30" s="566" customFormat="1" ht="20.25" customHeight="1">
      <c r="B7" s="792" t="s">
        <v>329</v>
      </c>
      <c r="C7" s="793"/>
      <c r="D7" s="808" t="s">
        <v>381</v>
      </c>
      <c r="E7" s="809"/>
      <c r="F7" s="809"/>
      <c r="G7" s="809"/>
      <c r="H7" s="809"/>
      <c r="I7" s="809"/>
      <c r="J7" s="809"/>
      <c r="K7" s="809"/>
      <c r="L7" s="809"/>
      <c r="M7" s="809"/>
      <c r="N7" s="809"/>
      <c r="O7" s="809"/>
      <c r="P7" s="809"/>
      <c r="Q7" s="810"/>
      <c r="R7" s="796" t="s">
        <v>330</v>
      </c>
      <c r="S7" s="797"/>
      <c r="T7" s="797"/>
      <c r="U7" s="797"/>
      <c r="V7" s="797"/>
      <c r="W7" s="797"/>
      <c r="X7" s="797"/>
      <c r="Y7" s="798"/>
      <c r="Z7" s="567"/>
      <c r="AA7" s="567"/>
    </row>
    <row r="8" spans="1:30" s="566" customFormat="1" ht="20.25" customHeight="1">
      <c r="B8" s="792"/>
      <c r="C8" s="793"/>
      <c r="D8" s="816" t="s">
        <v>385</v>
      </c>
      <c r="E8" s="817"/>
      <c r="F8" s="817"/>
      <c r="G8" s="817"/>
      <c r="H8" s="817"/>
      <c r="I8" s="817"/>
      <c r="J8" s="817"/>
      <c r="K8" s="817"/>
      <c r="L8" s="817"/>
      <c r="M8" s="817"/>
      <c r="N8" s="817"/>
      <c r="O8" s="817"/>
      <c r="P8" s="817"/>
      <c r="Q8" s="818"/>
      <c r="R8" s="796"/>
      <c r="S8" s="797"/>
      <c r="T8" s="797"/>
      <c r="U8" s="797"/>
      <c r="V8" s="797"/>
      <c r="W8" s="797"/>
      <c r="X8" s="797"/>
      <c r="Y8" s="798"/>
      <c r="Z8" s="567"/>
      <c r="AA8" s="567"/>
    </row>
    <row r="9" spans="1:30" s="566" customFormat="1" ht="20.25" customHeight="1">
      <c r="B9" s="794"/>
      <c r="C9" s="795"/>
      <c r="D9" s="819" t="s">
        <v>386</v>
      </c>
      <c r="E9" s="820"/>
      <c r="F9" s="820"/>
      <c r="G9" s="820"/>
      <c r="H9" s="820"/>
      <c r="I9" s="820"/>
      <c r="J9" s="820"/>
      <c r="K9" s="820"/>
      <c r="L9" s="820"/>
      <c r="M9" s="820"/>
      <c r="N9" s="820"/>
      <c r="O9" s="820"/>
      <c r="P9" s="820"/>
      <c r="Q9" s="821"/>
      <c r="R9" s="796"/>
      <c r="S9" s="797"/>
      <c r="T9" s="797"/>
      <c r="U9" s="797"/>
      <c r="V9" s="797"/>
      <c r="W9" s="797"/>
      <c r="X9" s="797"/>
      <c r="Y9" s="798"/>
      <c r="Z9" s="567"/>
      <c r="AA9" s="567"/>
    </row>
    <row r="10" spans="1:30" s="566" customFormat="1" ht="21.75" customHeight="1">
      <c r="B10" s="794" t="s">
        <v>331</v>
      </c>
      <c r="C10" s="795"/>
      <c r="D10" s="808" t="s">
        <v>380</v>
      </c>
      <c r="E10" s="809"/>
      <c r="F10" s="809"/>
      <c r="G10" s="809"/>
      <c r="H10" s="809"/>
      <c r="I10" s="809"/>
      <c r="J10" s="809"/>
      <c r="K10" s="809"/>
      <c r="L10" s="809"/>
      <c r="M10" s="809"/>
      <c r="N10" s="809"/>
      <c r="O10" s="809"/>
      <c r="P10" s="809"/>
      <c r="Q10" s="810"/>
      <c r="R10" s="796"/>
      <c r="S10" s="797"/>
      <c r="T10" s="797"/>
      <c r="U10" s="797"/>
      <c r="V10" s="797"/>
      <c r="W10" s="797"/>
      <c r="X10" s="797"/>
      <c r="Y10" s="798"/>
      <c r="Z10" s="567"/>
      <c r="AA10" s="567"/>
    </row>
    <row r="11" spans="1:30" s="566" customFormat="1" ht="21.75" customHeight="1">
      <c r="B11" s="794"/>
      <c r="C11" s="795"/>
      <c r="D11" s="816" t="s">
        <v>387</v>
      </c>
      <c r="E11" s="817"/>
      <c r="F11" s="817"/>
      <c r="G11" s="817"/>
      <c r="H11" s="817"/>
      <c r="I11" s="817"/>
      <c r="J11" s="817"/>
      <c r="K11" s="817"/>
      <c r="L11" s="817"/>
      <c r="M11" s="817"/>
      <c r="N11" s="817"/>
      <c r="O11" s="817"/>
      <c r="P11" s="817"/>
      <c r="Q11" s="818"/>
      <c r="R11" s="796"/>
      <c r="S11" s="797"/>
      <c r="T11" s="797"/>
      <c r="U11" s="797"/>
      <c r="V11" s="797"/>
      <c r="W11" s="797"/>
      <c r="X11" s="797"/>
      <c r="Y11" s="798"/>
      <c r="Z11" s="567"/>
      <c r="AA11" s="567"/>
    </row>
    <row r="12" spans="1:30" s="566" customFormat="1" ht="21.75" customHeight="1">
      <c r="B12" s="794"/>
      <c r="C12" s="795"/>
      <c r="D12" s="822" t="s">
        <v>382</v>
      </c>
      <c r="E12" s="823"/>
      <c r="F12" s="823"/>
      <c r="G12" s="823"/>
      <c r="H12" s="823"/>
      <c r="I12" s="823"/>
      <c r="J12" s="823"/>
      <c r="K12" s="823"/>
      <c r="L12" s="823"/>
      <c r="M12" s="823"/>
      <c r="N12" s="823"/>
      <c r="O12" s="823"/>
      <c r="P12" s="823"/>
      <c r="Q12" s="824"/>
      <c r="R12" s="796"/>
      <c r="S12" s="797"/>
      <c r="T12" s="797"/>
      <c r="U12" s="797"/>
      <c r="V12" s="797"/>
      <c r="W12" s="797"/>
      <c r="X12" s="797"/>
      <c r="Y12" s="798"/>
      <c r="Z12" s="567"/>
      <c r="AA12" s="567"/>
    </row>
    <row r="13" spans="1:30" s="566" customFormat="1" ht="21.75" customHeight="1">
      <c r="B13" s="794"/>
      <c r="C13" s="795"/>
      <c r="D13" s="822" t="s">
        <v>383</v>
      </c>
      <c r="E13" s="823"/>
      <c r="F13" s="823"/>
      <c r="G13" s="823"/>
      <c r="H13" s="823"/>
      <c r="I13" s="823"/>
      <c r="J13" s="823"/>
      <c r="K13" s="823"/>
      <c r="L13" s="823"/>
      <c r="M13" s="823"/>
      <c r="N13" s="823"/>
      <c r="O13" s="823"/>
      <c r="P13" s="823"/>
      <c r="Q13" s="824"/>
      <c r="R13" s="796"/>
      <c r="S13" s="797"/>
      <c r="T13" s="797"/>
      <c r="U13" s="797"/>
      <c r="V13" s="797"/>
      <c r="W13" s="797"/>
      <c r="X13" s="797"/>
      <c r="Y13" s="798"/>
      <c r="Z13" s="567"/>
      <c r="AA13" s="567"/>
    </row>
    <row r="14" spans="1:30" s="566" customFormat="1" ht="21.75" customHeight="1">
      <c r="B14" s="794"/>
      <c r="C14" s="795"/>
      <c r="D14" s="805" t="s">
        <v>384</v>
      </c>
      <c r="E14" s="806"/>
      <c r="F14" s="806"/>
      <c r="G14" s="806"/>
      <c r="H14" s="806"/>
      <c r="I14" s="806"/>
      <c r="J14" s="806"/>
      <c r="K14" s="806"/>
      <c r="L14" s="806"/>
      <c r="M14" s="806"/>
      <c r="N14" s="806"/>
      <c r="O14" s="806"/>
      <c r="P14" s="806"/>
      <c r="Q14" s="807"/>
      <c r="R14" s="796"/>
      <c r="S14" s="797"/>
      <c r="T14" s="797"/>
      <c r="U14" s="797"/>
      <c r="V14" s="797"/>
      <c r="W14" s="797"/>
      <c r="X14" s="797"/>
      <c r="Y14" s="798"/>
      <c r="Z14" s="567"/>
      <c r="AA14" s="567"/>
    </row>
    <row r="15" spans="1:30" s="566" customFormat="1" ht="21.75" customHeight="1" thickBot="1">
      <c r="B15" s="814" t="s">
        <v>332</v>
      </c>
      <c r="C15" s="815"/>
      <c r="D15" s="811" t="s">
        <v>388</v>
      </c>
      <c r="E15" s="812"/>
      <c r="F15" s="812"/>
      <c r="G15" s="812"/>
      <c r="H15" s="812"/>
      <c r="I15" s="812"/>
      <c r="J15" s="812"/>
      <c r="K15" s="812"/>
      <c r="L15" s="812"/>
      <c r="M15" s="812"/>
      <c r="N15" s="812"/>
      <c r="O15" s="812"/>
      <c r="P15" s="812"/>
      <c r="Q15" s="813"/>
      <c r="R15" s="799"/>
      <c r="S15" s="800"/>
      <c r="T15" s="800"/>
      <c r="U15" s="800"/>
      <c r="V15" s="800"/>
      <c r="W15" s="800"/>
      <c r="X15" s="800"/>
      <c r="Y15" s="801"/>
      <c r="Z15" s="567"/>
      <c r="AA15" s="567"/>
    </row>
    <row r="16" spans="1:30" s="83" customFormat="1" ht="18" customHeight="1">
      <c r="B16" s="563"/>
      <c r="C16" s="563"/>
      <c r="D16" s="563"/>
      <c r="E16" s="563"/>
      <c r="F16" s="563"/>
      <c r="G16" s="563"/>
      <c r="H16" s="563"/>
      <c r="I16" s="563"/>
      <c r="J16" s="563"/>
      <c r="K16" s="563"/>
      <c r="L16" s="563"/>
      <c r="M16" s="563"/>
      <c r="N16" s="563"/>
      <c r="O16" s="563"/>
      <c r="R16" s="357"/>
      <c r="S16" s="357"/>
      <c r="T16" s="357"/>
      <c r="U16" s="357"/>
      <c r="V16" s="357"/>
      <c r="W16" s="357"/>
      <c r="X16" s="357"/>
      <c r="Y16" s="357"/>
      <c r="Z16" s="357"/>
    </row>
    <row r="17" spans="1:30" s="83" customFormat="1" ht="18" customHeight="1">
      <c r="B17" s="563"/>
      <c r="C17" s="563"/>
      <c r="D17" s="563"/>
      <c r="E17" s="563"/>
      <c r="F17" s="563"/>
      <c r="G17" s="563"/>
      <c r="H17" s="563"/>
      <c r="I17" s="563"/>
      <c r="J17" s="563"/>
      <c r="K17" s="563"/>
      <c r="L17" s="563"/>
      <c r="M17" s="563"/>
      <c r="N17" s="563"/>
      <c r="O17" s="563"/>
      <c r="R17" s="357"/>
      <c r="S17" s="357"/>
      <c r="T17" s="357"/>
      <c r="U17" s="357"/>
      <c r="V17" s="357"/>
      <c r="W17" s="357"/>
      <c r="X17" s="357"/>
      <c r="Y17" s="357"/>
      <c r="Z17" s="357"/>
    </row>
    <row r="18" spans="1:30" s="83" customFormat="1" ht="23.25" customHeight="1">
      <c r="B18" s="35" t="s">
        <v>333</v>
      </c>
      <c r="C18" s="358"/>
      <c r="D18" s="357"/>
      <c r="E18" s="357"/>
      <c r="F18" s="357"/>
      <c r="G18" s="358"/>
      <c r="H18" s="358"/>
      <c r="I18" s="358"/>
      <c r="J18" s="358"/>
      <c r="K18" s="358"/>
      <c r="L18" s="358"/>
      <c r="M18" s="358"/>
      <c r="N18" s="358"/>
      <c r="O18" s="358"/>
      <c r="P18" s="358"/>
      <c r="Q18" s="358"/>
      <c r="R18" s="357"/>
      <c r="S18" s="357"/>
      <c r="T18" s="357"/>
      <c r="U18" s="357"/>
      <c r="V18" s="357"/>
      <c r="W18" s="357"/>
      <c r="X18" s="357"/>
      <c r="Y18" s="357"/>
      <c r="Z18" s="357"/>
    </row>
    <row r="19" spans="1:30" s="34" customFormat="1" ht="25.5" customHeight="1">
      <c r="B19" s="423" t="s">
        <v>390</v>
      </c>
      <c r="C19" s="423"/>
      <c r="D19" s="423"/>
      <c r="E19" s="423"/>
      <c r="F19" s="423"/>
      <c r="G19" s="423"/>
      <c r="H19" s="424"/>
      <c r="I19" s="424"/>
      <c r="J19" s="425"/>
      <c r="K19" s="425"/>
      <c r="L19" s="425"/>
      <c r="M19" s="424"/>
      <c r="N19" s="424"/>
      <c r="O19" s="424"/>
      <c r="P19" s="424"/>
      <c r="Q19" s="424"/>
      <c r="R19" s="424"/>
      <c r="S19" s="424"/>
      <c r="T19" s="424"/>
      <c r="U19" s="424"/>
      <c r="V19" s="424"/>
      <c r="W19" s="424"/>
      <c r="X19" s="424"/>
      <c r="Y19" s="424"/>
    </row>
    <row r="20" spans="1:30" s="34" customFormat="1" ht="19.5" customHeight="1">
      <c r="A20" s="29"/>
      <c r="B20" s="30" t="s">
        <v>334</v>
      </c>
      <c r="C20" s="31"/>
      <c r="D20" s="31"/>
      <c r="E20" s="31"/>
      <c r="F20" s="31"/>
      <c r="G20" s="31"/>
      <c r="H20" s="32"/>
      <c r="I20" s="32"/>
      <c r="J20" s="33"/>
      <c r="K20" s="33"/>
      <c r="L20" s="33"/>
      <c r="M20" s="32"/>
      <c r="N20" s="32"/>
      <c r="O20" s="32"/>
      <c r="P20" s="32"/>
      <c r="Q20" s="32"/>
      <c r="R20" s="32"/>
      <c r="S20" s="32"/>
      <c r="T20" s="32"/>
      <c r="U20" s="32"/>
      <c r="V20" s="32"/>
      <c r="W20" s="32"/>
      <c r="X20" s="32"/>
      <c r="Y20" s="32"/>
      <c r="Z20" s="29"/>
      <c r="AA20" s="29"/>
    </row>
    <row r="21" spans="1:30" s="83" customFormat="1" ht="18" customHeight="1" thickBot="1">
      <c r="A21" s="358"/>
      <c r="B21" s="35"/>
      <c r="C21" s="358"/>
      <c r="D21" s="357"/>
      <c r="E21" s="357"/>
      <c r="F21" s="357"/>
      <c r="G21" s="358"/>
      <c r="H21" s="358"/>
      <c r="I21" s="358"/>
      <c r="J21" s="358"/>
      <c r="K21" s="358"/>
      <c r="L21" s="358"/>
      <c r="M21" s="358"/>
      <c r="N21" s="358"/>
      <c r="O21" s="358"/>
      <c r="P21" s="358"/>
      <c r="Q21" s="358"/>
      <c r="R21" s="358"/>
      <c r="S21" s="358"/>
      <c r="T21" s="358"/>
      <c r="U21" s="358"/>
      <c r="V21" s="358"/>
      <c r="W21" s="358"/>
      <c r="X21" s="358"/>
      <c r="Y21" s="358"/>
      <c r="Z21" s="358"/>
      <c r="AA21" s="358"/>
    </row>
    <row r="22" spans="1:30" s="34" customFormat="1" ht="27.75" customHeight="1">
      <c r="A22" s="83"/>
      <c r="B22" s="747" t="s">
        <v>335</v>
      </c>
      <c r="C22" s="748"/>
      <c r="D22" s="802" t="s">
        <v>336</v>
      </c>
      <c r="E22" s="803"/>
      <c r="F22" s="484" t="s">
        <v>329</v>
      </c>
      <c r="G22" s="804" t="s">
        <v>337</v>
      </c>
      <c r="H22" s="692"/>
      <c r="I22" s="804" t="s">
        <v>338</v>
      </c>
      <c r="J22" s="754"/>
      <c r="K22" s="754"/>
      <c r="L22" s="755"/>
      <c r="M22" s="691" t="s">
        <v>339</v>
      </c>
      <c r="N22" s="754"/>
      <c r="O22" s="755"/>
      <c r="P22" s="689" t="s">
        <v>340</v>
      </c>
      <c r="Q22" s="690"/>
      <c r="R22" s="564">
        <v>0.93</v>
      </c>
      <c r="S22" s="699" t="s">
        <v>341</v>
      </c>
      <c r="T22" s="700"/>
      <c r="U22" s="539">
        <v>0.86</v>
      </c>
      <c r="V22" s="689" t="s">
        <v>238</v>
      </c>
      <c r="W22" s="690"/>
      <c r="X22" s="539">
        <v>0.83</v>
      </c>
      <c r="Y22" s="689" t="s">
        <v>342</v>
      </c>
      <c r="Z22" s="690"/>
      <c r="AA22" s="564">
        <v>0.75</v>
      </c>
      <c r="AB22" s="691" t="s">
        <v>343</v>
      </c>
      <c r="AC22" s="692"/>
      <c r="AD22" s="539">
        <v>0.7</v>
      </c>
    </row>
    <row r="23" spans="1:30" s="36" customFormat="1" ht="24.75" customHeight="1" thickBot="1">
      <c r="A23" s="358"/>
      <c r="B23" s="267" t="s">
        <v>43</v>
      </c>
      <c r="C23" s="268" t="s">
        <v>344</v>
      </c>
      <c r="D23" s="267" t="s">
        <v>345</v>
      </c>
      <c r="E23" s="272" t="s">
        <v>346</v>
      </c>
      <c r="F23" s="273" t="s">
        <v>347</v>
      </c>
      <c r="G23" s="274" t="s">
        <v>348</v>
      </c>
      <c r="H23" s="274" t="s">
        <v>349</v>
      </c>
      <c r="I23" s="272" t="s">
        <v>350</v>
      </c>
      <c r="J23" s="255" t="s">
        <v>351</v>
      </c>
      <c r="K23" s="272" t="s">
        <v>352</v>
      </c>
      <c r="L23" s="256" t="s">
        <v>353</v>
      </c>
      <c r="M23" s="254" t="s">
        <v>350</v>
      </c>
      <c r="N23" s="255" t="s">
        <v>351</v>
      </c>
      <c r="O23" s="256" t="s">
        <v>354</v>
      </c>
      <c r="P23" s="257" t="s">
        <v>350</v>
      </c>
      <c r="Q23" s="255" t="s">
        <v>355</v>
      </c>
      <c r="R23" s="327" t="s">
        <v>354</v>
      </c>
      <c r="S23" s="254" t="s">
        <v>350</v>
      </c>
      <c r="T23" s="255" t="s">
        <v>351</v>
      </c>
      <c r="U23" s="256" t="s">
        <v>354</v>
      </c>
      <c r="V23" s="257" t="s">
        <v>350</v>
      </c>
      <c r="W23" s="255" t="s">
        <v>351</v>
      </c>
      <c r="X23" s="256" t="s">
        <v>354</v>
      </c>
      <c r="Y23" s="257" t="s">
        <v>350</v>
      </c>
      <c r="Z23" s="255" t="s">
        <v>351</v>
      </c>
      <c r="AA23" s="256" t="s">
        <v>354</v>
      </c>
      <c r="AB23" s="254" t="s">
        <v>350</v>
      </c>
      <c r="AC23" s="255" t="s">
        <v>351</v>
      </c>
      <c r="AD23" s="256" t="s">
        <v>354</v>
      </c>
    </row>
    <row r="24" spans="1:30" s="83" customFormat="1" ht="18" customHeight="1">
      <c r="A24" s="84"/>
      <c r="B24" s="789" t="s">
        <v>356</v>
      </c>
      <c r="C24" s="790"/>
      <c r="D24" s="774">
        <v>1000</v>
      </c>
      <c r="E24" s="776">
        <f>D24*B25</f>
        <v>2700</v>
      </c>
      <c r="F24" s="776">
        <f>E24*260%</f>
        <v>7020</v>
      </c>
      <c r="G24" s="776">
        <f>E24*6%*11</f>
        <v>1782</v>
      </c>
      <c r="H24" s="776">
        <f>E24*12%*4</f>
        <v>1296</v>
      </c>
      <c r="I24" s="776" t="s">
        <v>48</v>
      </c>
      <c r="J24" s="776" t="s">
        <v>48</v>
      </c>
      <c r="K24" s="776" t="s">
        <v>48</v>
      </c>
      <c r="L24" s="780" t="s">
        <v>48</v>
      </c>
      <c r="M24" s="85">
        <f>F24</f>
        <v>7020</v>
      </c>
      <c r="N24" s="86">
        <f>F24+G24</f>
        <v>8802</v>
      </c>
      <c r="O24" s="87">
        <f>F24+G24+H24</f>
        <v>10098</v>
      </c>
      <c r="P24" s="86">
        <f>M24*$R$22</f>
        <v>6528.6</v>
      </c>
      <c r="Q24" s="88">
        <f>N24*$R$22</f>
        <v>8185.8600000000006</v>
      </c>
      <c r="R24" s="89">
        <f>O24*$R$22</f>
        <v>9391.1400000000012</v>
      </c>
      <c r="S24" s="85">
        <f>M24*$U$22</f>
        <v>6037.2</v>
      </c>
      <c r="T24" s="88">
        <f>N24*$U$22</f>
        <v>7569.72</v>
      </c>
      <c r="U24" s="87">
        <f t="shared" ref="U24" si="0">O24*$U$22</f>
        <v>8684.2800000000007</v>
      </c>
      <c r="V24" s="86">
        <f>M24*$X$22</f>
        <v>5826.5999999999995</v>
      </c>
      <c r="W24" s="88">
        <f>N24*$X$22</f>
        <v>7305.66</v>
      </c>
      <c r="X24" s="87">
        <f>O24*$X$22</f>
        <v>8381.34</v>
      </c>
      <c r="Y24" s="86">
        <f>M24*$AA$22</f>
        <v>5265</v>
      </c>
      <c r="Z24" s="88">
        <f>N24*$AA$22</f>
        <v>6601.5</v>
      </c>
      <c r="AA24" s="89">
        <f>O24*$AA$22</f>
        <v>7573.5</v>
      </c>
      <c r="AB24" s="85">
        <f>M24*$AD$22</f>
        <v>4914</v>
      </c>
      <c r="AC24" s="89">
        <f>N24*$AD$22</f>
        <v>6161.4</v>
      </c>
      <c r="AD24" s="87">
        <f>O24*$AD$22</f>
        <v>7068.5999999999995</v>
      </c>
    </row>
    <row r="25" spans="1:30" s="358" customFormat="1" ht="23.25" customHeight="1">
      <c r="A25" s="84"/>
      <c r="B25" s="269">
        <v>2.7</v>
      </c>
      <c r="C25" s="270" t="s">
        <v>357</v>
      </c>
      <c r="D25" s="784"/>
      <c r="E25" s="785"/>
      <c r="F25" s="785"/>
      <c r="G25" s="785"/>
      <c r="H25" s="785"/>
      <c r="I25" s="785"/>
      <c r="J25" s="785"/>
      <c r="K25" s="785"/>
      <c r="L25" s="771"/>
      <c r="M25" s="90">
        <f>M24/D24</f>
        <v>7.02</v>
      </c>
      <c r="N25" s="26">
        <f>N24/D24</f>
        <v>8.8019999999999996</v>
      </c>
      <c r="O25" s="28">
        <f>O24/D24</f>
        <v>10.098000000000001</v>
      </c>
      <c r="P25" s="91">
        <f>P24/D24</f>
        <v>6.5286</v>
      </c>
      <c r="Q25" s="363">
        <f>Q24/D24</f>
        <v>8.1858599999999999</v>
      </c>
      <c r="R25" s="92">
        <f>R24/D24</f>
        <v>9.3911400000000018</v>
      </c>
      <c r="S25" s="362">
        <f>S24/D24</f>
        <v>6.0371999999999995</v>
      </c>
      <c r="T25" s="363">
        <f>T24/D24</f>
        <v>7.5697200000000002</v>
      </c>
      <c r="U25" s="365">
        <f>U24/D24</f>
        <v>8.6842800000000011</v>
      </c>
      <c r="V25" s="91">
        <f>V24/D24</f>
        <v>5.8265999999999991</v>
      </c>
      <c r="W25" s="363">
        <f>W24/D24</f>
        <v>7.3056599999999996</v>
      </c>
      <c r="X25" s="365">
        <f>X24/D24</f>
        <v>8.3813399999999998</v>
      </c>
      <c r="Y25" s="91">
        <f>Y24/D24</f>
        <v>5.2649999999999997</v>
      </c>
      <c r="Z25" s="363">
        <f>Z24/D24</f>
        <v>6.6014999999999997</v>
      </c>
      <c r="AA25" s="92">
        <f>AA24/D24</f>
        <v>7.5735000000000001</v>
      </c>
      <c r="AB25" s="362">
        <f>AB24/D24</f>
        <v>4.9139999999999997</v>
      </c>
      <c r="AC25" s="92">
        <f>AC24/D24</f>
        <v>6.1613999999999995</v>
      </c>
      <c r="AD25" s="365">
        <f>AD24/D24</f>
        <v>7.0685999999999991</v>
      </c>
    </row>
    <row r="26" spans="1:30" s="358" customFormat="1" ht="18" customHeight="1">
      <c r="A26" s="84"/>
      <c r="B26" s="782" t="s">
        <v>389</v>
      </c>
      <c r="C26" s="783"/>
      <c r="D26" s="784">
        <v>1000</v>
      </c>
      <c r="E26" s="785">
        <f>D26*B27</f>
        <v>2600</v>
      </c>
      <c r="F26" s="785">
        <f>E26*260%</f>
        <v>6760</v>
      </c>
      <c r="G26" s="785">
        <f>E26*6%*11</f>
        <v>1716</v>
      </c>
      <c r="H26" s="785">
        <f>E26*12%*4</f>
        <v>1248</v>
      </c>
      <c r="I26" s="785" t="s">
        <v>48</v>
      </c>
      <c r="J26" s="785" t="s">
        <v>48</v>
      </c>
      <c r="K26" s="785" t="s">
        <v>48</v>
      </c>
      <c r="L26" s="771" t="s">
        <v>48</v>
      </c>
      <c r="M26" s="85">
        <f>F26</f>
        <v>6760</v>
      </c>
      <c r="N26" s="86">
        <f>F26+G26</f>
        <v>8476</v>
      </c>
      <c r="O26" s="87">
        <f>F26+G26+H26</f>
        <v>9724</v>
      </c>
      <c r="P26" s="93">
        <f>M26*$R$22</f>
        <v>6286.8</v>
      </c>
      <c r="Q26" s="88">
        <f>N26*$R$22</f>
        <v>7882.68</v>
      </c>
      <c r="R26" s="94">
        <f>O26*$R$22</f>
        <v>9043.32</v>
      </c>
      <c r="S26" s="95">
        <f t="shared" ref="S26:U26" si="1">M26*$U$22</f>
        <v>5813.6</v>
      </c>
      <c r="T26" s="366">
        <f t="shared" si="1"/>
        <v>7289.36</v>
      </c>
      <c r="U26" s="96">
        <f t="shared" si="1"/>
        <v>8362.64</v>
      </c>
      <c r="V26" s="93">
        <f>M26*$X$22</f>
        <v>5610.8</v>
      </c>
      <c r="W26" s="88">
        <f>N26*$X$22</f>
        <v>7035.08</v>
      </c>
      <c r="X26" s="96">
        <f>O26*$X$22</f>
        <v>8070.9199999999992</v>
      </c>
      <c r="Y26" s="93">
        <f>M26*$AA$22</f>
        <v>5070</v>
      </c>
      <c r="Z26" s="88">
        <f>N26*$AA$22</f>
        <v>6357</v>
      </c>
      <c r="AA26" s="94">
        <f>O26*$AA$22</f>
        <v>7293</v>
      </c>
      <c r="AB26" s="95">
        <f>M26*$AD$22</f>
        <v>4732</v>
      </c>
      <c r="AC26" s="89">
        <f>N26*$AD$22</f>
        <v>5933.2</v>
      </c>
      <c r="AD26" s="96">
        <f>O26*$AD$22</f>
        <v>6806.7999999999993</v>
      </c>
    </row>
    <row r="27" spans="1:30" s="358" customFormat="1" ht="18" customHeight="1">
      <c r="A27" s="84"/>
      <c r="B27" s="269">
        <v>2.6</v>
      </c>
      <c r="C27" s="270" t="s">
        <v>357</v>
      </c>
      <c r="D27" s="784"/>
      <c r="E27" s="785"/>
      <c r="F27" s="785"/>
      <c r="G27" s="785"/>
      <c r="H27" s="785"/>
      <c r="I27" s="785"/>
      <c r="J27" s="785"/>
      <c r="K27" s="785"/>
      <c r="L27" s="771"/>
      <c r="M27" s="90">
        <f>M26/D26</f>
        <v>6.76</v>
      </c>
      <c r="N27" s="26">
        <f>N26/D26</f>
        <v>8.4760000000000009</v>
      </c>
      <c r="O27" s="28">
        <f>O26/D26</f>
        <v>9.7240000000000002</v>
      </c>
      <c r="P27" s="91">
        <f>P26/D26</f>
        <v>6.2868000000000004</v>
      </c>
      <c r="Q27" s="363">
        <f>Q26/D26</f>
        <v>7.8826800000000006</v>
      </c>
      <c r="R27" s="92">
        <f>R26/D26</f>
        <v>9.0433199999999996</v>
      </c>
      <c r="S27" s="362">
        <f t="shared" ref="S27" si="2">S26/D26</f>
        <v>5.8136000000000001</v>
      </c>
      <c r="T27" s="363">
        <f t="shared" ref="T27" si="3">T26/D26</f>
        <v>7.2893599999999994</v>
      </c>
      <c r="U27" s="365">
        <f t="shared" ref="U27" si="4">U26/D26</f>
        <v>8.362639999999999</v>
      </c>
      <c r="V27" s="91">
        <f>V26/D26</f>
        <v>5.6108000000000002</v>
      </c>
      <c r="W27" s="363">
        <f>W26/D26</f>
        <v>7.0350799999999998</v>
      </c>
      <c r="X27" s="365">
        <f>X26/D26</f>
        <v>8.0709199999999992</v>
      </c>
      <c r="Y27" s="91">
        <f>Y26/D26</f>
        <v>5.07</v>
      </c>
      <c r="Z27" s="363">
        <f>Z26/D26</f>
        <v>6.3570000000000002</v>
      </c>
      <c r="AA27" s="92">
        <f>AA26/D26</f>
        <v>7.2930000000000001</v>
      </c>
      <c r="AB27" s="362">
        <f>AB26/D26</f>
        <v>4.7320000000000002</v>
      </c>
      <c r="AC27" s="92">
        <f>AC26/D26</f>
        <v>5.9332000000000003</v>
      </c>
      <c r="AD27" s="365">
        <f>AD26/D26</f>
        <v>6.8067999999999991</v>
      </c>
    </row>
    <row r="28" spans="1:30" s="358" customFormat="1" ht="18" customHeight="1">
      <c r="A28" s="84"/>
      <c r="B28" s="782" t="s">
        <v>358</v>
      </c>
      <c r="C28" s="783"/>
      <c r="D28" s="784">
        <v>1000</v>
      </c>
      <c r="E28" s="785">
        <f>D28*B29</f>
        <v>2450</v>
      </c>
      <c r="F28" s="785">
        <f>E28*260%</f>
        <v>6370</v>
      </c>
      <c r="G28" s="785">
        <f>E28*6%*11</f>
        <v>1617</v>
      </c>
      <c r="H28" s="785">
        <f>E28*12%*4</f>
        <v>1176</v>
      </c>
      <c r="I28" s="785" t="s">
        <v>48</v>
      </c>
      <c r="J28" s="785" t="s">
        <v>48</v>
      </c>
      <c r="K28" s="785" t="s">
        <v>48</v>
      </c>
      <c r="L28" s="771" t="s">
        <v>48</v>
      </c>
      <c r="M28" s="85">
        <f>F28</f>
        <v>6370</v>
      </c>
      <c r="N28" s="86">
        <f>F28+G28</f>
        <v>7987</v>
      </c>
      <c r="O28" s="87">
        <f>F28+G28+H28</f>
        <v>9163</v>
      </c>
      <c r="P28" s="93">
        <f>M28*$R$22</f>
        <v>5924.1</v>
      </c>
      <c r="Q28" s="88">
        <f>N28*$R$22</f>
        <v>7427.9100000000008</v>
      </c>
      <c r="R28" s="94">
        <f>O28*$R$22</f>
        <v>8521.59</v>
      </c>
      <c r="S28" s="95">
        <f t="shared" ref="S28:U28" si="5">M28*$U$22</f>
        <v>5478.2</v>
      </c>
      <c r="T28" s="366">
        <f t="shared" si="5"/>
        <v>6868.82</v>
      </c>
      <c r="U28" s="96">
        <f t="shared" si="5"/>
        <v>7880.18</v>
      </c>
      <c r="V28" s="93">
        <f>M28*$X$22</f>
        <v>5287.0999999999995</v>
      </c>
      <c r="W28" s="88">
        <f>N28*$X$22</f>
        <v>6629.21</v>
      </c>
      <c r="X28" s="96">
        <f>O28*$X$22</f>
        <v>7605.29</v>
      </c>
      <c r="Y28" s="93">
        <f>M28*$AA$22</f>
        <v>4777.5</v>
      </c>
      <c r="Z28" s="88">
        <f>N28*$AA$22</f>
        <v>5990.25</v>
      </c>
      <c r="AA28" s="94">
        <f>O28*$AA$22</f>
        <v>6872.25</v>
      </c>
      <c r="AB28" s="95">
        <f>M28*$AD$22</f>
        <v>4459</v>
      </c>
      <c r="AC28" s="89">
        <f>N28*$AD$22</f>
        <v>5590.9</v>
      </c>
      <c r="AD28" s="96">
        <f>O28*$AD$22</f>
        <v>6414.0999999999995</v>
      </c>
    </row>
    <row r="29" spans="1:30" s="358" customFormat="1" ht="24" customHeight="1">
      <c r="A29" s="84"/>
      <c r="B29" s="269">
        <v>2.4500000000000002</v>
      </c>
      <c r="C29" s="270" t="s">
        <v>357</v>
      </c>
      <c r="D29" s="784"/>
      <c r="E29" s="785"/>
      <c r="F29" s="785"/>
      <c r="G29" s="785"/>
      <c r="H29" s="785"/>
      <c r="I29" s="785"/>
      <c r="J29" s="785"/>
      <c r="K29" s="785"/>
      <c r="L29" s="771"/>
      <c r="M29" s="90">
        <f>M28/D28</f>
        <v>6.37</v>
      </c>
      <c r="N29" s="26">
        <f>N28/D28</f>
        <v>7.9870000000000001</v>
      </c>
      <c r="O29" s="28">
        <f>O28/D28</f>
        <v>9.1630000000000003</v>
      </c>
      <c r="P29" s="91">
        <f>P28/D28</f>
        <v>5.9241000000000001</v>
      </c>
      <c r="Q29" s="363">
        <f>Q28/D28</f>
        <v>7.4279100000000007</v>
      </c>
      <c r="R29" s="92">
        <f>R28/D28</f>
        <v>8.5215899999999998</v>
      </c>
      <c r="S29" s="362">
        <f t="shared" ref="S29" si="6">S28/D28</f>
        <v>5.4782000000000002</v>
      </c>
      <c r="T29" s="363">
        <f t="shared" ref="T29" si="7">T28/D28</f>
        <v>6.8688199999999995</v>
      </c>
      <c r="U29" s="365">
        <f t="shared" ref="U29" si="8">U28/D28</f>
        <v>7.8801800000000002</v>
      </c>
      <c r="V29" s="91">
        <f>V28/D28</f>
        <v>5.2870999999999997</v>
      </c>
      <c r="W29" s="363">
        <f>W28/D28</f>
        <v>6.6292099999999996</v>
      </c>
      <c r="X29" s="365">
        <f>X28/D28</f>
        <v>7.6052900000000001</v>
      </c>
      <c r="Y29" s="91">
        <f>Y28/D28</f>
        <v>4.7774999999999999</v>
      </c>
      <c r="Z29" s="363">
        <f>Z28/D28</f>
        <v>5.9902499999999996</v>
      </c>
      <c r="AA29" s="92">
        <f>AA28/D28</f>
        <v>6.8722500000000002</v>
      </c>
      <c r="AB29" s="362">
        <f>AB28/D28</f>
        <v>4.4589999999999996</v>
      </c>
      <c r="AC29" s="92">
        <f>AC28/D28</f>
        <v>5.5908999999999995</v>
      </c>
      <c r="AD29" s="365">
        <f>AD28/D28</f>
        <v>6.4140999999999995</v>
      </c>
    </row>
    <row r="30" spans="1:30" s="358" customFormat="1" ht="18" customHeight="1">
      <c r="A30" s="84"/>
      <c r="B30" s="782" t="s">
        <v>359</v>
      </c>
      <c r="C30" s="783"/>
      <c r="D30" s="784">
        <v>1000</v>
      </c>
      <c r="E30" s="785">
        <f>D30*B31</f>
        <v>2400</v>
      </c>
      <c r="F30" s="785">
        <f>E30*260%</f>
        <v>6240</v>
      </c>
      <c r="G30" s="785">
        <f>E30*6%*11</f>
        <v>1584</v>
      </c>
      <c r="H30" s="785">
        <f>E30*12%*4</f>
        <v>1152</v>
      </c>
      <c r="I30" s="785" t="s">
        <v>48</v>
      </c>
      <c r="J30" s="785" t="s">
        <v>48</v>
      </c>
      <c r="K30" s="785" t="s">
        <v>48</v>
      </c>
      <c r="L30" s="771" t="s">
        <v>48</v>
      </c>
      <c r="M30" s="85">
        <f>F30</f>
        <v>6240</v>
      </c>
      <c r="N30" s="86">
        <f>F30+G30</f>
        <v>7824</v>
      </c>
      <c r="O30" s="87">
        <f>F30+G30+H30</f>
        <v>8976</v>
      </c>
      <c r="P30" s="93">
        <f>M30*$R$22</f>
        <v>5803.2000000000007</v>
      </c>
      <c r="Q30" s="88">
        <f>N30*$R$22</f>
        <v>7276.3200000000006</v>
      </c>
      <c r="R30" s="94">
        <f>O30*$R$22</f>
        <v>8347.68</v>
      </c>
      <c r="S30" s="95">
        <f t="shared" ref="S30:U30" si="9">M30*$U$22</f>
        <v>5366.4</v>
      </c>
      <c r="T30" s="366">
        <f t="shared" si="9"/>
        <v>6728.64</v>
      </c>
      <c r="U30" s="96">
        <f t="shared" si="9"/>
        <v>7719.36</v>
      </c>
      <c r="V30" s="93">
        <f>M30*$X$22</f>
        <v>5179.2</v>
      </c>
      <c r="W30" s="88">
        <f>N30*$X$22</f>
        <v>6493.92</v>
      </c>
      <c r="X30" s="96">
        <f>O30*$X$22</f>
        <v>7450.08</v>
      </c>
      <c r="Y30" s="93">
        <f>M30*$AA$22</f>
        <v>4680</v>
      </c>
      <c r="Z30" s="88">
        <f>N30*$AA$22</f>
        <v>5868</v>
      </c>
      <c r="AA30" s="94">
        <f>O30*$AA$22</f>
        <v>6732</v>
      </c>
      <c r="AB30" s="95">
        <f>M30*$AD$22</f>
        <v>4368</v>
      </c>
      <c r="AC30" s="89">
        <f>N30*$AD$22</f>
        <v>5476.7999999999993</v>
      </c>
      <c r="AD30" s="96">
        <f>O30*$AD$22</f>
        <v>6283.2</v>
      </c>
    </row>
    <row r="31" spans="1:30" s="358" customFormat="1" ht="20.25" customHeight="1">
      <c r="A31" s="84"/>
      <c r="B31" s="269">
        <v>2.4</v>
      </c>
      <c r="C31" s="270" t="s">
        <v>357</v>
      </c>
      <c r="D31" s="784"/>
      <c r="E31" s="785"/>
      <c r="F31" s="785"/>
      <c r="G31" s="785"/>
      <c r="H31" s="785"/>
      <c r="I31" s="785"/>
      <c r="J31" s="785"/>
      <c r="K31" s="785"/>
      <c r="L31" s="771"/>
      <c r="M31" s="90">
        <f>M30/D30</f>
        <v>6.24</v>
      </c>
      <c r="N31" s="26">
        <f>N30/D30</f>
        <v>7.8239999999999998</v>
      </c>
      <c r="O31" s="28">
        <f>O30/D30</f>
        <v>8.9760000000000009</v>
      </c>
      <c r="P31" s="91">
        <f>P30/D30</f>
        <v>5.8032000000000004</v>
      </c>
      <c r="Q31" s="363">
        <f>Q30/D30</f>
        <v>7.276320000000001</v>
      </c>
      <c r="R31" s="92">
        <f>R30/D30</f>
        <v>8.3476800000000004</v>
      </c>
      <c r="S31" s="362">
        <f t="shared" ref="S31" si="10">S30/D30</f>
        <v>5.3663999999999996</v>
      </c>
      <c r="T31" s="363">
        <f t="shared" ref="T31" si="11">T30/D30</f>
        <v>6.7286400000000004</v>
      </c>
      <c r="U31" s="365">
        <f t="shared" ref="U31" si="12">U30/D30</f>
        <v>7.71936</v>
      </c>
      <c r="V31" s="91">
        <f>V30/D30</f>
        <v>5.1791999999999998</v>
      </c>
      <c r="W31" s="363">
        <f>W30/D30</f>
        <v>6.4939200000000001</v>
      </c>
      <c r="X31" s="365">
        <f>X30/D30</f>
        <v>7.4500799999999998</v>
      </c>
      <c r="Y31" s="91">
        <f>Y30/D30</f>
        <v>4.68</v>
      </c>
      <c r="Z31" s="363">
        <f>Z30/D30</f>
        <v>5.8680000000000003</v>
      </c>
      <c r="AA31" s="92">
        <f>AA30/D30</f>
        <v>6.7320000000000002</v>
      </c>
      <c r="AB31" s="362">
        <f>AB30/D30</f>
        <v>4.3680000000000003</v>
      </c>
      <c r="AC31" s="92">
        <f>AC30/D30</f>
        <v>5.476799999999999</v>
      </c>
      <c r="AD31" s="365">
        <f>AD30/D30</f>
        <v>6.2831999999999999</v>
      </c>
    </row>
    <row r="32" spans="1:30" s="358" customFormat="1" ht="18" customHeight="1">
      <c r="A32" s="84"/>
      <c r="B32" s="787" t="s">
        <v>360</v>
      </c>
      <c r="C32" s="788"/>
      <c r="D32" s="784">
        <v>1000</v>
      </c>
      <c r="E32" s="785">
        <f>D32*B33</f>
        <v>260</v>
      </c>
      <c r="F32" s="785">
        <f>E32*120%</f>
        <v>312</v>
      </c>
      <c r="G32" s="785">
        <f>E32*15%*10+E32*10%</f>
        <v>416</v>
      </c>
      <c r="H32" s="785" t="s">
        <v>48</v>
      </c>
      <c r="I32" s="785" t="s">
        <v>48</v>
      </c>
      <c r="J32" s="785" t="s">
        <v>48</v>
      </c>
      <c r="K32" s="785" t="s">
        <v>48</v>
      </c>
      <c r="L32" s="771" t="s">
        <v>48</v>
      </c>
      <c r="M32" s="85">
        <f>F32</f>
        <v>312</v>
      </c>
      <c r="N32" s="86">
        <f>F32+G32</f>
        <v>728</v>
      </c>
      <c r="O32" s="87">
        <f>N32</f>
        <v>728</v>
      </c>
      <c r="P32" s="93">
        <f>M32*R22</f>
        <v>290.16000000000003</v>
      </c>
      <c r="Q32" s="88">
        <f>N32*R22</f>
        <v>677.04000000000008</v>
      </c>
      <c r="R32" s="94">
        <f>Q32</f>
        <v>677.04000000000008</v>
      </c>
      <c r="S32" s="95">
        <f t="shared" ref="S32:U32" si="13">M32*$U$22</f>
        <v>268.32</v>
      </c>
      <c r="T32" s="366">
        <f t="shared" si="13"/>
        <v>626.08000000000004</v>
      </c>
      <c r="U32" s="96">
        <f t="shared" si="13"/>
        <v>626.08000000000004</v>
      </c>
      <c r="V32" s="93">
        <f>M32*X22</f>
        <v>258.95999999999998</v>
      </c>
      <c r="W32" s="88">
        <f>N32*X22</f>
        <v>604.24</v>
      </c>
      <c r="X32" s="96">
        <f>W32</f>
        <v>604.24</v>
      </c>
      <c r="Y32" s="94">
        <f>M32*AA22</f>
        <v>234</v>
      </c>
      <c r="Z32" s="366">
        <f>N32*AA22</f>
        <v>546</v>
      </c>
      <c r="AA32" s="383">
        <f>Z32</f>
        <v>546</v>
      </c>
      <c r="AB32" s="94">
        <f>M32*AD22</f>
        <v>218.39999999999998</v>
      </c>
      <c r="AC32" s="366">
        <f>N32*AD22</f>
        <v>509.59999999999997</v>
      </c>
      <c r="AD32" s="383">
        <f>AC32</f>
        <v>509.59999999999997</v>
      </c>
    </row>
    <row r="33" spans="1:30" s="358" customFormat="1" ht="18" customHeight="1">
      <c r="A33" s="84"/>
      <c r="B33" s="269">
        <v>0.26</v>
      </c>
      <c r="C33" s="270" t="s">
        <v>361</v>
      </c>
      <c r="D33" s="784"/>
      <c r="E33" s="785"/>
      <c r="F33" s="785"/>
      <c r="G33" s="785"/>
      <c r="H33" s="785"/>
      <c r="I33" s="785"/>
      <c r="J33" s="785"/>
      <c r="K33" s="785"/>
      <c r="L33" s="771"/>
      <c r="M33" s="384">
        <f>M32/D32</f>
        <v>0.312</v>
      </c>
      <c r="N33" s="385">
        <f>N32/D32</f>
        <v>0.72799999999999998</v>
      </c>
      <c r="O33" s="386">
        <f>O32/D32</f>
        <v>0.72799999999999998</v>
      </c>
      <c r="P33" s="91">
        <f>P32/D32</f>
        <v>0.29016000000000003</v>
      </c>
      <c r="Q33" s="364">
        <f>Q32/D32</f>
        <v>0.67704000000000009</v>
      </c>
      <c r="R33" s="92">
        <f>Q33</f>
        <v>0.67704000000000009</v>
      </c>
      <c r="S33" s="362">
        <f t="shared" ref="S33" si="14">S32/D32</f>
        <v>0.26832</v>
      </c>
      <c r="T33" s="363">
        <f t="shared" ref="T33" si="15">T32/D32</f>
        <v>0.62608000000000008</v>
      </c>
      <c r="U33" s="365">
        <f t="shared" ref="U33" si="16">U32/D32</f>
        <v>0.62608000000000008</v>
      </c>
      <c r="V33" s="91">
        <f>V32/D32</f>
        <v>0.25895999999999997</v>
      </c>
      <c r="W33" s="364">
        <f>W32/D32</f>
        <v>0.60424</v>
      </c>
      <c r="X33" s="365">
        <f>W33</f>
        <v>0.60424</v>
      </c>
      <c r="Y33" s="91">
        <f>Y32/D32</f>
        <v>0.23400000000000001</v>
      </c>
      <c r="Z33" s="364">
        <f>Z32/D32</f>
        <v>0.54600000000000004</v>
      </c>
      <c r="AA33" s="92">
        <f>Z33</f>
        <v>0.54600000000000004</v>
      </c>
      <c r="AB33" s="362">
        <f>AB32/D32</f>
        <v>0.21839999999999998</v>
      </c>
      <c r="AC33" s="387">
        <f>AC32/D32</f>
        <v>0.50959999999999994</v>
      </c>
      <c r="AD33" s="365">
        <f>AC33</f>
        <v>0.50959999999999994</v>
      </c>
    </row>
    <row r="34" spans="1:30" s="358" customFormat="1" ht="18" customHeight="1">
      <c r="A34" s="84"/>
      <c r="B34" s="782" t="s">
        <v>362</v>
      </c>
      <c r="C34" s="783"/>
      <c r="D34" s="784">
        <v>1000</v>
      </c>
      <c r="E34" s="785">
        <f>D34*B35</f>
        <v>270</v>
      </c>
      <c r="F34" s="785">
        <f>E34*28%</f>
        <v>75.600000000000009</v>
      </c>
      <c r="G34" s="785">
        <f>E34*28%*5+E34*18%*4+E34*14%*2</f>
        <v>648.00000000000011</v>
      </c>
      <c r="H34" s="785" t="s">
        <v>48</v>
      </c>
      <c r="I34" s="778">
        <f>E34*2%</f>
        <v>5.4</v>
      </c>
      <c r="J34" s="778">
        <f>I34*12</f>
        <v>64.800000000000011</v>
      </c>
      <c r="K34" s="778">
        <f>I34*12</f>
        <v>64.800000000000011</v>
      </c>
      <c r="L34" s="786">
        <f>I34*12</f>
        <v>64.800000000000011</v>
      </c>
      <c r="M34" s="85">
        <f>F34+I34</f>
        <v>81.000000000000014</v>
      </c>
      <c r="N34" s="86">
        <f>F34+G34+J34</f>
        <v>788.40000000000009</v>
      </c>
      <c r="O34" s="87">
        <f>F34+G34+J34+K34+L34</f>
        <v>918</v>
      </c>
      <c r="P34" s="93">
        <f>M34*$R$22</f>
        <v>75.330000000000013</v>
      </c>
      <c r="Q34" s="88">
        <f>N34*$R$22</f>
        <v>733.2120000000001</v>
      </c>
      <c r="R34" s="94">
        <f>O34*$R$22</f>
        <v>853.74</v>
      </c>
      <c r="S34" s="95">
        <f t="shared" ref="S34:U34" si="17">M34*$U$22</f>
        <v>69.660000000000011</v>
      </c>
      <c r="T34" s="366">
        <f t="shared" si="17"/>
        <v>678.02400000000011</v>
      </c>
      <c r="U34" s="96">
        <f t="shared" si="17"/>
        <v>789.48</v>
      </c>
      <c r="V34" s="93">
        <f>M34*$X$22</f>
        <v>67.23</v>
      </c>
      <c r="W34" s="88">
        <f>N34*$X$22</f>
        <v>654.37200000000007</v>
      </c>
      <c r="X34" s="96">
        <f>O34*$X$22</f>
        <v>761.93999999999994</v>
      </c>
      <c r="Y34" s="93">
        <f>M34*$AA$22</f>
        <v>60.750000000000014</v>
      </c>
      <c r="Z34" s="88">
        <f>N34*$AA$22</f>
        <v>591.30000000000007</v>
      </c>
      <c r="AA34" s="94">
        <f>O34*$AA$22</f>
        <v>688.5</v>
      </c>
      <c r="AB34" s="95">
        <f>M34*$AD$22</f>
        <v>56.7</v>
      </c>
      <c r="AC34" s="89">
        <f>N34*$AD$22</f>
        <v>551.88</v>
      </c>
      <c r="AD34" s="96">
        <f>O34*$AD$22</f>
        <v>642.59999999999991</v>
      </c>
    </row>
    <row r="35" spans="1:30" s="358" customFormat="1" ht="18" customHeight="1">
      <c r="A35" s="84"/>
      <c r="B35" s="269">
        <v>0.27</v>
      </c>
      <c r="C35" s="270" t="s">
        <v>363</v>
      </c>
      <c r="D35" s="784"/>
      <c r="E35" s="785"/>
      <c r="F35" s="785"/>
      <c r="G35" s="785"/>
      <c r="H35" s="785"/>
      <c r="I35" s="778"/>
      <c r="J35" s="778"/>
      <c r="K35" s="778"/>
      <c r="L35" s="786"/>
      <c r="M35" s="90">
        <f>M34/D34</f>
        <v>8.1000000000000016E-2</v>
      </c>
      <c r="N35" s="26">
        <f>N34/D34</f>
        <v>0.7884000000000001</v>
      </c>
      <c r="O35" s="28">
        <f>O34/D34</f>
        <v>0.91800000000000004</v>
      </c>
      <c r="P35" s="91">
        <f>P34/D34</f>
        <v>7.5330000000000008E-2</v>
      </c>
      <c r="Q35" s="363">
        <f>Q34/D34</f>
        <v>0.73321200000000009</v>
      </c>
      <c r="R35" s="92">
        <f>R34/D34</f>
        <v>0.85374000000000005</v>
      </c>
      <c r="S35" s="362">
        <f t="shared" ref="S35" si="18">S34/D34</f>
        <v>6.9660000000000014E-2</v>
      </c>
      <c r="T35" s="363">
        <f t="shared" ref="T35" si="19">T34/D34</f>
        <v>0.67802400000000007</v>
      </c>
      <c r="U35" s="365">
        <f t="shared" ref="U35" si="20">U34/D34</f>
        <v>0.78948000000000007</v>
      </c>
      <c r="V35" s="91">
        <f>V34/D34</f>
        <v>6.7229999999999998E-2</v>
      </c>
      <c r="W35" s="363">
        <f>W34/D34</f>
        <v>0.65437200000000006</v>
      </c>
      <c r="X35" s="365">
        <f>X34/D34</f>
        <v>0.76193999999999995</v>
      </c>
      <c r="Y35" s="91">
        <f>Y34/D34</f>
        <v>6.0750000000000012E-2</v>
      </c>
      <c r="Z35" s="363">
        <f>Z34/D34</f>
        <v>0.59130000000000005</v>
      </c>
      <c r="AA35" s="92">
        <f>AA34/D34</f>
        <v>0.6885</v>
      </c>
      <c r="AB35" s="362">
        <f>AB34/D34</f>
        <v>5.67E-2</v>
      </c>
      <c r="AC35" s="92">
        <f>AC34/D34</f>
        <v>0.55188000000000004</v>
      </c>
      <c r="AD35" s="365">
        <f>AD34/D34</f>
        <v>0.64259999999999995</v>
      </c>
    </row>
    <row r="36" spans="1:30" s="358" customFormat="1" ht="18" customHeight="1">
      <c r="A36" s="84"/>
      <c r="B36" s="782" t="s">
        <v>364</v>
      </c>
      <c r="C36" s="783"/>
      <c r="D36" s="784">
        <v>1000</v>
      </c>
      <c r="E36" s="785">
        <f>D36*B37</f>
        <v>600</v>
      </c>
      <c r="F36" s="785">
        <f>E36*28%</f>
        <v>168.00000000000003</v>
      </c>
      <c r="G36" s="785">
        <f>E36*28%*5+E36*18%*4+E36*14%*2</f>
        <v>1440</v>
      </c>
      <c r="H36" s="785" t="s">
        <v>48</v>
      </c>
      <c r="I36" s="778">
        <f>E36*2%</f>
        <v>12</v>
      </c>
      <c r="J36" s="778">
        <f>I36*12</f>
        <v>144</v>
      </c>
      <c r="K36" s="778">
        <f>I36*12</f>
        <v>144</v>
      </c>
      <c r="L36" s="786">
        <f>I36*12</f>
        <v>144</v>
      </c>
      <c r="M36" s="85">
        <f>F36+I36</f>
        <v>180.00000000000003</v>
      </c>
      <c r="N36" s="86">
        <f>F36+G36+J36</f>
        <v>1752</v>
      </c>
      <c r="O36" s="87">
        <f>F36+G36+J36+K36+L36</f>
        <v>2040</v>
      </c>
      <c r="P36" s="93">
        <f>M36*$R$22</f>
        <v>167.40000000000003</v>
      </c>
      <c r="Q36" s="88">
        <f>N36*$R$22</f>
        <v>1629.3600000000001</v>
      </c>
      <c r="R36" s="94">
        <f>O36*$R$22</f>
        <v>1897.2</v>
      </c>
      <c r="S36" s="95">
        <f t="shared" ref="S36:U36" si="21">M36*$U$22</f>
        <v>154.80000000000001</v>
      </c>
      <c r="T36" s="366">
        <f t="shared" si="21"/>
        <v>1506.72</v>
      </c>
      <c r="U36" s="96">
        <f t="shared" si="21"/>
        <v>1754.3999999999999</v>
      </c>
      <c r="V36" s="93">
        <f>M36*$X$22</f>
        <v>149.4</v>
      </c>
      <c r="W36" s="88">
        <f>N36*$X$22</f>
        <v>1454.1599999999999</v>
      </c>
      <c r="X36" s="96">
        <f>O36*$X$22</f>
        <v>1693.1999999999998</v>
      </c>
      <c r="Y36" s="93">
        <f>M36*$AA$22</f>
        <v>135.00000000000003</v>
      </c>
      <c r="Z36" s="88">
        <f>N36*$AA$22</f>
        <v>1314</v>
      </c>
      <c r="AA36" s="94">
        <f>O36*$AA$22</f>
        <v>1530</v>
      </c>
      <c r="AB36" s="95">
        <f>M36*$AD$22</f>
        <v>126.00000000000001</v>
      </c>
      <c r="AC36" s="89">
        <f>N36*$AD$22</f>
        <v>1226.3999999999999</v>
      </c>
      <c r="AD36" s="96">
        <f>O36*$AD$22</f>
        <v>1428</v>
      </c>
    </row>
    <row r="37" spans="1:30" s="358" customFormat="1" ht="18" customHeight="1">
      <c r="A37" s="84"/>
      <c r="B37" s="269">
        <v>0.6</v>
      </c>
      <c r="C37" s="270" t="s">
        <v>365</v>
      </c>
      <c r="D37" s="784"/>
      <c r="E37" s="785"/>
      <c r="F37" s="785"/>
      <c r="G37" s="785"/>
      <c r="H37" s="785"/>
      <c r="I37" s="778"/>
      <c r="J37" s="778"/>
      <c r="K37" s="778"/>
      <c r="L37" s="786"/>
      <c r="M37" s="90">
        <f>M36/D36</f>
        <v>0.18000000000000002</v>
      </c>
      <c r="N37" s="26">
        <f>N36/D36</f>
        <v>1.752</v>
      </c>
      <c r="O37" s="28">
        <f>O36/D36</f>
        <v>2.04</v>
      </c>
      <c r="P37" s="91">
        <f>P36/D36</f>
        <v>0.16740000000000002</v>
      </c>
      <c r="Q37" s="363">
        <f>Q36/D36</f>
        <v>1.6293600000000001</v>
      </c>
      <c r="R37" s="92">
        <f>R36/D36</f>
        <v>1.8972</v>
      </c>
      <c r="S37" s="362">
        <f t="shared" ref="S37" si="22">S36/D36</f>
        <v>0.15480000000000002</v>
      </c>
      <c r="T37" s="363">
        <f t="shared" ref="T37" si="23">T36/D36</f>
        <v>1.5067200000000001</v>
      </c>
      <c r="U37" s="365">
        <f t="shared" ref="U37" si="24">U36/D36</f>
        <v>1.7544</v>
      </c>
      <c r="V37" s="91">
        <f>V36/D36</f>
        <v>0.14940000000000001</v>
      </c>
      <c r="W37" s="363">
        <f>W36/D36</f>
        <v>1.4541599999999999</v>
      </c>
      <c r="X37" s="365">
        <f>X36/D36</f>
        <v>1.6931999999999998</v>
      </c>
      <c r="Y37" s="91">
        <f>Y36/D36</f>
        <v>0.13500000000000004</v>
      </c>
      <c r="Z37" s="363">
        <f>Z36/D36</f>
        <v>1.3140000000000001</v>
      </c>
      <c r="AA37" s="92">
        <f>AA36/D36</f>
        <v>1.53</v>
      </c>
      <c r="AB37" s="362">
        <f>AB36/D36</f>
        <v>0.126</v>
      </c>
      <c r="AC37" s="92">
        <f>AC36/D36</f>
        <v>1.2263999999999999</v>
      </c>
      <c r="AD37" s="365">
        <f>AD36/D36</f>
        <v>1.4279999999999999</v>
      </c>
    </row>
    <row r="38" spans="1:30" s="358" customFormat="1" ht="20.100000000000001" customHeight="1">
      <c r="A38" s="84"/>
      <c r="B38" s="782" t="s">
        <v>366</v>
      </c>
      <c r="C38" s="783"/>
      <c r="D38" s="784">
        <v>1000</v>
      </c>
      <c r="E38" s="785">
        <f>D38*B39</f>
        <v>650</v>
      </c>
      <c r="F38" s="785">
        <f>E38*85%</f>
        <v>552.5</v>
      </c>
      <c r="G38" s="785">
        <f>E38*20%*11</f>
        <v>1430</v>
      </c>
      <c r="H38" s="785">
        <f>E38*20%*3</f>
        <v>390</v>
      </c>
      <c r="I38" s="785" t="s">
        <v>367</v>
      </c>
      <c r="J38" s="785" t="s">
        <v>367</v>
      </c>
      <c r="K38" s="785" t="s">
        <v>367</v>
      </c>
      <c r="L38" s="771" t="s">
        <v>367</v>
      </c>
      <c r="M38" s="85">
        <f>F38</f>
        <v>552.5</v>
      </c>
      <c r="N38" s="86">
        <f>F38+G38</f>
        <v>1982.5</v>
      </c>
      <c r="O38" s="87">
        <f>F38+G38+H38</f>
        <v>2372.5</v>
      </c>
      <c r="P38" s="93">
        <f>M38*$R$22</f>
        <v>513.82500000000005</v>
      </c>
      <c r="Q38" s="88">
        <f>N38*$R$22</f>
        <v>1843.7250000000001</v>
      </c>
      <c r="R38" s="94">
        <f>O38*$R$22</f>
        <v>2206.4250000000002</v>
      </c>
      <c r="S38" s="95">
        <f t="shared" ref="S38:U38" si="25">M38*$U$22</f>
        <v>475.15</v>
      </c>
      <c r="T38" s="366">
        <f t="shared" si="25"/>
        <v>1704.95</v>
      </c>
      <c r="U38" s="96">
        <f t="shared" si="25"/>
        <v>2040.35</v>
      </c>
      <c r="V38" s="93">
        <f>M38*$X$22</f>
        <v>458.57499999999999</v>
      </c>
      <c r="W38" s="88">
        <f>N38*$X$22</f>
        <v>1645.4749999999999</v>
      </c>
      <c r="X38" s="96">
        <f>O38*$X$22</f>
        <v>1969.175</v>
      </c>
      <c r="Y38" s="93">
        <f>M38*$AA$22</f>
        <v>414.375</v>
      </c>
      <c r="Z38" s="88">
        <f>N38*$AA$22</f>
        <v>1486.875</v>
      </c>
      <c r="AA38" s="94">
        <f>O38*$AA$22</f>
        <v>1779.375</v>
      </c>
      <c r="AB38" s="95">
        <f>M38*$AD$22</f>
        <v>386.75</v>
      </c>
      <c r="AC38" s="89">
        <f>N38*$AD$22</f>
        <v>1387.75</v>
      </c>
      <c r="AD38" s="96">
        <f>O38*$AD$22</f>
        <v>1660.75</v>
      </c>
    </row>
    <row r="39" spans="1:30" s="358" customFormat="1" ht="18" customHeight="1">
      <c r="A39" s="84"/>
      <c r="B39" s="269">
        <v>0.65</v>
      </c>
      <c r="C39" s="270" t="s">
        <v>368</v>
      </c>
      <c r="D39" s="784"/>
      <c r="E39" s="785"/>
      <c r="F39" s="785"/>
      <c r="G39" s="785"/>
      <c r="H39" s="785"/>
      <c r="I39" s="785"/>
      <c r="J39" s="785"/>
      <c r="K39" s="785"/>
      <c r="L39" s="771"/>
      <c r="M39" s="90">
        <f>M38/D38</f>
        <v>0.55249999999999999</v>
      </c>
      <c r="N39" s="26">
        <f>N38/D38</f>
        <v>1.9824999999999999</v>
      </c>
      <c r="O39" s="28">
        <f>O38/D38</f>
        <v>2.3725000000000001</v>
      </c>
      <c r="P39" s="91">
        <f>P38/D38</f>
        <v>0.51382500000000009</v>
      </c>
      <c r="Q39" s="363">
        <f>Q38/D38</f>
        <v>1.8437250000000001</v>
      </c>
      <c r="R39" s="92">
        <f>R38/D38</f>
        <v>2.2064250000000003</v>
      </c>
      <c r="S39" s="362">
        <f t="shared" ref="S39" si="26">S38/D38</f>
        <v>0.47514999999999996</v>
      </c>
      <c r="T39" s="363">
        <f t="shared" ref="T39" si="27">T38/D38</f>
        <v>1.70495</v>
      </c>
      <c r="U39" s="365">
        <f t="shared" ref="U39" si="28">U38/D38</f>
        <v>2.0403500000000001</v>
      </c>
      <c r="V39" s="91">
        <f>V38/D38</f>
        <v>0.45857500000000001</v>
      </c>
      <c r="W39" s="363">
        <f>W38/D38</f>
        <v>1.6454749999999998</v>
      </c>
      <c r="X39" s="365">
        <f>X38/D38</f>
        <v>1.9691749999999999</v>
      </c>
      <c r="Y39" s="91">
        <f>Y38/D38</f>
        <v>0.41437499999999999</v>
      </c>
      <c r="Z39" s="363">
        <f>Z38/D38</f>
        <v>1.4868749999999999</v>
      </c>
      <c r="AA39" s="92">
        <f>AA38/D38</f>
        <v>1.7793749999999999</v>
      </c>
      <c r="AB39" s="362">
        <f>AB38/D38</f>
        <v>0.38674999999999998</v>
      </c>
      <c r="AC39" s="92">
        <f>AC38/D38</f>
        <v>1.38775</v>
      </c>
      <c r="AD39" s="365">
        <f>AD38/D38</f>
        <v>1.6607499999999999</v>
      </c>
    </row>
    <row r="40" spans="1:30" s="358" customFormat="1" ht="18" customHeight="1">
      <c r="A40" s="84"/>
      <c r="B40" s="782" t="s">
        <v>369</v>
      </c>
      <c r="C40" s="783"/>
      <c r="D40" s="784">
        <v>1000</v>
      </c>
      <c r="E40" s="785">
        <f>D40*B41</f>
        <v>1600</v>
      </c>
      <c r="F40" s="785">
        <f>E40*25%</f>
        <v>400</v>
      </c>
      <c r="G40" s="785">
        <f>E40*25%*11</f>
        <v>4400</v>
      </c>
      <c r="H40" s="785">
        <f>E40*25%*3</f>
        <v>1200</v>
      </c>
      <c r="I40" s="785" t="s">
        <v>48</v>
      </c>
      <c r="J40" s="785" t="s">
        <v>48</v>
      </c>
      <c r="K40" s="785" t="s">
        <v>48</v>
      </c>
      <c r="L40" s="771" t="s">
        <v>122</v>
      </c>
      <c r="M40" s="95">
        <f>F40</f>
        <v>400</v>
      </c>
      <c r="N40" s="93">
        <f>F40+G40</f>
        <v>4800</v>
      </c>
      <c r="O40" s="96">
        <f>F40+G40+H40</f>
        <v>6000</v>
      </c>
      <c r="P40" s="93">
        <f>M40*$R$22</f>
        <v>372</v>
      </c>
      <c r="Q40" s="366">
        <f>N40*$R$22</f>
        <v>4464</v>
      </c>
      <c r="R40" s="94">
        <f>O40*$R$22</f>
        <v>5580</v>
      </c>
      <c r="S40" s="95">
        <f t="shared" ref="S40:U40" si="29">M40*$U$22</f>
        <v>344</v>
      </c>
      <c r="T40" s="366">
        <f t="shared" si="29"/>
        <v>4128</v>
      </c>
      <c r="U40" s="96">
        <f t="shared" si="29"/>
        <v>5160</v>
      </c>
      <c r="V40" s="93">
        <f>M40*$X$22</f>
        <v>332</v>
      </c>
      <c r="W40" s="366">
        <f>N40*$X$22</f>
        <v>3984</v>
      </c>
      <c r="X40" s="96">
        <f>O40*$X$22</f>
        <v>4980</v>
      </c>
      <c r="Y40" s="93">
        <f>M40*$AA$22</f>
        <v>300</v>
      </c>
      <c r="Z40" s="366">
        <f>N40*$AA$22</f>
        <v>3600</v>
      </c>
      <c r="AA40" s="94">
        <f>O40*$AA$22</f>
        <v>4500</v>
      </c>
      <c r="AB40" s="95">
        <f>M40*$AD$22</f>
        <v>280</v>
      </c>
      <c r="AC40" s="94">
        <f>N40*$AD$22</f>
        <v>3360</v>
      </c>
      <c r="AD40" s="96">
        <f>O40*$AD$22</f>
        <v>4200</v>
      </c>
    </row>
    <row r="41" spans="1:30" s="358" customFormat="1" ht="18" customHeight="1">
      <c r="A41" s="84"/>
      <c r="B41" s="269">
        <v>1.6</v>
      </c>
      <c r="C41" s="270" t="s">
        <v>370</v>
      </c>
      <c r="D41" s="784"/>
      <c r="E41" s="785"/>
      <c r="F41" s="785"/>
      <c r="G41" s="785"/>
      <c r="H41" s="785"/>
      <c r="I41" s="785"/>
      <c r="J41" s="785"/>
      <c r="K41" s="785"/>
      <c r="L41" s="771"/>
      <c r="M41" s="90">
        <f>M40/D40</f>
        <v>0.4</v>
      </c>
      <c r="N41" s="26">
        <f>N40/D40</f>
        <v>4.8</v>
      </c>
      <c r="O41" s="28">
        <f>O40/D40</f>
        <v>6</v>
      </c>
      <c r="P41" s="91">
        <f>P40/D40</f>
        <v>0.372</v>
      </c>
      <c r="Q41" s="363">
        <f>Q40/D40</f>
        <v>4.4640000000000004</v>
      </c>
      <c r="R41" s="92">
        <f>R40/D40</f>
        <v>5.58</v>
      </c>
      <c r="S41" s="362">
        <f t="shared" ref="S41" si="30">S40/D40</f>
        <v>0.34399999999999997</v>
      </c>
      <c r="T41" s="363">
        <f t="shared" ref="T41" si="31">T40/D40</f>
        <v>4.1280000000000001</v>
      </c>
      <c r="U41" s="365">
        <f t="shared" ref="U41" si="32">U40/D40</f>
        <v>5.16</v>
      </c>
      <c r="V41" s="91">
        <f>V40/D40</f>
        <v>0.33200000000000002</v>
      </c>
      <c r="W41" s="363">
        <f>W40/D40</f>
        <v>3.984</v>
      </c>
      <c r="X41" s="365">
        <f>X40/D40</f>
        <v>4.9800000000000004</v>
      </c>
      <c r="Y41" s="91">
        <f>Y40/D40</f>
        <v>0.3</v>
      </c>
      <c r="Z41" s="363">
        <f>Z40/D40</f>
        <v>3.6</v>
      </c>
      <c r="AA41" s="92">
        <f>AA40/D40</f>
        <v>4.5</v>
      </c>
      <c r="AB41" s="362">
        <f>AB40/D40</f>
        <v>0.28000000000000003</v>
      </c>
      <c r="AC41" s="92">
        <f>AC40/D40</f>
        <v>3.36</v>
      </c>
      <c r="AD41" s="365">
        <f>AD40/D40</f>
        <v>4.2</v>
      </c>
    </row>
    <row r="42" spans="1:30" s="358" customFormat="1" ht="18" customHeight="1">
      <c r="A42" s="84"/>
      <c r="B42" s="772" t="s">
        <v>371</v>
      </c>
      <c r="C42" s="773"/>
      <c r="D42" s="774">
        <v>1000</v>
      </c>
      <c r="E42" s="776">
        <f>D42*B43</f>
        <v>110</v>
      </c>
      <c r="F42" s="776">
        <f>E42*28%</f>
        <v>30.800000000000004</v>
      </c>
      <c r="G42" s="776" t="s">
        <v>372</v>
      </c>
      <c r="H42" s="776" t="s">
        <v>372</v>
      </c>
      <c r="I42" s="778">
        <f>E42*2%</f>
        <v>2.2000000000000002</v>
      </c>
      <c r="J42" s="776" t="s">
        <v>48</v>
      </c>
      <c r="K42" s="776" t="s">
        <v>48</v>
      </c>
      <c r="L42" s="780" t="s">
        <v>367</v>
      </c>
      <c r="M42" s="85">
        <f>F42+I42</f>
        <v>33.000000000000007</v>
      </c>
      <c r="N42" s="86">
        <f>F42+I42</f>
        <v>33.000000000000007</v>
      </c>
      <c r="O42" s="87">
        <f>F42+I42</f>
        <v>33.000000000000007</v>
      </c>
      <c r="P42" s="86">
        <f>M42*$R$22</f>
        <v>30.690000000000008</v>
      </c>
      <c r="Q42" s="88">
        <f>N42*$R$22</f>
        <v>30.690000000000008</v>
      </c>
      <c r="R42" s="89">
        <f>O42*$R$22</f>
        <v>30.690000000000008</v>
      </c>
      <c r="S42" s="85">
        <f t="shared" ref="S42:U42" si="33">M42*$U$22</f>
        <v>28.380000000000006</v>
      </c>
      <c r="T42" s="88">
        <f t="shared" si="33"/>
        <v>28.380000000000006</v>
      </c>
      <c r="U42" s="87">
        <f t="shared" si="33"/>
        <v>28.380000000000006</v>
      </c>
      <c r="V42" s="86">
        <f>M42*$X$22</f>
        <v>27.390000000000004</v>
      </c>
      <c r="W42" s="88">
        <f>N42*$X$22</f>
        <v>27.390000000000004</v>
      </c>
      <c r="X42" s="87">
        <f>O42*$X$22</f>
        <v>27.390000000000004</v>
      </c>
      <c r="Y42" s="86">
        <f>M42*$AA$22</f>
        <v>24.750000000000007</v>
      </c>
      <c r="Z42" s="88">
        <f>N42*$AA$22</f>
        <v>24.750000000000007</v>
      </c>
      <c r="AA42" s="89">
        <f>O42*$AA$22</f>
        <v>24.750000000000007</v>
      </c>
      <c r="AB42" s="85">
        <f>M42*$AD$22</f>
        <v>23.100000000000005</v>
      </c>
      <c r="AC42" s="89">
        <f>N42*$AD$22</f>
        <v>23.100000000000005</v>
      </c>
      <c r="AD42" s="87">
        <f>O42*$AD$22</f>
        <v>23.100000000000005</v>
      </c>
    </row>
    <row r="43" spans="1:30" s="358" customFormat="1" ht="18" customHeight="1" thickBot="1">
      <c r="A43" s="84"/>
      <c r="B43" s="271">
        <v>0.11</v>
      </c>
      <c r="C43" s="565" t="s">
        <v>373</v>
      </c>
      <c r="D43" s="775"/>
      <c r="E43" s="777"/>
      <c r="F43" s="777"/>
      <c r="G43" s="777"/>
      <c r="H43" s="777"/>
      <c r="I43" s="779"/>
      <c r="J43" s="777"/>
      <c r="K43" s="777"/>
      <c r="L43" s="781"/>
      <c r="M43" s="97">
        <f>M42/D42</f>
        <v>3.3000000000000008E-2</v>
      </c>
      <c r="N43" s="98">
        <f>N42/D42</f>
        <v>3.3000000000000008E-2</v>
      </c>
      <c r="O43" s="99">
        <f>O42/D42</f>
        <v>3.3000000000000008E-2</v>
      </c>
      <c r="P43" s="100">
        <f>P42/D42</f>
        <v>3.0690000000000009E-2</v>
      </c>
      <c r="Q43" s="101">
        <f>Q42/D42</f>
        <v>3.0690000000000009E-2</v>
      </c>
      <c r="R43" s="102">
        <f>R42/D42</f>
        <v>3.0690000000000009E-2</v>
      </c>
      <c r="S43" s="103">
        <f t="shared" ref="S43" si="34">S42/D42</f>
        <v>2.8380000000000006E-2</v>
      </c>
      <c r="T43" s="101">
        <f t="shared" ref="T43" si="35">T42/D42</f>
        <v>2.8380000000000006E-2</v>
      </c>
      <c r="U43" s="104">
        <f t="shared" ref="U43" si="36">U42/D42</f>
        <v>2.8380000000000006E-2</v>
      </c>
      <c r="V43" s="100">
        <f>V42/D42</f>
        <v>2.7390000000000005E-2</v>
      </c>
      <c r="W43" s="101">
        <f>W42/D42</f>
        <v>2.7390000000000005E-2</v>
      </c>
      <c r="X43" s="104">
        <f>X42/D42</f>
        <v>2.7390000000000005E-2</v>
      </c>
      <c r="Y43" s="100">
        <f>Y42/D42</f>
        <v>2.4750000000000008E-2</v>
      </c>
      <c r="Z43" s="101">
        <f>Z42/D42</f>
        <v>2.4750000000000008E-2</v>
      </c>
      <c r="AA43" s="102">
        <f>AA42/D42</f>
        <v>2.4750000000000008E-2</v>
      </c>
      <c r="AB43" s="103">
        <f>AB42/D42</f>
        <v>2.3100000000000006E-2</v>
      </c>
      <c r="AC43" s="102">
        <f>AC42/D42</f>
        <v>2.3100000000000006E-2</v>
      </c>
      <c r="AD43" s="104">
        <f>AD42/D42</f>
        <v>2.3100000000000006E-2</v>
      </c>
    </row>
    <row r="44" spans="1:30" s="358" customFormat="1" ht="18"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row>
    <row r="45" spans="1:30" s="358" customFormat="1" ht="18" customHeight="1">
      <c r="B45" s="359" t="s">
        <v>374</v>
      </c>
      <c r="C45" s="106"/>
      <c r="D45" s="357"/>
      <c r="E45" s="357"/>
      <c r="N45" s="107"/>
    </row>
    <row r="46" spans="1:30" s="358" customFormat="1" ht="18" customHeight="1">
      <c r="A46" s="108"/>
      <c r="B46" s="360" t="s">
        <v>375</v>
      </c>
      <c r="C46" s="108"/>
      <c r="D46" s="108"/>
      <c r="E46" s="108"/>
      <c r="F46" s="109"/>
      <c r="G46" s="109"/>
      <c r="H46" s="109"/>
      <c r="I46" s="109"/>
      <c r="J46" s="108"/>
      <c r="K46" s="108"/>
      <c r="L46" s="108"/>
      <c r="M46" s="108"/>
      <c r="N46" s="108"/>
      <c r="O46" s="108"/>
      <c r="P46" s="108"/>
      <c r="Q46" s="108"/>
      <c r="R46" s="108"/>
      <c r="S46" s="108"/>
      <c r="T46" s="108"/>
      <c r="U46" s="108"/>
      <c r="V46" s="108"/>
      <c r="W46" s="108"/>
      <c r="X46" s="108"/>
      <c r="Y46" s="108"/>
      <c r="Z46" s="108"/>
      <c r="AA46" s="108"/>
    </row>
    <row r="47" spans="1:30" s="358" customFormat="1" ht="18" customHeight="1">
      <c r="A47" s="563"/>
      <c r="B47" s="110" t="s">
        <v>376</v>
      </c>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row>
    <row r="48" spans="1:30" s="105" customFormat="1" ht="18" customHeight="1">
      <c r="A48" s="84"/>
      <c r="B48" s="110" t="s">
        <v>377</v>
      </c>
      <c r="C48" s="111"/>
      <c r="D48" s="563"/>
      <c r="E48" s="563"/>
      <c r="F48" s="84"/>
      <c r="G48" s="84"/>
      <c r="H48" s="84"/>
      <c r="I48" s="84"/>
      <c r="J48" s="84"/>
      <c r="K48" s="84"/>
      <c r="L48" s="84"/>
      <c r="M48" s="84"/>
      <c r="N48" s="84"/>
      <c r="O48" s="84"/>
      <c r="P48" s="84"/>
      <c r="Q48" s="84"/>
      <c r="R48" s="84"/>
      <c r="S48" s="84"/>
      <c r="T48" s="84"/>
      <c r="U48" s="84"/>
      <c r="V48" s="84"/>
      <c r="W48" s="84"/>
      <c r="X48" s="84"/>
      <c r="Y48" s="84"/>
      <c r="Z48" s="84"/>
      <c r="AA48" s="84"/>
    </row>
    <row r="49" spans="1:27" s="171" customFormat="1" ht="18" customHeight="1">
      <c r="B49" s="171" t="s">
        <v>818</v>
      </c>
      <c r="D49" s="166"/>
      <c r="E49" s="166"/>
      <c r="F49" s="166"/>
      <c r="G49" s="166"/>
    </row>
    <row r="50" spans="1:27" s="563" customFormat="1" ht="18" customHeight="1">
      <c r="A50" s="358"/>
      <c r="B50" s="360" t="s">
        <v>378</v>
      </c>
      <c r="C50" s="106"/>
      <c r="D50" s="357"/>
      <c r="E50" s="357"/>
      <c r="F50" s="358"/>
      <c r="G50" s="358"/>
      <c r="H50" s="358"/>
      <c r="I50" s="358"/>
      <c r="J50" s="358"/>
      <c r="K50" s="358"/>
      <c r="L50" s="358"/>
      <c r="M50" s="358"/>
      <c r="N50" s="358"/>
      <c r="O50" s="358"/>
      <c r="P50" s="358"/>
      <c r="Q50" s="358"/>
      <c r="R50" s="358"/>
      <c r="S50" s="358"/>
      <c r="T50" s="358"/>
      <c r="U50" s="358"/>
      <c r="V50" s="358"/>
      <c r="W50" s="358"/>
      <c r="X50" s="358"/>
      <c r="Y50" s="358"/>
      <c r="Z50" s="358"/>
      <c r="AA50" s="357"/>
    </row>
    <row r="51" spans="1:27" s="21" customFormat="1" ht="18" customHeight="1">
      <c r="B51" s="388" t="s">
        <v>379</v>
      </c>
    </row>
    <row r="52" spans="1:27" customFormat="1" ht="16.5">
      <c r="A52" s="18"/>
      <c r="B52" s="389"/>
      <c r="C52" s="369"/>
      <c r="D52" s="368"/>
      <c r="E52" s="377"/>
      <c r="F52" s="370"/>
      <c r="G52" s="370"/>
      <c r="H52" s="370"/>
    </row>
    <row r="53" spans="1:27" s="357" customFormat="1" ht="1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sheetData>
  <mergeCells count="127">
    <mergeCell ref="B1:AD1"/>
    <mergeCell ref="L38:L39"/>
    <mergeCell ref="D15:Q15"/>
    <mergeCell ref="B15:C15"/>
    <mergeCell ref="D8:Q8"/>
    <mergeCell ref="D9:Q9"/>
    <mergeCell ref="D10:Q10"/>
    <mergeCell ref="B10:C14"/>
    <mergeCell ref="D11:Q11"/>
    <mergeCell ref="D12:Q12"/>
    <mergeCell ref="D13:Q13"/>
    <mergeCell ref="B26:C26"/>
    <mergeCell ref="D26:D27"/>
    <mergeCell ref="B38:C38"/>
    <mergeCell ref="D38:D39"/>
    <mergeCell ref="E38:E39"/>
    <mergeCell ref="F38:F39"/>
    <mergeCell ref="G38:G39"/>
    <mergeCell ref="H38:H39"/>
    <mergeCell ref="I38:I39"/>
    <mergeCell ref="J38:J39"/>
    <mergeCell ref="K38:K39"/>
    <mergeCell ref="B6:C6"/>
    <mergeCell ref="D6:Q6"/>
    <mergeCell ref="R6:Y6"/>
    <mergeCell ref="B7:C9"/>
    <mergeCell ref="R7:Y15"/>
    <mergeCell ref="B22:C22"/>
    <mergeCell ref="D22:E22"/>
    <mergeCell ref="G22:H22"/>
    <mergeCell ref="I22:L22"/>
    <mergeCell ref="M22:O22"/>
    <mergeCell ref="P22:Q22"/>
    <mergeCell ref="S22:T22"/>
    <mergeCell ref="V22:W22"/>
    <mergeCell ref="Y22:Z22"/>
    <mergeCell ref="D14:Q14"/>
    <mergeCell ref="D7:Q7"/>
    <mergeCell ref="AB22:AC22"/>
    <mergeCell ref="B24:C24"/>
    <mergeCell ref="D24:D25"/>
    <mergeCell ref="E24:E25"/>
    <mergeCell ref="F24:F25"/>
    <mergeCell ref="G24:G25"/>
    <mergeCell ref="H24:H25"/>
    <mergeCell ref="I24:I25"/>
    <mergeCell ref="J24:J25"/>
    <mergeCell ref="K24:K25"/>
    <mergeCell ref="L24:L25"/>
    <mergeCell ref="E26:E27"/>
    <mergeCell ref="F26:F27"/>
    <mergeCell ref="G26:G27"/>
    <mergeCell ref="H26:H27"/>
    <mergeCell ref="I26:I27"/>
    <mergeCell ref="J26:J27"/>
    <mergeCell ref="K26:K27"/>
    <mergeCell ref="L26:L27"/>
    <mergeCell ref="B28:C28"/>
    <mergeCell ref="D28:D29"/>
    <mergeCell ref="E28:E29"/>
    <mergeCell ref="F28:F29"/>
    <mergeCell ref="G28:G29"/>
    <mergeCell ref="H28:H29"/>
    <mergeCell ref="I28:I29"/>
    <mergeCell ref="J28:J29"/>
    <mergeCell ref="K28:K29"/>
    <mergeCell ref="L28:L29"/>
    <mergeCell ref="L30:L31"/>
    <mergeCell ref="B32:C32"/>
    <mergeCell ref="D32:D33"/>
    <mergeCell ref="E32:E33"/>
    <mergeCell ref="F32:F33"/>
    <mergeCell ref="G32:G33"/>
    <mergeCell ref="H32:H33"/>
    <mergeCell ref="I32:I33"/>
    <mergeCell ref="J32:J33"/>
    <mergeCell ref="K32:K33"/>
    <mergeCell ref="L32:L33"/>
    <mergeCell ref="B30:C30"/>
    <mergeCell ref="D30:D31"/>
    <mergeCell ref="E30:E31"/>
    <mergeCell ref="F30:F31"/>
    <mergeCell ref="G30:G31"/>
    <mergeCell ref="H30:H31"/>
    <mergeCell ref="I30:I31"/>
    <mergeCell ref="J30:J31"/>
    <mergeCell ref="K30:K31"/>
    <mergeCell ref="L34:L35"/>
    <mergeCell ref="B36:C36"/>
    <mergeCell ref="D36:D37"/>
    <mergeCell ref="E36:E37"/>
    <mergeCell ref="F36:F37"/>
    <mergeCell ref="G36:G37"/>
    <mergeCell ref="H36:H37"/>
    <mergeCell ref="I36:I37"/>
    <mergeCell ref="J36:J37"/>
    <mergeCell ref="K36:K37"/>
    <mergeCell ref="L36:L37"/>
    <mergeCell ref="B34:C34"/>
    <mergeCell ref="D34:D35"/>
    <mergeCell ref="E34:E35"/>
    <mergeCell ref="F34:F35"/>
    <mergeCell ref="G34:G35"/>
    <mergeCell ref="H34:H35"/>
    <mergeCell ref="I34:I35"/>
    <mergeCell ref="J34:J35"/>
    <mergeCell ref="K34:K35"/>
    <mergeCell ref="L40:L41"/>
    <mergeCell ref="B42:C42"/>
    <mergeCell ref="D42:D43"/>
    <mergeCell ref="E42:E43"/>
    <mergeCell ref="F42:F43"/>
    <mergeCell ref="G42:G43"/>
    <mergeCell ref="H42:H43"/>
    <mergeCell ref="I42:I43"/>
    <mergeCell ref="J42:J43"/>
    <mergeCell ref="K42:K43"/>
    <mergeCell ref="L42:L43"/>
    <mergeCell ref="B40:C40"/>
    <mergeCell ref="D40:D41"/>
    <mergeCell ref="E40:E41"/>
    <mergeCell ref="F40:F41"/>
    <mergeCell ref="G40:G41"/>
    <mergeCell ref="H40:H41"/>
    <mergeCell ref="I40:I41"/>
    <mergeCell ref="J40:J41"/>
    <mergeCell ref="K40:K41"/>
  </mergeCells>
  <phoneticPr fontId="4" type="noConversion"/>
  <printOptions horizontalCentered="1"/>
  <pageMargins left="0.15748031496062992" right="0.15748031496062992" top="0.35433070866141736" bottom="0.19685039370078741" header="0.31496062992125984" footer="0.31496062992125984"/>
  <pageSetup paperSize="9" scale="5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F52"/>
  <sheetViews>
    <sheetView workbookViewId="0"/>
  </sheetViews>
  <sheetFormatPr defaultRowHeight="12"/>
  <cols>
    <col min="1" max="1" width="0.875" style="119" customWidth="1"/>
    <col min="2" max="2" width="12.5" style="119" customWidth="1"/>
    <col min="3" max="4" width="7.125" style="119" customWidth="1"/>
    <col min="5" max="5" width="8.5" style="119" bestFit="1" customWidth="1"/>
    <col min="6" max="14" width="8.5" style="119" customWidth="1"/>
    <col min="15" max="15" width="8.625" style="119" customWidth="1"/>
    <col min="16" max="29" width="8.125" style="119" customWidth="1"/>
    <col min="30" max="16384" width="9" style="119"/>
  </cols>
  <sheetData>
    <row r="1" spans="1:32" s="112" customFormat="1" ht="30" customHeight="1" thickBot="1">
      <c r="B1" s="854" t="s">
        <v>728</v>
      </c>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row>
    <row r="2" spans="1:32"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2" s="113" customFormat="1" ht="21.75" customHeight="1">
      <c r="A3" s="78"/>
      <c r="B3" s="79" t="s">
        <v>104</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2" s="113" customFormat="1" ht="21.75" customHeight="1">
      <c r="A4" s="78"/>
      <c r="B4" s="80" t="s">
        <v>105</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2" s="114" customFormat="1" ht="20.100000000000001" customHeight="1">
      <c r="B5" s="77"/>
      <c r="C5" s="77"/>
      <c r="D5" s="77"/>
      <c r="E5" s="77"/>
      <c r="K5" s="115"/>
      <c r="L5" s="115"/>
      <c r="M5" s="115"/>
      <c r="N5" s="115"/>
    </row>
    <row r="6" spans="1:32" s="114" customFormat="1" ht="20.100000000000001" customHeight="1" thickBot="1">
      <c r="B6" s="116" t="s">
        <v>106</v>
      </c>
      <c r="F6" s="117"/>
      <c r="G6" s="115"/>
      <c r="H6" s="115"/>
      <c r="I6" s="115"/>
      <c r="J6" s="115"/>
      <c r="K6" s="115"/>
      <c r="L6" s="115"/>
      <c r="M6" s="115"/>
      <c r="N6" s="115"/>
    </row>
    <row r="7" spans="1:32" ht="19.5" customHeight="1" thickBot="1">
      <c r="A7" s="118"/>
      <c r="B7" s="835" t="s">
        <v>107</v>
      </c>
      <c r="C7" s="836"/>
      <c r="D7" s="837"/>
      <c r="E7" s="838"/>
      <c r="F7" s="839" t="s">
        <v>147</v>
      </c>
      <c r="G7" s="840"/>
      <c r="H7" s="840"/>
      <c r="I7" s="840"/>
      <c r="J7" s="840"/>
      <c r="K7" s="840"/>
      <c r="L7" s="840"/>
      <c r="M7" s="840"/>
      <c r="N7" s="840"/>
      <c r="O7" s="840"/>
      <c r="P7" s="840"/>
      <c r="Q7" s="840"/>
      <c r="R7" s="840"/>
      <c r="S7" s="839" t="s">
        <v>142</v>
      </c>
      <c r="T7" s="840"/>
      <c r="U7" s="840"/>
      <c r="V7" s="840"/>
      <c r="W7" s="840"/>
      <c r="X7" s="840"/>
      <c r="Y7" s="840"/>
      <c r="Z7" s="840"/>
      <c r="AA7" s="841"/>
      <c r="AB7" s="114"/>
      <c r="AC7" s="118"/>
    </row>
    <row r="8" spans="1:32" ht="19.5" customHeight="1">
      <c r="A8" s="118"/>
      <c r="B8" s="848" t="s">
        <v>108</v>
      </c>
      <c r="C8" s="849"/>
      <c r="D8" s="849"/>
      <c r="E8" s="850"/>
      <c r="F8" s="845" t="s">
        <v>148</v>
      </c>
      <c r="G8" s="846"/>
      <c r="H8" s="846"/>
      <c r="I8" s="846"/>
      <c r="J8" s="846"/>
      <c r="K8" s="846"/>
      <c r="L8" s="846"/>
      <c r="M8" s="846"/>
      <c r="N8" s="846"/>
      <c r="O8" s="846"/>
      <c r="P8" s="846"/>
      <c r="Q8" s="846"/>
      <c r="R8" s="847"/>
      <c r="S8" s="842"/>
      <c r="T8" s="843"/>
      <c r="U8" s="843"/>
      <c r="V8" s="843"/>
      <c r="W8" s="843"/>
      <c r="X8" s="843"/>
      <c r="Y8" s="843"/>
      <c r="Z8" s="843"/>
      <c r="AA8" s="844"/>
      <c r="AB8" s="114"/>
      <c r="AC8" s="118"/>
    </row>
    <row r="9" spans="1:32" ht="19.5" customHeight="1">
      <c r="A9" s="118"/>
      <c r="B9" s="851"/>
      <c r="C9" s="852"/>
      <c r="D9" s="852"/>
      <c r="E9" s="853"/>
      <c r="F9" s="842" t="s">
        <v>149</v>
      </c>
      <c r="G9" s="843"/>
      <c r="H9" s="843"/>
      <c r="I9" s="843"/>
      <c r="J9" s="843"/>
      <c r="K9" s="843"/>
      <c r="L9" s="843"/>
      <c r="M9" s="843"/>
      <c r="N9" s="843"/>
      <c r="O9" s="843"/>
      <c r="P9" s="843"/>
      <c r="Q9" s="843"/>
      <c r="R9" s="843"/>
      <c r="S9" s="842"/>
      <c r="T9" s="843"/>
      <c r="U9" s="843"/>
      <c r="V9" s="843"/>
      <c r="W9" s="843"/>
      <c r="X9" s="843"/>
      <c r="Y9" s="843"/>
      <c r="Z9" s="843"/>
      <c r="AA9" s="844"/>
      <c r="AB9" s="114"/>
      <c r="AC9" s="118"/>
    </row>
    <row r="10" spans="1:32" ht="19.5" customHeight="1" thickBot="1">
      <c r="A10" s="118"/>
      <c r="B10" s="855" t="s">
        <v>150</v>
      </c>
      <c r="C10" s="856"/>
      <c r="D10" s="857"/>
      <c r="E10" s="857"/>
      <c r="F10" s="858" t="s">
        <v>151</v>
      </c>
      <c r="G10" s="859"/>
      <c r="H10" s="859"/>
      <c r="I10" s="859"/>
      <c r="J10" s="859"/>
      <c r="K10" s="859"/>
      <c r="L10" s="859"/>
      <c r="M10" s="859"/>
      <c r="N10" s="859"/>
      <c r="O10" s="859"/>
      <c r="P10" s="859"/>
      <c r="Q10" s="859"/>
      <c r="R10" s="859"/>
      <c r="S10" s="858"/>
      <c r="T10" s="859"/>
      <c r="U10" s="859"/>
      <c r="V10" s="859"/>
      <c r="W10" s="859"/>
      <c r="X10" s="859"/>
      <c r="Y10" s="859"/>
      <c r="Z10" s="859"/>
      <c r="AA10" s="860"/>
      <c r="AB10" s="114"/>
      <c r="AC10" s="118"/>
    </row>
    <row r="11" spans="1:32" ht="19.5" customHeight="1">
      <c r="A11" s="118"/>
      <c r="B11" s="855"/>
      <c r="C11" s="856"/>
      <c r="D11" s="857"/>
      <c r="E11" s="857"/>
      <c r="F11" s="867" t="s">
        <v>120</v>
      </c>
      <c r="G11" s="868"/>
      <c r="H11" s="869"/>
      <c r="I11" s="870" t="s">
        <v>152</v>
      </c>
      <c r="J11" s="871"/>
      <c r="K11" s="872" t="s">
        <v>153</v>
      </c>
      <c r="L11" s="873"/>
      <c r="M11" s="869" t="s">
        <v>154</v>
      </c>
      <c r="N11" s="874"/>
      <c r="O11" s="869" t="s">
        <v>155</v>
      </c>
      <c r="P11" s="874"/>
      <c r="Q11" s="869" t="s">
        <v>156</v>
      </c>
      <c r="R11" s="875"/>
      <c r="S11" s="861"/>
      <c r="T11" s="862"/>
      <c r="U11" s="862"/>
      <c r="V11" s="862"/>
      <c r="W11" s="862"/>
      <c r="X11" s="862"/>
      <c r="Y11" s="862"/>
      <c r="Z11" s="862"/>
      <c r="AA11" s="863"/>
      <c r="AB11" s="114"/>
      <c r="AC11" s="118"/>
    </row>
    <row r="12" spans="1:32" ht="19.5" customHeight="1" thickBot="1">
      <c r="A12" s="118"/>
      <c r="B12" s="855"/>
      <c r="C12" s="856"/>
      <c r="D12" s="857"/>
      <c r="E12" s="857"/>
      <c r="F12" s="867" t="s">
        <v>50</v>
      </c>
      <c r="G12" s="868"/>
      <c r="H12" s="869"/>
      <c r="I12" s="876">
        <v>0.2</v>
      </c>
      <c r="J12" s="877"/>
      <c r="K12" s="878">
        <v>0.17</v>
      </c>
      <c r="L12" s="879"/>
      <c r="M12" s="880">
        <v>0.14000000000000001</v>
      </c>
      <c r="N12" s="879"/>
      <c r="O12" s="880">
        <v>0.11</v>
      </c>
      <c r="P12" s="879"/>
      <c r="Q12" s="880">
        <v>0.08</v>
      </c>
      <c r="R12" s="881"/>
      <c r="S12" s="864"/>
      <c r="T12" s="865"/>
      <c r="U12" s="865"/>
      <c r="V12" s="865"/>
      <c r="W12" s="865"/>
      <c r="X12" s="865"/>
      <c r="Y12" s="865"/>
      <c r="Z12" s="865"/>
      <c r="AA12" s="866"/>
      <c r="AB12" s="114"/>
      <c r="AC12" s="118"/>
    </row>
    <row r="13" spans="1:32" ht="19.5" customHeight="1">
      <c r="A13" s="118"/>
      <c r="B13" s="903" t="s">
        <v>143</v>
      </c>
      <c r="C13" s="909" t="s">
        <v>157</v>
      </c>
      <c r="D13" s="910"/>
      <c r="E13" s="911"/>
      <c r="F13" s="906" t="s">
        <v>158</v>
      </c>
      <c r="G13" s="907"/>
      <c r="H13" s="907"/>
      <c r="I13" s="907"/>
      <c r="J13" s="907"/>
      <c r="K13" s="907"/>
      <c r="L13" s="907"/>
      <c r="M13" s="907"/>
      <c r="N13" s="907"/>
      <c r="O13" s="907"/>
      <c r="P13" s="907"/>
      <c r="Q13" s="907"/>
      <c r="R13" s="908"/>
      <c r="S13" s="882" t="s">
        <v>159</v>
      </c>
      <c r="T13" s="883"/>
      <c r="U13" s="883"/>
      <c r="V13" s="883"/>
      <c r="W13" s="883"/>
      <c r="X13" s="883"/>
      <c r="Y13" s="883"/>
      <c r="Z13" s="883"/>
      <c r="AA13" s="884"/>
      <c r="AB13" s="114"/>
      <c r="AC13" s="118"/>
    </row>
    <row r="14" spans="1:32" ht="19.5" customHeight="1">
      <c r="A14" s="118"/>
      <c r="B14" s="904"/>
      <c r="C14" s="912"/>
      <c r="D14" s="913"/>
      <c r="E14" s="914"/>
      <c r="F14" s="842" t="s">
        <v>160</v>
      </c>
      <c r="G14" s="843"/>
      <c r="H14" s="843"/>
      <c r="I14" s="843"/>
      <c r="J14" s="843"/>
      <c r="K14" s="843"/>
      <c r="L14" s="843"/>
      <c r="M14" s="843"/>
      <c r="N14" s="843"/>
      <c r="O14" s="843"/>
      <c r="P14" s="843"/>
      <c r="Q14" s="843"/>
      <c r="R14" s="844"/>
      <c r="S14" s="885"/>
      <c r="T14" s="886"/>
      <c r="U14" s="886"/>
      <c r="V14" s="886"/>
      <c r="W14" s="886"/>
      <c r="X14" s="886"/>
      <c r="Y14" s="886"/>
      <c r="Z14" s="886"/>
      <c r="AA14" s="887"/>
      <c r="AB14" s="114"/>
      <c r="AC14" s="118"/>
    </row>
    <row r="15" spans="1:32" ht="19.5" customHeight="1">
      <c r="A15" s="118"/>
      <c r="B15" s="905"/>
      <c r="C15" s="891" t="s">
        <v>161</v>
      </c>
      <c r="D15" s="891"/>
      <c r="E15" s="892"/>
      <c r="F15" s="893" t="s">
        <v>162</v>
      </c>
      <c r="G15" s="894"/>
      <c r="H15" s="894"/>
      <c r="I15" s="894"/>
      <c r="J15" s="894"/>
      <c r="K15" s="894"/>
      <c r="L15" s="894"/>
      <c r="M15" s="894"/>
      <c r="N15" s="894"/>
      <c r="O15" s="894"/>
      <c r="P15" s="894"/>
      <c r="Q15" s="894"/>
      <c r="R15" s="894"/>
      <c r="S15" s="888"/>
      <c r="T15" s="889"/>
      <c r="U15" s="889"/>
      <c r="V15" s="889"/>
      <c r="W15" s="889"/>
      <c r="X15" s="889"/>
      <c r="Y15" s="889"/>
      <c r="Z15" s="889"/>
      <c r="AA15" s="890"/>
      <c r="AB15" s="118"/>
      <c r="AC15" s="118"/>
    </row>
    <row r="16" spans="1:32" ht="19.5" customHeight="1" thickBot="1">
      <c r="A16" s="118"/>
      <c r="B16" s="895" t="s">
        <v>163</v>
      </c>
      <c r="C16" s="896"/>
      <c r="D16" s="897"/>
      <c r="E16" s="897"/>
      <c r="F16" s="898" t="s">
        <v>164</v>
      </c>
      <c r="G16" s="899"/>
      <c r="H16" s="899"/>
      <c r="I16" s="899"/>
      <c r="J16" s="899"/>
      <c r="K16" s="899"/>
      <c r="L16" s="899"/>
      <c r="M16" s="899"/>
      <c r="N16" s="899"/>
      <c r="O16" s="899"/>
      <c r="P16" s="899"/>
      <c r="Q16" s="899"/>
      <c r="R16" s="899"/>
      <c r="S16" s="900" t="s">
        <v>165</v>
      </c>
      <c r="T16" s="901"/>
      <c r="U16" s="901"/>
      <c r="V16" s="901"/>
      <c r="W16" s="901"/>
      <c r="X16" s="901"/>
      <c r="Y16" s="901"/>
      <c r="Z16" s="901"/>
      <c r="AA16" s="902"/>
      <c r="AB16" s="114"/>
      <c r="AC16" s="118"/>
    </row>
    <row r="17" spans="1:32" ht="20.100000000000001" customHeight="1"/>
    <row r="18" spans="1:32" ht="20.100000000000001" customHeight="1">
      <c r="B18" s="116" t="s">
        <v>102</v>
      </c>
      <c r="L18" s="120"/>
      <c r="M18" s="120"/>
      <c r="Q18" s="121"/>
    </row>
    <row r="19" spans="1:32" s="34" customFormat="1" ht="25.5" customHeight="1">
      <c r="B19" s="423" t="s">
        <v>390</v>
      </c>
      <c r="C19" s="423"/>
      <c r="D19" s="423"/>
      <c r="E19" s="423"/>
      <c r="F19" s="423"/>
      <c r="G19" s="423"/>
      <c r="H19" s="424"/>
      <c r="I19" s="424"/>
      <c r="J19" s="425"/>
      <c r="K19" s="425"/>
      <c r="L19" s="425"/>
      <c r="M19" s="424"/>
      <c r="N19" s="424"/>
      <c r="O19" s="424"/>
      <c r="P19" s="424"/>
      <c r="Q19" s="424"/>
      <c r="R19" s="424"/>
      <c r="S19" s="424"/>
      <c r="T19" s="424"/>
      <c r="U19" s="424"/>
      <c r="V19" s="424"/>
      <c r="W19" s="424"/>
      <c r="X19" s="424"/>
      <c r="Y19" s="424"/>
    </row>
    <row r="20" spans="1:32" s="34" customFormat="1" ht="24" customHeight="1">
      <c r="A20" s="29"/>
      <c r="B20" s="30" t="s">
        <v>166</v>
      </c>
      <c r="C20" s="31"/>
      <c r="D20" s="31"/>
      <c r="E20" s="31"/>
      <c r="F20" s="31"/>
      <c r="G20" s="31"/>
      <c r="H20" s="32"/>
      <c r="I20" s="32"/>
      <c r="J20" s="33"/>
      <c r="K20" s="33"/>
      <c r="L20" s="33"/>
      <c r="M20" s="32"/>
      <c r="N20" s="32"/>
      <c r="O20" s="32"/>
      <c r="P20" s="32"/>
      <c r="Q20" s="32"/>
      <c r="R20" s="32"/>
      <c r="S20" s="32"/>
      <c r="T20" s="32"/>
      <c r="U20" s="32"/>
      <c r="V20" s="32"/>
      <c r="W20" s="32"/>
      <c r="X20" s="32"/>
      <c r="Y20" s="32"/>
      <c r="Z20" s="29"/>
      <c r="AA20" s="29"/>
    </row>
    <row r="21" spans="1:32" s="122" customFormat="1" ht="7.5" customHeight="1" thickBot="1">
      <c r="A21" s="115"/>
      <c r="B21" s="35"/>
      <c r="C21" s="115"/>
      <c r="D21" s="115"/>
      <c r="E21" s="114"/>
      <c r="F21" s="114"/>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row>
    <row r="22" spans="1:32" s="115" customFormat="1" ht="20.100000000000001" customHeight="1">
      <c r="A22" s="123"/>
      <c r="B22" s="923" t="s">
        <v>101</v>
      </c>
      <c r="C22" s="924"/>
      <c r="D22" s="924"/>
      <c r="E22" s="925"/>
      <c r="F22" s="926" t="s">
        <v>131</v>
      </c>
      <c r="G22" s="928" t="s">
        <v>167</v>
      </c>
      <c r="H22" s="929"/>
      <c r="I22" s="930"/>
      <c r="J22" s="429" t="s">
        <v>168</v>
      </c>
      <c r="K22" s="429" t="s">
        <v>169</v>
      </c>
      <c r="L22" s="935" t="s">
        <v>234</v>
      </c>
      <c r="M22" s="934"/>
      <c r="N22" s="286" t="s">
        <v>170</v>
      </c>
      <c r="O22" s="936" t="s">
        <v>103</v>
      </c>
      <c r="P22" s="933"/>
      <c r="Q22" s="937"/>
      <c r="R22" s="938" t="s">
        <v>100</v>
      </c>
      <c r="S22" s="932"/>
      <c r="T22" s="430">
        <v>0.93</v>
      </c>
      <c r="U22" s="931" t="s">
        <v>320</v>
      </c>
      <c r="V22" s="932"/>
      <c r="W22" s="286">
        <v>0.86</v>
      </c>
      <c r="X22" s="931" t="s">
        <v>239</v>
      </c>
      <c r="Y22" s="932"/>
      <c r="Z22" s="286">
        <v>0.83</v>
      </c>
      <c r="AA22" s="931" t="s">
        <v>132</v>
      </c>
      <c r="AB22" s="932"/>
      <c r="AC22" s="286">
        <v>0.75</v>
      </c>
      <c r="AD22" s="933" t="s">
        <v>133</v>
      </c>
      <c r="AE22" s="934"/>
      <c r="AF22" s="286">
        <v>0.7</v>
      </c>
    </row>
    <row r="23" spans="1:32" s="115" customFormat="1" ht="33.75" customHeight="1" thickBot="1">
      <c r="A23" s="123"/>
      <c r="B23" s="275" t="s">
        <v>171</v>
      </c>
      <c r="C23" s="433" t="s">
        <v>172</v>
      </c>
      <c r="D23" s="276" t="s">
        <v>173</v>
      </c>
      <c r="E23" s="434" t="s">
        <v>174</v>
      </c>
      <c r="F23" s="927"/>
      <c r="G23" s="436" t="s">
        <v>175</v>
      </c>
      <c r="H23" s="436" t="s">
        <v>176</v>
      </c>
      <c r="I23" s="436" t="s">
        <v>177</v>
      </c>
      <c r="J23" s="287">
        <v>2.4</v>
      </c>
      <c r="K23" s="287">
        <v>0.2</v>
      </c>
      <c r="L23" s="273" t="s">
        <v>157</v>
      </c>
      <c r="M23" s="288" t="s">
        <v>178</v>
      </c>
      <c r="N23" s="289">
        <v>0.2</v>
      </c>
      <c r="O23" s="290" t="s">
        <v>121</v>
      </c>
      <c r="P23" s="291" t="s">
        <v>139</v>
      </c>
      <c r="Q23" s="431" t="s">
        <v>140</v>
      </c>
      <c r="R23" s="435" t="s">
        <v>121</v>
      </c>
      <c r="S23" s="433" t="s">
        <v>139</v>
      </c>
      <c r="T23" s="434" t="s">
        <v>140</v>
      </c>
      <c r="U23" s="290" t="s">
        <v>121</v>
      </c>
      <c r="V23" s="291" t="s">
        <v>139</v>
      </c>
      <c r="W23" s="535" t="s">
        <v>140</v>
      </c>
      <c r="X23" s="432" t="s">
        <v>121</v>
      </c>
      <c r="Y23" s="433" t="s">
        <v>139</v>
      </c>
      <c r="Z23" s="434" t="s">
        <v>140</v>
      </c>
      <c r="AA23" s="435" t="s">
        <v>121</v>
      </c>
      <c r="AB23" s="433" t="s">
        <v>139</v>
      </c>
      <c r="AC23" s="434" t="s">
        <v>140</v>
      </c>
      <c r="AD23" s="432" t="s">
        <v>121</v>
      </c>
      <c r="AE23" s="433" t="s">
        <v>139</v>
      </c>
      <c r="AF23" s="434" t="s">
        <v>140</v>
      </c>
    </row>
    <row r="24" spans="1:32" s="115" customFormat="1" ht="20.100000000000001" customHeight="1">
      <c r="A24" s="123"/>
      <c r="B24" s="915" t="s">
        <v>179</v>
      </c>
      <c r="C24" s="916"/>
      <c r="D24" s="916"/>
      <c r="E24" s="917"/>
      <c r="F24" s="918">
        <v>1000</v>
      </c>
      <c r="G24" s="834">
        <f>F24*C25</f>
        <v>2600</v>
      </c>
      <c r="H24" s="920">
        <f>D25*F24</f>
        <v>0</v>
      </c>
      <c r="I24" s="834" t="s">
        <v>122</v>
      </c>
      <c r="J24" s="921">
        <f>G24*J23</f>
        <v>6240</v>
      </c>
      <c r="K24" s="922">
        <f>G24*$K$23</f>
        <v>520</v>
      </c>
      <c r="L24" s="834">
        <f>G24*9%*6+G24*10%*6</f>
        <v>2964</v>
      </c>
      <c r="M24" s="920">
        <f>H24*20%*12</f>
        <v>0</v>
      </c>
      <c r="N24" s="939" t="s">
        <v>122</v>
      </c>
      <c r="O24" s="124">
        <f>J24+K24+(G24*10%)</f>
        <v>7020</v>
      </c>
      <c r="P24" s="125">
        <f>J24+K24+L24</f>
        <v>9724</v>
      </c>
      <c r="Q24" s="126">
        <f>J24+K24+L24+M24</f>
        <v>9724</v>
      </c>
      <c r="R24" s="127">
        <f>O24*$T$22</f>
        <v>6528.6</v>
      </c>
      <c r="S24" s="125">
        <f>P24*$T$22</f>
        <v>9043.32</v>
      </c>
      <c r="T24" s="128">
        <f>Q24*$T$22</f>
        <v>9043.32</v>
      </c>
      <c r="U24" s="124">
        <f>O24*$W$22</f>
        <v>6037.2</v>
      </c>
      <c r="V24" s="125">
        <f>P24*$W$22</f>
        <v>8362.64</v>
      </c>
      <c r="W24" s="126">
        <f>Q24*$W$22</f>
        <v>8362.64</v>
      </c>
      <c r="X24" s="127">
        <f>O24*$Z$22</f>
        <v>5826.5999999999995</v>
      </c>
      <c r="Y24" s="125">
        <f>P24*$Z$22</f>
        <v>8070.9199999999992</v>
      </c>
      <c r="Z24" s="126">
        <f>Q24*$Z$22</f>
        <v>8070.9199999999992</v>
      </c>
      <c r="AA24" s="124">
        <f>O24*$AC$22</f>
        <v>5265</v>
      </c>
      <c r="AB24" s="125">
        <f>P24*$AC$22</f>
        <v>7293</v>
      </c>
      <c r="AC24" s="126">
        <f>Q24*$AC$22</f>
        <v>7293</v>
      </c>
      <c r="AD24" s="127">
        <f>O24*$AF$22</f>
        <v>4914</v>
      </c>
      <c r="AE24" s="128">
        <f>P24*$AF$22</f>
        <v>6806.7999999999993</v>
      </c>
      <c r="AF24" s="126">
        <f>Q24*$AF$22</f>
        <v>6806.7999999999993</v>
      </c>
    </row>
    <row r="25" spans="1:32" s="115" customFormat="1" ht="20.100000000000001" customHeight="1">
      <c r="A25" s="123"/>
      <c r="B25" s="277" t="s">
        <v>145</v>
      </c>
      <c r="C25" s="278">
        <v>2.6</v>
      </c>
      <c r="D25" s="279">
        <v>0</v>
      </c>
      <c r="E25" s="280" t="s">
        <v>122</v>
      </c>
      <c r="F25" s="919"/>
      <c r="G25" s="832"/>
      <c r="H25" s="834"/>
      <c r="I25" s="832"/>
      <c r="J25" s="834"/>
      <c r="K25" s="831"/>
      <c r="L25" s="832"/>
      <c r="M25" s="834"/>
      <c r="N25" s="827"/>
      <c r="O25" s="90">
        <f>O24/F24</f>
        <v>7.02</v>
      </c>
      <c r="P25" s="27">
        <f>P24/F24</f>
        <v>9.7240000000000002</v>
      </c>
      <c r="Q25" s="28">
        <f>Q24/F24</f>
        <v>9.7240000000000002</v>
      </c>
      <c r="R25" s="129">
        <f>R24/F24</f>
        <v>6.5286</v>
      </c>
      <c r="S25" s="130">
        <f>S24/F24</f>
        <v>9.0433199999999996</v>
      </c>
      <c r="T25" s="131">
        <f>T24/F24</f>
        <v>9.0433199999999996</v>
      </c>
      <c r="U25" s="132">
        <f>U24/F24</f>
        <v>6.0371999999999995</v>
      </c>
      <c r="V25" s="130">
        <f>V24/F24</f>
        <v>8.362639999999999</v>
      </c>
      <c r="W25" s="133">
        <f>W24/F24</f>
        <v>8.362639999999999</v>
      </c>
      <c r="X25" s="129">
        <f>X24/F24</f>
        <v>5.8265999999999991</v>
      </c>
      <c r="Y25" s="130">
        <f>Y24/F24</f>
        <v>8.0709199999999992</v>
      </c>
      <c r="Z25" s="133">
        <f>Z24/F24</f>
        <v>8.0709199999999992</v>
      </c>
      <c r="AA25" s="132">
        <f>AA24/F24</f>
        <v>5.2649999999999997</v>
      </c>
      <c r="AB25" s="130">
        <f>AB24/F24</f>
        <v>7.2930000000000001</v>
      </c>
      <c r="AC25" s="133">
        <f>AC24/F24</f>
        <v>7.2930000000000001</v>
      </c>
      <c r="AD25" s="129">
        <f>AD24/F24</f>
        <v>4.9139999999999997</v>
      </c>
      <c r="AE25" s="131">
        <f>AE24/F24</f>
        <v>6.8067999999999991</v>
      </c>
      <c r="AF25" s="133">
        <f>AF24/F24</f>
        <v>6.8067999999999991</v>
      </c>
    </row>
    <row r="26" spans="1:32" s="115" customFormat="1" ht="20.100000000000001" customHeight="1">
      <c r="A26" s="123"/>
      <c r="B26" s="828" t="s">
        <v>180</v>
      </c>
      <c r="C26" s="829"/>
      <c r="D26" s="829"/>
      <c r="E26" s="830"/>
      <c r="F26" s="918">
        <v>1000</v>
      </c>
      <c r="G26" s="834">
        <f>F26*C27</f>
        <v>2600</v>
      </c>
      <c r="H26" s="833">
        <f>D27*F26</f>
        <v>0</v>
      </c>
      <c r="I26" s="832" t="s">
        <v>122</v>
      </c>
      <c r="J26" s="833">
        <f>G26*J23</f>
        <v>6240</v>
      </c>
      <c r="K26" s="922">
        <f>G26*$K$23</f>
        <v>520</v>
      </c>
      <c r="L26" s="832">
        <f>G26*9%*6+G26*10%*6</f>
        <v>2964</v>
      </c>
      <c r="M26" s="833">
        <f>H26*20%*12</f>
        <v>0</v>
      </c>
      <c r="N26" s="826" t="s">
        <v>122</v>
      </c>
      <c r="O26" s="134">
        <f>J26+K26+(G26*10%)</f>
        <v>7020</v>
      </c>
      <c r="P26" s="135">
        <f>J26+K26+L26</f>
        <v>9724</v>
      </c>
      <c r="Q26" s="136">
        <f>J26+K26+L26+M26</f>
        <v>9724</v>
      </c>
      <c r="R26" s="137">
        <f>O26*$T$22</f>
        <v>6528.6</v>
      </c>
      <c r="S26" s="138">
        <f>P26*$T$22</f>
        <v>9043.32</v>
      </c>
      <c r="T26" s="139">
        <f>Q26*$T$22</f>
        <v>9043.32</v>
      </c>
      <c r="U26" s="134">
        <f t="shared" ref="U26" si="0">O26*$W$22</f>
        <v>6037.2</v>
      </c>
      <c r="V26" s="135">
        <f t="shared" ref="V26" si="1">P26*$W$22</f>
        <v>8362.64</v>
      </c>
      <c r="W26" s="136">
        <f t="shared" ref="W26" si="2">Q26*$W$22</f>
        <v>8362.64</v>
      </c>
      <c r="X26" s="137">
        <f>O26*$Z$22</f>
        <v>5826.5999999999995</v>
      </c>
      <c r="Y26" s="138">
        <f>P26*$Z$22</f>
        <v>8070.9199999999992</v>
      </c>
      <c r="Z26" s="141">
        <f>Q26*$Z$22</f>
        <v>8070.9199999999992</v>
      </c>
      <c r="AA26" s="140">
        <f>O26*$AC$22</f>
        <v>5265</v>
      </c>
      <c r="AB26" s="138">
        <f>P26*$AC$22</f>
        <v>7293</v>
      </c>
      <c r="AC26" s="141">
        <f>Q26*$AC$22</f>
        <v>7293</v>
      </c>
      <c r="AD26" s="137">
        <f>O26*$AF$22</f>
        <v>4914</v>
      </c>
      <c r="AE26" s="139">
        <f>P26*$AF$22</f>
        <v>6806.7999999999993</v>
      </c>
      <c r="AF26" s="141">
        <f>Q26*$AF$22</f>
        <v>6806.7999999999993</v>
      </c>
    </row>
    <row r="27" spans="1:32" s="115" customFormat="1" ht="20.100000000000001" customHeight="1">
      <c r="A27" s="123"/>
      <c r="B27" s="277" t="s">
        <v>181</v>
      </c>
      <c r="C27" s="278">
        <v>2.6</v>
      </c>
      <c r="D27" s="279">
        <v>0</v>
      </c>
      <c r="E27" s="280" t="s">
        <v>122</v>
      </c>
      <c r="F27" s="919"/>
      <c r="G27" s="832"/>
      <c r="H27" s="834"/>
      <c r="I27" s="832"/>
      <c r="J27" s="834"/>
      <c r="K27" s="831"/>
      <c r="L27" s="832"/>
      <c r="M27" s="834"/>
      <c r="N27" s="827"/>
      <c r="O27" s="90">
        <f>O26/F26</f>
        <v>7.02</v>
      </c>
      <c r="P27" s="27">
        <f>P26/F26</f>
        <v>9.7240000000000002</v>
      </c>
      <c r="Q27" s="28">
        <f>Q26/F26</f>
        <v>9.7240000000000002</v>
      </c>
      <c r="R27" s="129">
        <f>R26/F26</f>
        <v>6.5286</v>
      </c>
      <c r="S27" s="130">
        <f>S26/F26</f>
        <v>9.0433199999999996</v>
      </c>
      <c r="T27" s="131">
        <f>T26/F26</f>
        <v>9.0433199999999996</v>
      </c>
      <c r="U27" s="132">
        <f t="shared" ref="U27" si="3">U26/F26</f>
        <v>6.0371999999999995</v>
      </c>
      <c r="V27" s="130">
        <f t="shared" ref="V27" si="4">V26/F26</f>
        <v>8.362639999999999</v>
      </c>
      <c r="W27" s="133">
        <f t="shared" ref="W27" si="5">W26/F26</f>
        <v>8.362639999999999</v>
      </c>
      <c r="X27" s="129">
        <f>X26/F26</f>
        <v>5.8265999999999991</v>
      </c>
      <c r="Y27" s="130">
        <f>Y26/F26</f>
        <v>8.0709199999999992</v>
      </c>
      <c r="Z27" s="133">
        <f>Z26/F26</f>
        <v>8.0709199999999992</v>
      </c>
      <c r="AA27" s="132">
        <f>AA26/F26</f>
        <v>5.2649999999999997</v>
      </c>
      <c r="AB27" s="130">
        <f>AB26/F26</f>
        <v>7.2930000000000001</v>
      </c>
      <c r="AC27" s="133">
        <f>AC26/F26</f>
        <v>7.2930000000000001</v>
      </c>
      <c r="AD27" s="129">
        <f>AD26/F26</f>
        <v>4.9139999999999997</v>
      </c>
      <c r="AE27" s="131">
        <f>AE26/F26</f>
        <v>6.8067999999999991</v>
      </c>
      <c r="AF27" s="133">
        <f>AF26/F26</f>
        <v>6.8067999999999991</v>
      </c>
    </row>
    <row r="28" spans="1:32" s="115" customFormat="1" ht="20.100000000000001" customHeight="1">
      <c r="A28" s="123"/>
      <c r="B28" s="828" t="s">
        <v>182</v>
      </c>
      <c r="C28" s="829"/>
      <c r="D28" s="829"/>
      <c r="E28" s="830"/>
      <c r="F28" s="918">
        <v>1000</v>
      </c>
      <c r="G28" s="834">
        <f>F28*C29</f>
        <v>1450</v>
      </c>
      <c r="H28" s="833">
        <f>D29*F28</f>
        <v>350</v>
      </c>
      <c r="I28" s="832" t="s">
        <v>122</v>
      </c>
      <c r="J28" s="833">
        <f>G28*J23</f>
        <v>3480</v>
      </c>
      <c r="K28" s="922">
        <f>G28*$K$23</f>
        <v>290</v>
      </c>
      <c r="L28" s="832">
        <f>G28*9%*6+G28*10%*6</f>
        <v>1653</v>
      </c>
      <c r="M28" s="833">
        <f>H28*20%*12</f>
        <v>840</v>
      </c>
      <c r="N28" s="826" t="s">
        <v>122</v>
      </c>
      <c r="O28" s="134">
        <f>J28+K28+(G28*10%)</f>
        <v>3915</v>
      </c>
      <c r="P28" s="135">
        <f>J28+K28+L28</f>
        <v>5423</v>
      </c>
      <c r="Q28" s="136">
        <f>J28+K28+L28+M28</f>
        <v>6263</v>
      </c>
      <c r="R28" s="137">
        <f>O28*$T$22</f>
        <v>3640.9500000000003</v>
      </c>
      <c r="S28" s="138">
        <f>P28*$T$22</f>
        <v>5043.3900000000003</v>
      </c>
      <c r="T28" s="139">
        <f>Q28*$T$22</f>
        <v>5824.59</v>
      </c>
      <c r="U28" s="134">
        <f t="shared" ref="U28" si="6">O28*$W$22</f>
        <v>3366.9</v>
      </c>
      <c r="V28" s="135">
        <f t="shared" ref="V28" si="7">P28*$W$22</f>
        <v>4663.78</v>
      </c>
      <c r="W28" s="136">
        <f t="shared" ref="W28" si="8">Q28*$W$22</f>
        <v>5386.18</v>
      </c>
      <c r="X28" s="137">
        <f>O28*$Z$22</f>
        <v>3249.45</v>
      </c>
      <c r="Y28" s="138">
        <f>P28*$Z$22</f>
        <v>4501.09</v>
      </c>
      <c r="Z28" s="141">
        <f>Q28*$Z$22</f>
        <v>5198.29</v>
      </c>
      <c r="AA28" s="140">
        <f>O28*$AC$22</f>
        <v>2936.25</v>
      </c>
      <c r="AB28" s="138">
        <f>P28*$AC$22</f>
        <v>4067.25</v>
      </c>
      <c r="AC28" s="141">
        <f>Q28*$AC$22</f>
        <v>4697.25</v>
      </c>
      <c r="AD28" s="137">
        <f>O28*$AF$22</f>
        <v>2740.5</v>
      </c>
      <c r="AE28" s="139">
        <f>P28*$AF$22</f>
        <v>3796.1</v>
      </c>
      <c r="AF28" s="141">
        <f>Q28*$AF$22</f>
        <v>4384.0999999999995</v>
      </c>
    </row>
    <row r="29" spans="1:32" s="115" customFormat="1" ht="20.100000000000001" customHeight="1">
      <c r="A29" s="123"/>
      <c r="B29" s="277" t="s">
        <v>181</v>
      </c>
      <c r="C29" s="278">
        <v>1.45</v>
      </c>
      <c r="D29" s="279">
        <v>0.35</v>
      </c>
      <c r="E29" s="280" t="s">
        <v>122</v>
      </c>
      <c r="F29" s="919"/>
      <c r="G29" s="832"/>
      <c r="H29" s="834"/>
      <c r="I29" s="832"/>
      <c r="J29" s="834"/>
      <c r="K29" s="831"/>
      <c r="L29" s="832"/>
      <c r="M29" s="834"/>
      <c r="N29" s="827"/>
      <c r="O29" s="90">
        <f>O28/F28</f>
        <v>3.915</v>
      </c>
      <c r="P29" s="27">
        <f>P28/F28</f>
        <v>5.423</v>
      </c>
      <c r="Q29" s="28">
        <f>Q28/F28</f>
        <v>6.2629999999999999</v>
      </c>
      <c r="R29" s="129">
        <f>R28/F28</f>
        <v>3.6409500000000001</v>
      </c>
      <c r="S29" s="130">
        <f>S28/F28</f>
        <v>5.0433900000000005</v>
      </c>
      <c r="T29" s="131">
        <f>T28/F28</f>
        <v>5.8245899999999997</v>
      </c>
      <c r="U29" s="132">
        <f t="shared" ref="U29" si="9">U28/F28</f>
        <v>3.3669000000000002</v>
      </c>
      <c r="V29" s="130">
        <f t="shared" ref="V29" si="10">V28/F28</f>
        <v>4.66378</v>
      </c>
      <c r="W29" s="133">
        <f t="shared" ref="W29" si="11">W28/F28</f>
        <v>5.3861800000000004</v>
      </c>
      <c r="X29" s="129">
        <f>X28/F28</f>
        <v>3.2494499999999999</v>
      </c>
      <c r="Y29" s="130">
        <f>Y28/F28</f>
        <v>4.5010900000000005</v>
      </c>
      <c r="Z29" s="133">
        <f>Z28/F28</f>
        <v>5.1982900000000001</v>
      </c>
      <c r="AA29" s="132">
        <f>AA28/F28</f>
        <v>2.9362499999999998</v>
      </c>
      <c r="AB29" s="130">
        <f>AB28/F28</f>
        <v>4.0672499999999996</v>
      </c>
      <c r="AC29" s="133">
        <f>AC28/F28</f>
        <v>4.6972500000000004</v>
      </c>
      <c r="AD29" s="129">
        <f>AD28/F28</f>
        <v>2.7404999999999999</v>
      </c>
      <c r="AE29" s="131">
        <f>AE28/F28</f>
        <v>3.7961</v>
      </c>
      <c r="AF29" s="133">
        <f>AF28/F28</f>
        <v>4.3840999999999992</v>
      </c>
    </row>
    <row r="30" spans="1:32" s="115" customFormat="1" ht="20.100000000000001" customHeight="1">
      <c r="A30" s="123"/>
      <c r="B30" s="828" t="s">
        <v>183</v>
      </c>
      <c r="C30" s="829"/>
      <c r="D30" s="829"/>
      <c r="E30" s="830"/>
      <c r="F30" s="831">
        <v>1000</v>
      </c>
      <c r="G30" s="832">
        <f>F30*C31</f>
        <v>230</v>
      </c>
      <c r="H30" s="833">
        <f>D31*F30</f>
        <v>0</v>
      </c>
      <c r="I30" s="832">
        <f>F30*E31</f>
        <v>50</v>
      </c>
      <c r="J30" s="833">
        <f>G30*J23</f>
        <v>552</v>
      </c>
      <c r="K30" s="831">
        <f>G30*$K$23</f>
        <v>46</v>
      </c>
      <c r="L30" s="832">
        <f>G30*9%*6+G30*10%*6</f>
        <v>262.2</v>
      </c>
      <c r="M30" s="833">
        <f>H30*20%*12</f>
        <v>0</v>
      </c>
      <c r="N30" s="826">
        <f>I30*$N$23*36</f>
        <v>360</v>
      </c>
      <c r="O30" s="134">
        <f>J30+K30+(G30*10%)+(I30*20%)</f>
        <v>631</v>
      </c>
      <c r="P30" s="135">
        <f>J30+K30+L30+(I30*20%*12)</f>
        <v>980.2</v>
      </c>
      <c r="Q30" s="136">
        <f>J30+K30+L30+N30+M30</f>
        <v>1220.2</v>
      </c>
      <c r="R30" s="142">
        <f>O30*$T$22</f>
        <v>586.83000000000004</v>
      </c>
      <c r="S30" s="138">
        <f>P30*$T$22</f>
        <v>911.58600000000013</v>
      </c>
      <c r="T30" s="143">
        <f>Q30*$T$22</f>
        <v>1134.7860000000001</v>
      </c>
      <c r="U30" s="134">
        <f t="shared" ref="U30" si="12">O30*$W$22</f>
        <v>542.66</v>
      </c>
      <c r="V30" s="135">
        <f t="shared" ref="V30" si="13">P30*$W$22</f>
        <v>842.97199999999998</v>
      </c>
      <c r="W30" s="136">
        <f t="shared" ref="W30" si="14">Q30*$W$22</f>
        <v>1049.3720000000001</v>
      </c>
      <c r="X30" s="142">
        <f>O30*$Z$22</f>
        <v>523.73</v>
      </c>
      <c r="Y30" s="138">
        <f>P30*$Z$22</f>
        <v>813.56600000000003</v>
      </c>
      <c r="Z30" s="136">
        <f>Q30*$Z$22</f>
        <v>1012.766</v>
      </c>
      <c r="AA30" s="134">
        <f>O30*$AC$22</f>
        <v>473.25</v>
      </c>
      <c r="AB30" s="138">
        <f>P30*$AC$22</f>
        <v>735.15000000000009</v>
      </c>
      <c r="AC30" s="136">
        <f>Q30*$AC$22</f>
        <v>915.15000000000009</v>
      </c>
      <c r="AD30" s="142">
        <f>O30*$AF$22</f>
        <v>441.7</v>
      </c>
      <c r="AE30" s="139">
        <f>P30*$AF$22</f>
        <v>686.14</v>
      </c>
      <c r="AF30" s="136">
        <f>Q30*$AF$22</f>
        <v>854.14</v>
      </c>
    </row>
    <row r="31" spans="1:32" s="115" customFormat="1" ht="20.100000000000001" customHeight="1">
      <c r="A31" s="123"/>
      <c r="B31" s="281" t="s">
        <v>184</v>
      </c>
      <c r="C31" s="282">
        <v>0.23</v>
      </c>
      <c r="D31" s="279">
        <v>0</v>
      </c>
      <c r="E31" s="283">
        <v>0.05</v>
      </c>
      <c r="F31" s="831"/>
      <c r="G31" s="832"/>
      <c r="H31" s="834"/>
      <c r="I31" s="832"/>
      <c r="J31" s="834"/>
      <c r="K31" s="831"/>
      <c r="L31" s="832"/>
      <c r="M31" s="834"/>
      <c r="N31" s="827"/>
      <c r="O31" s="90">
        <f>O30/F30</f>
        <v>0.63100000000000001</v>
      </c>
      <c r="P31" s="27">
        <f>P30/F30</f>
        <v>0.98020000000000007</v>
      </c>
      <c r="Q31" s="28">
        <f>Q30/F30</f>
        <v>1.2202</v>
      </c>
      <c r="R31" s="129">
        <f>R30/F30</f>
        <v>0.58683000000000007</v>
      </c>
      <c r="S31" s="130">
        <f>S30/F30</f>
        <v>0.91158600000000012</v>
      </c>
      <c r="T31" s="131">
        <f>T30/F30</f>
        <v>1.1347860000000001</v>
      </c>
      <c r="U31" s="132">
        <f t="shared" ref="U31" si="15">U30/F30</f>
        <v>0.54265999999999992</v>
      </c>
      <c r="V31" s="130">
        <f t="shared" ref="V31" si="16">V30/F30</f>
        <v>0.84297199999999994</v>
      </c>
      <c r="W31" s="133">
        <f t="shared" ref="W31" si="17">W30/F30</f>
        <v>1.049372</v>
      </c>
      <c r="X31" s="129">
        <f>X30/F30</f>
        <v>0.52373000000000003</v>
      </c>
      <c r="Y31" s="130">
        <f>Y30/F30</f>
        <v>0.81356600000000001</v>
      </c>
      <c r="Z31" s="133">
        <f>Z30/F30</f>
        <v>1.0127660000000001</v>
      </c>
      <c r="AA31" s="132">
        <f>AA30/F30</f>
        <v>0.47325</v>
      </c>
      <c r="AB31" s="130">
        <f>AB30/F30</f>
        <v>0.73515000000000008</v>
      </c>
      <c r="AC31" s="133">
        <f>AC30/F30</f>
        <v>0.91515000000000013</v>
      </c>
      <c r="AD31" s="129">
        <f>AD30/F30</f>
        <v>0.44169999999999998</v>
      </c>
      <c r="AE31" s="131">
        <f>AE30/F30</f>
        <v>0.68613999999999997</v>
      </c>
      <c r="AF31" s="133">
        <f>AF30/F30</f>
        <v>0.85414000000000001</v>
      </c>
    </row>
    <row r="32" spans="1:32" s="115" customFormat="1" ht="21.75" customHeight="1">
      <c r="A32" s="123"/>
      <c r="B32" s="828" t="s">
        <v>185</v>
      </c>
      <c r="C32" s="829"/>
      <c r="D32" s="829"/>
      <c r="E32" s="830"/>
      <c r="F32" s="831">
        <v>1000</v>
      </c>
      <c r="G32" s="832">
        <f>F32*C33</f>
        <v>440</v>
      </c>
      <c r="H32" s="833">
        <f>D33*F32</f>
        <v>0</v>
      </c>
      <c r="I32" s="832">
        <f>F32*E33</f>
        <v>80</v>
      </c>
      <c r="J32" s="833">
        <f>G32*J23</f>
        <v>1056</v>
      </c>
      <c r="K32" s="831">
        <f>G32*$K$23</f>
        <v>88</v>
      </c>
      <c r="L32" s="832">
        <f>G32*9%*6+G32*10%*6</f>
        <v>501.6</v>
      </c>
      <c r="M32" s="833">
        <f>H32*20%*12</f>
        <v>0</v>
      </c>
      <c r="N32" s="826">
        <f>I32*$N$23*36</f>
        <v>576</v>
      </c>
      <c r="O32" s="134">
        <f>J32+K32+(G32*10%)+(I32*20%)</f>
        <v>1204</v>
      </c>
      <c r="P32" s="135">
        <f>J32+K32+L32+(I32*20%*12)</f>
        <v>1837.6</v>
      </c>
      <c r="Q32" s="136">
        <f>J32+K32+L32+N32+M32</f>
        <v>2221.6</v>
      </c>
      <c r="R32" s="142">
        <f>O32*$T$22</f>
        <v>1119.72</v>
      </c>
      <c r="S32" s="138">
        <f>P32*$T$22</f>
        <v>1708.9680000000001</v>
      </c>
      <c r="T32" s="143">
        <f>Q32*$T$22</f>
        <v>2066.0880000000002</v>
      </c>
      <c r="U32" s="134">
        <f t="shared" ref="U32" si="18">O32*$W$22</f>
        <v>1035.44</v>
      </c>
      <c r="V32" s="135">
        <f t="shared" ref="V32" si="19">P32*$W$22</f>
        <v>1580.3359999999998</v>
      </c>
      <c r="W32" s="136">
        <f t="shared" ref="W32" si="20">Q32*$W$22</f>
        <v>1910.5759999999998</v>
      </c>
      <c r="X32" s="142">
        <f>O32*$Z$22</f>
        <v>999.31999999999994</v>
      </c>
      <c r="Y32" s="138">
        <f>P32*$Z$22</f>
        <v>1525.2079999999999</v>
      </c>
      <c r="Z32" s="136">
        <f>Q32*$Z$22</f>
        <v>1843.9279999999999</v>
      </c>
      <c r="AA32" s="134">
        <f>O32*$AC$22</f>
        <v>903</v>
      </c>
      <c r="AB32" s="138">
        <f>P32*$AC$22</f>
        <v>1378.1999999999998</v>
      </c>
      <c r="AC32" s="136">
        <f>Q32*$AC$22</f>
        <v>1666.1999999999998</v>
      </c>
      <c r="AD32" s="142">
        <f>O32*$AF$22</f>
        <v>842.8</v>
      </c>
      <c r="AE32" s="139">
        <f>P32*$AF$22</f>
        <v>1286.32</v>
      </c>
      <c r="AF32" s="136">
        <f>Q32*$AF$22</f>
        <v>1555.12</v>
      </c>
    </row>
    <row r="33" spans="1:32" s="115" customFormat="1" ht="20.100000000000001" customHeight="1">
      <c r="A33" s="123"/>
      <c r="B33" s="281" t="s">
        <v>46</v>
      </c>
      <c r="C33" s="282">
        <v>0.44</v>
      </c>
      <c r="D33" s="279">
        <v>0</v>
      </c>
      <c r="E33" s="283">
        <v>0.08</v>
      </c>
      <c r="F33" s="831"/>
      <c r="G33" s="832"/>
      <c r="H33" s="834"/>
      <c r="I33" s="832"/>
      <c r="J33" s="834"/>
      <c r="K33" s="831"/>
      <c r="L33" s="832"/>
      <c r="M33" s="834"/>
      <c r="N33" s="827"/>
      <c r="O33" s="90">
        <f>O32/F32</f>
        <v>1.204</v>
      </c>
      <c r="P33" s="27">
        <f>P32/F32</f>
        <v>1.8375999999999999</v>
      </c>
      <c r="Q33" s="28">
        <f>Q32/F32</f>
        <v>2.2216</v>
      </c>
      <c r="R33" s="129">
        <f>R32/F32</f>
        <v>1.11972</v>
      </c>
      <c r="S33" s="130">
        <f>S32/F32</f>
        <v>1.708968</v>
      </c>
      <c r="T33" s="131">
        <f>T32/F32</f>
        <v>2.0660880000000001</v>
      </c>
      <c r="U33" s="132">
        <f t="shared" ref="U33" si="21">U32/F32</f>
        <v>1.0354400000000001</v>
      </c>
      <c r="V33" s="130">
        <f t="shared" ref="V33" si="22">V32/F32</f>
        <v>1.5803359999999997</v>
      </c>
      <c r="W33" s="133">
        <f t="shared" ref="W33" si="23">W32/F32</f>
        <v>1.9105759999999998</v>
      </c>
      <c r="X33" s="129">
        <f>X32/F32</f>
        <v>0.99931999999999999</v>
      </c>
      <c r="Y33" s="130">
        <f>Y32/F32</f>
        <v>1.5252079999999999</v>
      </c>
      <c r="Z33" s="133">
        <f>Z32/F32</f>
        <v>1.8439279999999998</v>
      </c>
      <c r="AA33" s="132">
        <f>AA32/F32</f>
        <v>0.90300000000000002</v>
      </c>
      <c r="AB33" s="130">
        <f>AB32/F32</f>
        <v>1.3781999999999999</v>
      </c>
      <c r="AC33" s="133">
        <f>AC32/F32</f>
        <v>1.6661999999999999</v>
      </c>
      <c r="AD33" s="129">
        <f>AD32/F32</f>
        <v>0.84279999999999999</v>
      </c>
      <c r="AE33" s="131">
        <f>AE32/F32</f>
        <v>1.2863199999999999</v>
      </c>
      <c r="AF33" s="133">
        <f>AF32/F32</f>
        <v>1.5551199999999998</v>
      </c>
    </row>
    <row r="34" spans="1:32" s="115" customFormat="1" ht="20.100000000000001" customHeight="1">
      <c r="A34" s="123"/>
      <c r="B34" s="828" t="s">
        <v>186</v>
      </c>
      <c r="C34" s="829"/>
      <c r="D34" s="829"/>
      <c r="E34" s="830"/>
      <c r="F34" s="831">
        <v>1000</v>
      </c>
      <c r="G34" s="832">
        <f>F34*C35</f>
        <v>1070</v>
      </c>
      <c r="H34" s="833">
        <f>D35*F34</f>
        <v>0</v>
      </c>
      <c r="I34" s="832" t="s">
        <v>122</v>
      </c>
      <c r="J34" s="833">
        <f>G34*J23</f>
        <v>2568</v>
      </c>
      <c r="K34" s="831">
        <f>G34*$K$23</f>
        <v>214</v>
      </c>
      <c r="L34" s="832">
        <f>G34*9%*6+G34*10%*6</f>
        <v>1219.8</v>
      </c>
      <c r="M34" s="833">
        <f>H34*20%*12</f>
        <v>0</v>
      </c>
      <c r="N34" s="826" t="s">
        <v>122</v>
      </c>
      <c r="O34" s="134">
        <f>J34+K34+(G34*10%)</f>
        <v>2889</v>
      </c>
      <c r="P34" s="135">
        <f>J34+K34+L34</f>
        <v>4001.8</v>
      </c>
      <c r="Q34" s="136">
        <f>J34+K34+L34+M34</f>
        <v>4001.8</v>
      </c>
      <c r="R34" s="142">
        <f>O34*$T$22</f>
        <v>2686.77</v>
      </c>
      <c r="S34" s="138">
        <f>P34*$T$22</f>
        <v>3721.6740000000004</v>
      </c>
      <c r="T34" s="143">
        <f>Q34*$T$22</f>
        <v>3721.6740000000004</v>
      </c>
      <c r="U34" s="134">
        <f t="shared" ref="U34" si="24">O34*$W$22</f>
        <v>2484.54</v>
      </c>
      <c r="V34" s="135">
        <f t="shared" ref="V34" si="25">P34*$W$22</f>
        <v>3441.5480000000002</v>
      </c>
      <c r="W34" s="136">
        <f t="shared" ref="W34" si="26">Q34*$W$22</f>
        <v>3441.5480000000002</v>
      </c>
      <c r="X34" s="142">
        <f>O34*$Z$22</f>
        <v>2397.87</v>
      </c>
      <c r="Y34" s="138">
        <f>P34*$Z$22</f>
        <v>3321.4940000000001</v>
      </c>
      <c r="Z34" s="136">
        <f>Q34*$Z$22</f>
        <v>3321.4940000000001</v>
      </c>
      <c r="AA34" s="134">
        <f>O34*$AC$22</f>
        <v>2166.75</v>
      </c>
      <c r="AB34" s="138">
        <f>P34*$AC$22</f>
        <v>3001.3500000000004</v>
      </c>
      <c r="AC34" s="136">
        <f>Q34*$AC$22</f>
        <v>3001.3500000000004</v>
      </c>
      <c r="AD34" s="142">
        <f>O34*$AF$22</f>
        <v>2022.3</v>
      </c>
      <c r="AE34" s="139">
        <f>P34*$AF$22</f>
        <v>2801.2599999999998</v>
      </c>
      <c r="AF34" s="136">
        <f>Q34*$AF$22</f>
        <v>2801.2599999999998</v>
      </c>
    </row>
    <row r="35" spans="1:32" s="115" customFormat="1" ht="19.5" customHeight="1">
      <c r="A35" s="123"/>
      <c r="B35" s="281" t="s">
        <v>187</v>
      </c>
      <c r="C35" s="282">
        <v>1.07</v>
      </c>
      <c r="D35" s="279">
        <v>0</v>
      </c>
      <c r="E35" s="283" t="s">
        <v>122</v>
      </c>
      <c r="F35" s="831"/>
      <c r="G35" s="832"/>
      <c r="H35" s="834"/>
      <c r="I35" s="832"/>
      <c r="J35" s="834"/>
      <c r="K35" s="831"/>
      <c r="L35" s="832"/>
      <c r="M35" s="834"/>
      <c r="N35" s="827"/>
      <c r="O35" s="90">
        <f>O34/F34</f>
        <v>2.8889999999999998</v>
      </c>
      <c r="P35" s="27">
        <f>P34/F34</f>
        <v>4.0018000000000002</v>
      </c>
      <c r="Q35" s="28">
        <f>Q34/F34</f>
        <v>4.0018000000000002</v>
      </c>
      <c r="R35" s="129">
        <f>R34/F34</f>
        <v>2.6867700000000001</v>
      </c>
      <c r="S35" s="130">
        <f>S34/F34</f>
        <v>3.7216740000000006</v>
      </c>
      <c r="T35" s="131">
        <f>T34/F34</f>
        <v>3.7216740000000006</v>
      </c>
      <c r="U35" s="132">
        <f t="shared" ref="U35" si="27">U34/F34</f>
        <v>2.48454</v>
      </c>
      <c r="V35" s="130">
        <f t="shared" ref="V35" si="28">V34/F34</f>
        <v>3.4415480000000001</v>
      </c>
      <c r="W35" s="133">
        <f t="shared" ref="W35" si="29">W34/F34</f>
        <v>3.4415480000000001</v>
      </c>
      <c r="X35" s="129">
        <f>X34/F34</f>
        <v>2.3978699999999997</v>
      </c>
      <c r="Y35" s="130">
        <f>Y34/F34</f>
        <v>3.3214939999999999</v>
      </c>
      <c r="Z35" s="133">
        <f>Z34/F34</f>
        <v>3.3214939999999999</v>
      </c>
      <c r="AA35" s="132">
        <f>AA34/F34</f>
        <v>2.16675</v>
      </c>
      <c r="AB35" s="130">
        <f>AB34/F34</f>
        <v>3.0013500000000004</v>
      </c>
      <c r="AC35" s="133">
        <f>AC34/F34</f>
        <v>3.0013500000000004</v>
      </c>
      <c r="AD35" s="129">
        <f>AD34/F34</f>
        <v>2.0223</v>
      </c>
      <c r="AE35" s="131">
        <f>AE34/F34</f>
        <v>2.8012599999999996</v>
      </c>
      <c r="AF35" s="133">
        <f>AF34/F34</f>
        <v>2.8012599999999996</v>
      </c>
    </row>
    <row r="36" spans="1:32" s="115" customFormat="1" ht="20.100000000000001" customHeight="1">
      <c r="A36" s="123"/>
      <c r="B36" s="828" t="s">
        <v>188</v>
      </c>
      <c r="C36" s="829"/>
      <c r="D36" s="829"/>
      <c r="E36" s="830"/>
      <c r="F36" s="831">
        <v>1000</v>
      </c>
      <c r="G36" s="832">
        <f>F36*C37</f>
        <v>2600</v>
      </c>
      <c r="H36" s="833">
        <f>D37*F36</f>
        <v>0</v>
      </c>
      <c r="I36" s="832" t="s">
        <v>122</v>
      </c>
      <c r="J36" s="833">
        <f>G36*J23</f>
        <v>6240</v>
      </c>
      <c r="K36" s="831">
        <f>G36*$K$23</f>
        <v>520</v>
      </c>
      <c r="L36" s="832">
        <f>G36*9%*6+G36*10%*6</f>
        <v>2964</v>
      </c>
      <c r="M36" s="833">
        <f>H36*20%*12</f>
        <v>0</v>
      </c>
      <c r="N36" s="826" t="s">
        <v>122</v>
      </c>
      <c r="O36" s="134">
        <f>J36+K36+(G36*10%)</f>
        <v>7020</v>
      </c>
      <c r="P36" s="135">
        <f>J36+K36+L36</f>
        <v>9724</v>
      </c>
      <c r="Q36" s="136">
        <f>J36+K36+L36+M36</f>
        <v>9724</v>
      </c>
      <c r="R36" s="142">
        <f>O36*$T$22</f>
        <v>6528.6</v>
      </c>
      <c r="S36" s="138">
        <f>P36*$T$22</f>
        <v>9043.32</v>
      </c>
      <c r="T36" s="143">
        <f>Q36*$T$22</f>
        <v>9043.32</v>
      </c>
      <c r="U36" s="134">
        <f t="shared" ref="U36" si="30">O36*$W$22</f>
        <v>6037.2</v>
      </c>
      <c r="V36" s="135">
        <f t="shared" ref="V36" si="31">P36*$W$22</f>
        <v>8362.64</v>
      </c>
      <c r="W36" s="136">
        <f t="shared" ref="W36" si="32">Q36*$W$22</f>
        <v>8362.64</v>
      </c>
      <c r="X36" s="142">
        <f>O36*$Z$22</f>
        <v>5826.5999999999995</v>
      </c>
      <c r="Y36" s="138">
        <f>P36*$Z$22</f>
        <v>8070.9199999999992</v>
      </c>
      <c r="Z36" s="136">
        <f>Q36*$Z$22</f>
        <v>8070.9199999999992</v>
      </c>
      <c r="AA36" s="134">
        <f>O36*$AC$22</f>
        <v>5265</v>
      </c>
      <c r="AB36" s="138">
        <f>P36*$AC$22</f>
        <v>7293</v>
      </c>
      <c r="AC36" s="136">
        <f>Q36*$AC$22</f>
        <v>7293</v>
      </c>
      <c r="AD36" s="142">
        <f>O36*$AF$22</f>
        <v>4914</v>
      </c>
      <c r="AE36" s="139">
        <f>P36*$AF$22</f>
        <v>6806.7999999999993</v>
      </c>
      <c r="AF36" s="136">
        <f>Q36*$AF$22</f>
        <v>6806.7999999999993</v>
      </c>
    </row>
    <row r="37" spans="1:32" s="115" customFormat="1" ht="19.5" customHeight="1">
      <c r="A37" s="123"/>
      <c r="B37" s="277" t="s">
        <v>181</v>
      </c>
      <c r="C37" s="282">
        <v>2.6</v>
      </c>
      <c r="D37" s="279">
        <v>0</v>
      </c>
      <c r="E37" s="283" t="s">
        <v>122</v>
      </c>
      <c r="F37" s="831"/>
      <c r="G37" s="832"/>
      <c r="H37" s="834"/>
      <c r="I37" s="832"/>
      <c r="J37" s="834"/>
      <c r="K37" s="831"/>
      <c r="L37" s="832"/>
      <c r="M37" s="834"/>
      <c r="N37" s="827"/>
      <c r="O37" s="90">
        <f>O36/F36</f>
        <v>7.02</v>
      </c>
      <c r="P37" s="27">
        <f>P36/F36</f>
        <v>9.7240000000000002</v>
      </c>
      <c r="Q37" s="28">
        <f>Q36/F36</f>
        <v>9.7240000000000002</v>
      </c>
      <c r="R37" s="129">
        <f>R36/F36</f>
        <v>6.5286</v>
      </c>
      <c r="S37" s="130">
        <f>S36/F36</f>
        <v>9.0433199999999996</v>
      </c>
      <c r="T37" s="131">
        <f>T36/F36</f>
        <v>9.0433199999999996</v>
      </c>
      <c r="U37" s="132">
        <f t="shared" ref="U37" si="33">U36/F36</f>
        <v>6.0371999999999995</v>
      </c>
      <c r="V37" s="130">
        <f t="shared" ref="V37" si="34">V36/F36</f>
        <v>8.362639999999999</v>
      </c>
      <c r="W37" s="133">
        <f t="shared" ref="W37" si="35">W36/F36</f>
        <v>8.362639999999999</v>
      </c>
      <c r="X37" s="129">
        <f>X36/F36</f>
        <v>5.8265999999999991</v>
      </c>
      <c r="Y37" s="130">
        <f>Y36/F36</f>
        <v>8.0709199999999992</v>
      </c>
      <c r="Z37" s="133">
        <f>Z36/F36</f>
        <v>8.0709199999999992</v>
      </c>
      <c r="AA37" s="132">
        <f>AA36/F36</f>
        <v>5.2649999999999997</v>
      </c>
      <c r="AB37" s="130">
        <f>AB36/F36</f>
        <v>7.2930000000000001</v>
      </c>
      <c r="AC37" s="133">
        <f>AC36/F36</f>
        <v>7.2930000000000001</v>
      </c>
      <c r="AD37" s="129">
        <f>AD36/F36</f>
        <v>4.9139999999999997</v>
      </c>
      <c r="AE37" s="131">
        <f>AE36/F36</f>
        <v>6.8067999999999991</v>
      </c>
      <c r="AF37" s="133">
        <f>AF36/F36</f>
        <v>6.8067999999999991</v>
      </c>
    </row>
    <row r="38" spans="1:32" s="115" customFormat="1" ht="20.100000000000001" customHeight="1">
      <c r="A38" s="123"/>
      <c r="B38" s="828" t="s">
        <v>189</v>
      </c>
      <c r="C38" s="829"/>
      <c r="D38" s="829"/>
      <c r="E38" s="830"/>
      <c r="F38" s="831">
        <v>1000</v>
      </c>
      <c r="G38" s="832">
        <f>F38*C39</f>
        <v>1830</v>
      </c>
      <c r="H38" s="833">
        <f>D39*F38</f>
        <v>0</v>
      </c>
      <c r="I38" s="832" t="s">
        <v>122</v>
      </c>
      <c r="J38" s="833">
        <f>G38*J23</f>
        <v>4392</v>
      </c>
      <c r="K38" s="831">
        <f>G38*$K$23</f>
        <v>366</v>
      </c>
      <c r="L38" s="832">
        <f>G38*9%*6+G38*10%*6</f>
        <v>2086.1999999999998</v>
      </c>
      <c r="M38" s="833">
        <f>H38*20%*12</f>
        <v>0</v>
      </c>
      <c r="N38" s="826" t="s">
        <v>122</v>
      </c>
      <c r="O38" s="134">
        <f>J38+K38+(G38*10%)</f>
        <v>4941</v>
      </c>
      <c r="P38" s="135">
        <f>J38+K38+L38</f>
        <v>6844.2</v>
      </c>
      <c r="Q38" s="136">
        <f>J38+K38+L38+M38</f>
        <v>6844.2</v>
      </c>
      <c r="R38" s="142">
        <f>O38*$T$22</f>
        <v>4595.13</v>
      </c>
      <c r="S38" s="138">
        <f>P38*$T$22</f>
        <v>6365.1059999999998</v>
      </c>
      <c r="T38" s="143">
        <f>Q38*$T$22</f>
        <v>6365.1059999999998</v>
      </c>
      <c r="U38" s="134">
        <f t="shared" ref="U38" si="36">O38*$W$22</f>
        <v>4249.26</v>
      </c>
      <c r="V38" s="135">
        <f t="shared" ref="V38" si="37">P38*$W$22</f>
        <v>5886.0119999999997</v>
      </c>
      <c r="W38" s="136">
        <f t="shared" ref="W38" si="38">Q38*$W$22</f>
        <v>5886.0119999999997</v>
      </c>
      <c r="X38" s="142">
        <f>O38*$Z$22</f>
        <v>4101.03</v>
      </c>
      <c r="Y38" s="138">
        <f>P38*$Z$22</f>
        <v>5680.6859999999997</v>
      </c>
      <c r="Z38" s="136">
        <f>Q38*$Z$22</f>
        <v>5680.6859999999997</v>
      </c>
      <c r="AA38" s="134">
        <f>O38*$AC$22</f>
        <v>3705.75</v>
      </c>
      <c r="AB38" s="138">
        <f>P38*$AC$22</f>
        <v>5133.1499999999996</v>
      </c>
      <c r="AC38" s="136">
        <f>Q38*$AC$22</f>
        <v>5133.1499999999996</v>
      </c>
      <c r="AD38" s="142">
        <f>O38*$AF$22</f>
        <v>3458.7</v>
      </c>
      <c r="AE38" s="139">
        <f>P38*$AF$22</f>
        <v>4790.9399999999996</v>
      </c>
      <c r="AF38" s="136">
        <f>Q38*$AF$22</f>
        <v>4790.9399999999996</v>
      </c>
    </row>
    <row r="39" spans="1:32" s="115" customFormat="1" ht="19.5" customHeight="1">
      <c r="A39" s="123"/>
      <c r="B39" s="277" t="s">
        <v>145</v>
      </c>
      <c r="C39" s="282">
        <v>1.83</v>
      </c>
      <c r="D39" s="279">
        <v>0</v>
      </c>
      <c r="E39" s="283" t="s">
        <v>122</v>
      </c>
      <c r="F39" s="831"/>
      <c r="G39" s="832"/>
      <c r="H39" s="834"/>
      <c r="I39" s="832"/>
      <c r="J39" s="834"/>
      <c r="K39" s="831"/>
      <c r="L39" s="832"/>
      <c r="M39" s="834"/>
      <c r="N39" s="827"/>
      <c r="O39" s="90">
        <f>O38/F38</f>
        <v>4.9409999999999998</v>
      </c>
      <c r="P39" s="27">
        <f>P38/F38</f>
        <v>6.8441999999999998</v>
      </c>
      <c r="Q39" s="28">
        <f>Q38/F38</f>
        <v>6.8441999999999998</v>
      </c>
      <c r="R39" s="129">
        <f>R38/F38</f>
        <v>4.5951300000000002</v>
      </c>
      <c r="S39" s="130">
        <f>S38/F38</f>
        <v>6.3651059999999999</v>
      </c>
      <c r="T39" s="131">
        <f>T38/F38</f>
        <v>6.3651059999999999</v>
      </c>
      <c r="U39" s="132">
        <f t="shared" ref="U39" si="39">U38/F38</f>
        <v>4.2492600000000005</v>
      </c>
      <c r="V39" s="130">
        <f t="shared" ref="V39" si="40">V38/F38</f>
        <v>5.886012</v>
      </c>
      <c r="W39" s="133">
        <f t="shared" ref="W39" si="41">W38/F38</f>
        <v>5.886012</v>
      </c>
      <c r="X39" s="129">
        <f>X38/F38</f>
        <v>4.1010299999999997</v>
      </c>
      <c r="Y39" s="130">
        <f>Y38/F38</f>
        <v>5.6806859999999997</v>
      </c>
      <c r="Z39" s="133">
        <f>Z38/F38</f>
        <v>5.6806859999999997</v>
      </c>
      <c r="AA39" s="132">
        <f>AA38/F38</f>
        <v>3.7057500000000001</v>
      </c>
      <c r="AB39" s="130">
        <f>AB38/F38</f>
        <v>5.1331499999999997</v>
      </c>
      <c r="AC39" s="133">
        <f>AC38/F38</f>
        <v>5.1331499999999997</v>
      </c>
      <c r="AD39" s="129">
        <f>AD38/F38</f>
        <v>3.4586999999999999</v>
      </c>
      <c r="AE39" s="131">
        <f>AE38/F38</f>
        <v>4.79094</v>
      </c>
      <c r="AF39" s="133">
        <f>AF38/F38</f>
        <v>4.79094</v>
      </c>
    </row>
    <row r="40" spans="1:32" s="115" customFormat="1" ht="20.100000000000001" customHeight="1">
      <c r="A40" s="123"/>
      <c r="B40" s="828" t="s">
        <v>141</v>
      </c>
      <c r="C40" s="829"/>
      <c r="D40" s="829"/>
      <c r="E40" s="830"/>
      <c r="F40" s="831">
        <v>1000</v>
      </c>
      <c r="G40" s="832">
        <f>F40*C41</f>
        <v>300</v>
      </c>
      <c r="H40" s="833">
        <f>D41*F40</f>
        <v>0</v>
      </c>
      <c r="I40" s="832" t="s">
        <v>122</v>
      </c>
      <c r="J40" s="833">
        <f>G40*54%</f>
        <v>162</v>
      </c>
      <c r="K40" s="831">
        <v>0</v>
      </c>
      <c r="L40" s="832">
        <f>G40*29%*10+G40*34%*1</f>
        <v>972</v>
      </c>
      <c r="M40" s="833">
        <f>H40*20%*12</f>
        <v>0</v>
      </c>
      <c r="N40" s="826" t="s">
        <v>122</v>
      </c>
      <c r="O40" s="134">
        <f>J40+K40+(G40*10%)</f>
        <v>192</v>
      </c>
      <c r="P40" s="135">
        <f>J40+K40+L40</f>
        <v>1134</v>
      </c>
      <c r="Q40" s="136">
        <f>J40+K40+L40+M40</f>
        <v>1134</v>
      </c>
      <c r="R40" s="142">
        <f>O40*$T$22</f>
        <v>178.56</v>
      </c>
      <c r="S40" s="138">
        <f>P40*$T$22</f>
        <v>1054.6200000000001</v>
      </c>
      <c r="T40" s="143">
        <f>Q40*$T$22</f>
        <v>1054.6200000000001</v>
      </c>
      <c r="U40" s="134">
        <f t="shared" ref="U40" si="42">O40*$W$22</f>
        <v>165.12</v>
      </c>
      <c r="V40" s="135">
        <f t="shared" ref="V40" si="43">P40*$W$22</f>
        <v>975.24</v>
      </c>
      <c r="W40" s="136">
        <f t="shared" ref="W40" si="44">Q40*$W$22</f>
        <v>975.24</v>
      </c>
      <c r="X40" s="142">
        <f>O40*$Z$22</f>
        <v>159.35999999999999</v>
      </c>
      <c r="Y40" s="138">
        <f>P40*$Z$22</f>
        <v>941.21999999999991</v>
      </c>
      <c r="Z40" s="136">
        <f>Q40*$Z$22</f>
        <v>941.21999999999991</v>
      </c>
      <c r="AA40" s="134">
        <f>O40*$AC$22</f>
        <v>144</v>
      </c>
      <c r="AB40" s="138">
        <f>P40*$AC$22</f>
        <v>850.5</v>
      </c>
      <c r="AC40" s="136">
        <f>Q40*$AC$22</f>
        <v>850.5</v>
      </c>
      <c r="AD40" s="142">
        <f>O40*$AF$22</f>
        <v>134.39999999999998</v>
      </c>
      <c r="AE40" s="139">
        <f>P40*$AF$22</f>
        <v>793.8</v>
      </c>
      <c r="AF40" s="136">
        <f>Q40*$AF$22</f>
        <v>793.8</v>
      </c>
    </row>
    <row r="41" spans="1:32" s="115" customFormat="1" ht="19.5" customHeight="1">
      <c r="A41" s="123"/>
      <c r="B41" s="281" t="s">
        <v>190</v>
      </c>
      <c r="C41" s="282">
        <v>0.3</v>
      </c>
      <c r="D41" s="279">
        <v>0</v>
      </c>
      <c r="E41" s="283" t="s">
        <v>122</v>
      </c>
      <c r="F41" s="831"/>
      <c r="G41" s="832"/>
      <c r="H41" s="834"/>
      <c r="I41" s="832"/>
      <c r="J41" s="834"/>
      <c r="K41" s="831"/>
      <c r="L41" s="832"/>
      <c r="M41" s="834"/>
      <c r="N41" s="827"/>
      <c r="O41" s="90">
        <f>O40/F40</f>
        <v>0.192</v>
      </c>
      <c r="P41" s="27">
        <f>P40/F40</f>
        <v>1.1339999999999999</v>
      </c>
      <c r="Q41" s="28">
        <f>Q40/F40</f>
        <v>1.1339999999999999</v>
      </c>
      <c r="R41" s="129">
        <f>R40/F40</f>
        <v>0.17856</v>
      </c>
      <c r="S41" s="130">
        <f>S40/F40</f>
        <v>1.0546200000000001</v>
      </c>
      <c r="T41" s="131">
        <f>T40/F40</f>
        <v>1.0546200000000001</v>
      </c>
      <c r="U41" s="132">
        <f t="shared" ref="U41" si="45">U40/F40</f>
        <v>0.16512000000000002</v>
      </c>
      <c r="V41" s="130">
        <f t="shared" ref="V41" si="46">V40/F40</f>
        <v>0.97524</v>
      </c>
      <c r="W41" s="133">
        <f t="shared" ref="W41" si="47">W40/F40</f>
        <v>0.97524</v>
      </c>
      <c r="X41" s="129">
        <f>X40/F40</f>
        <v>0.15935999999999997</v>
      </c>
      <c r="Y41" s="130">
        <f>Y40/F40</f>
        <v>0.94121999999999995</v>
      </c>
      <c r="Z41" s="133">
        <f>Z40/F40</f>
        <v>0.94121999999999995</v>
      </c>
      <c r="AA41" s="132">
        <f>AA40/F40</f>
        <v>0.14399999999999999</v>
      </c>
      <c r="AB41" s="130">
        <f>AB40/F40</f>
        <v>0.85050000000000003</v>
      </c>
      <c r="AC41" s="133">
        <f>AC40/F40</f>
        <v>0.85050000000000003</v>
      </c>
      <c r="AD41" s="129">
        <f>AD40/F40</f>
        <v>0.13439999999999996</v>
      </c>
      <c r="AE41" s="131">
        <f>AE40/F40</f>
        <v>0.79379999999999995</v>
      </c>
      <c r="AF41" s="133">
        <f>AF40/F40</f>
        <v>0.79379999999999995</v>
      </c>
    </row>
    <row r="42" spans="1:32" s="115" customFormat="1" ht="20.100000000000001" customHeight="1">
      <c r="A42" s="123"/>
      <c r="B42" s="828" t="s">
        <v>611</v>
      </c>
      <c r="C42" s="829"/>
      <c r="D42" s="829"/>
      <c r="E42" s="830"/>
      <c r="F42" s="941">
        <v>1000</v>
      </c>
      <c r="G42" s="834" t="s">
        <v>122</v>
      </c>
      <c r="H42" s="833" t="s">
        <v>122</v>
      </c>
      <c r="I42" s="834" t="s">
        <v>122</v>
      </c>
      <c r="J42" s="833" t="s">
        <v>122</v>
      </c>
      <c r="K42" s="922" t="s">
        <v>122</v>
      </c>
      <c r="L42" s="921" t="s">
        <v>122</v>
      </c>
      <c r="M42" s="833" t="s">
        <v>122</v>
      </c>
      <c r="N42" s="826" t="s">
        <v>122</v>
      </c>
      <c r="O42" s="134">
        <f>F42*C43</f>
        <v>15</v>
      </c>
      <c r="P42" s="135">
        <f>F42*C43</f>
        <v>15</v>
      </c>
      <c r="Q42" s="136">
        <f>F42*C43</f>
        <v>15</v>
      </c>
      <c r="R42" s="142">
        <f>O42*$T$22</f>
        <v>13.950000000000001</v>
      </c>
      <c r="S42" s="138">
        <f>P42*$T$22</f>
        <v>13.950000000000001</v>
      </c>
      <c r="T42" s="139">
        <f>Q42*$T$22</f>
        <v>13.950000000000001</v>
      </c>
      <c r="U42" s="134">
        <f t="shared" ref="U42" si="48">O42*$W$22</f>
        <v>12.9</v>
      </c>
      <c r="V42" s="135">
        <f t="shared" ref="V42" si="49">P42*$W$22</f>
        <v>12.9</v>
      </c>
      <c r="W42" s="136">
        <f t="shared" ref="W42" si="50">Q42*$W$22</f>
        <v>12.9</v>
      </c>
      <c r="X42" s="142">
        <f>O42*$Z$22</f>
        <v>12.45</v>
      </c>
      <c r="Y42" s="138">
        <f>P42*$Z$22</f>
        <v>12.45</v>
      </c>
      <c r="Z42" s="141">
        <f>Q42*$Z$22</f>
        <v>12.45</v>
      </c>
      <c r="AA42" s="134">
        <f>O42*$AC$22</f>
        <v>11.25</v>
      </c>
      <c r="AB42" s="138">
        <f>P42*$AC$22</f>
        <v>11.25</v>
      </c>
      <c r="AC42" s="141">
        <f>Q42*$AC$22</f>
        <v>11.25</v>
      </c>
      <c r="AD42" s="142">
        <f>O42*$AF$22</f>
        <v>10.5</v>
      </c>
      <c r="AE42" s="139">
        <f>P42*$AF$22</f>
        <v>10.5</v>
      </c>
      <c r="AF42" s="141">
        <f>Q42*$AF$22</f>
        <v>10.5</v>
      </c>
    </row>
    <row r="43" spans="1:32" s="115" customFormat="1" ht="20.100000000000001" customHeight="1" thickBot="1">
      <c r="A43" s="123"/>
      <c r="B43" s="284" t="s">
        <v>191</v>
      </c>
      <c r="C43" s="534">
        <v>1.4999999999999999E-2</v>
      </c>
      <c r="D43" s="273">
        <v>0</v>
      </c>
      <c r="E43" s="285" t="s">
        <v>122</v>
      </c>
      <c r="F43" s="942"/>
      <c r="G43" s="943"/>
      <c r="H43" s="944"/>
      <c r="I43" s="943"/>
      <c r="J43" s="944"/>
      <c r="K43" s="945"/>
      <c r="L43" s="944"/>
      <c r="M43" s="944"/>
      <c r="N43" s="940"/>
      <c r="O43" s="97">
        <f>O42/F42</f>
        <v>1.4999999999999999E-2</v>
      </c>
      <c r="P43" s="144">
        <f>P42/F42</f>
        <v>1.4999999999999999E-2</v>
      </c>
      <c r="Q43" s="99">
        <f>Q42/F42</f>
        <v>1.4999999999999999E-2</v>
      </c>
      <c r="R43" s="145">
        <f>R42/F42</f>
        <v>1.3950000000000001E-2</v>
      </c>
      <c r="S43" s="146">
        <f>S42/F42</f>
        <v>1.3950000000000001E-2</v>
      </c>
      <c r="T43" s="147">
        <f>T42/F42</f>
        <v>1.3950000000000001E-2</v>
      </c>
      <c r="U43" s="148">
        <f t="shared" ref="U43" si="51">U42/F42</f>
        <v>1.29E-2</v>
      </c>
      <c r="V43" s="146">
        <f t="shared" ref="V43" si="52">V42/F42</f>
        <v>1.29E-2</v>
      </c>
      <c r="W43" s="149">
        <f t="shared" ref="W43" si="53">W42/F42</f>
        <v>1.29E-2</v>
      </c>
      <c r="X43" s="145">
        <f>X42/F42</f>
        <v>1.2449999999999999E-2</v>
      </c>
      <c r="Y43" s="146">
        <f>Y42/F42</f>
        <v>1.2449999999999999E-2</v>
      </c>
      <c r="Z43" s="149">
        <f>Z42/F42</f>
        <v>1.2449999999999999E-2</v>
      </c>
      <c r="AA43" s="148">
        <f>AA42/F42</f>
        <v>1.125E-2</v>
      </c>
      <c r="AB43" s="146">
        <f>AB42/F42</f>
        <v>1.125E-2</v>
      </c>
      <c r="AC43" s="149">
        <f>AC42/F42</f>
        <v>1.125E-2</v>
      </c>
      <c r="AD43" s="145">
        <f>AD42/F42</f>
        <v>1.0500000000000001E-2</v>
      </c>
      <c r="AE43" s="147">
        <f>AE42/F42</f>
        <v>1.0500000000000001E-2</v>
      </c>
      <c r="AF43" s="149">
        <f>AF42/F42</f>
        <v>1.0500000000000001E-2</v>
      </c>
    </row>
    <row r="44" spans="1:32" s="115" customFormat="1" ht="20.100000000000001" customHeight="1">
      <c r="F44" s="114"/>
      <c r="G44" s="114"/>
      <c r="H44" s="114"/>
      <c r="I44" s="114"/>
      <c r="J44" s="114"/>
      <c r="K44" s="150"/>
    </row>
    <row r="45" spans="1:32" s="115" customFormat="1" ht="20.100000000000001" customHeight="1">
      <c r="B45" s="116" t="s">
        <v>123</v>
      </c>
      <c r="C45" s="116"/>
      <c r="D45" s="116"/>
      <c r="E45" s="116"/>
      <c r="F45" s="114"/>
      <c r="G45" s="114"/>
      <c r="H45" s="114"/>
      <c r="I45" s="114"/>
      <c r="J45" s="114"/>
      <c r="S45" s="151"/>
    </row>
    <row r="46" spans="1:32" s="151" customFormat="1" ht="20.100000000000001" customHeight="1">
      <c r="B46" s="152" t="s">
        <v>192</v>
      </c>
      <c r="F46" s="121"/>
      <c r="G46" s="121"/>
      <c r="H46" s="121"/>
      <c r="I46" s="121"/>
      <c r="J46" s="121"/>
    </row>
    <row r="47" spans="1:32" s="153" customFormat="1" ht="20.100000000000001" customHeight="1">
      <c r="B47" s="153" t="s">
        <v>51</v>
      </c>
      <c r="F47" s="154"/>
      <c r="G47" s="154"/>
      <c r="H47" s="154"/>
      <c r="I47" s="154"/>
    </row>
    <row r="48" spans="1:32" s="73" customFormat="1" ht="18" customHeight="1">
      <c r="B48" s="73" t="s">
        <v>718</v>
      </c>
      <c r="C48" s="76"/>
      <c r="D48" s="76"/>
      <c r="E48" s="76"/>
      <c r="O48" s="483"/>
      <c r="P48" s="244"/>
    </row>
    <row r="49" spans="1:10" s="115" customFormat="1" ht="18" customHeight="1">
      <c r="B49" s="115" t="s">
        <v>193</v>
      </c>
      <c r="F49" s="114"/>
      <c r="G49" s="114"/>
      <c r="H49" s="114"/>
      <c r="I49" s="114"/>
      <c r="J49" s="114"/>
    </row>
    <row r="50" spans="1:10" s="115" customFormat="1" ht="18" customHeight="1">
      <c r="B50" s="152" t="s">
        <v>146</v>
      </c>
      <c r="C50" s="152"/>
      <c r="D50" s="152"/>
      <c r="E50" s="152"/>
      <c r="F50" s="114"/>
      <c r="G50" s="114"/>
      <c r="H50" s="114"/>
      <c r="I50" s="114"/>
      <c r="J50" s="114"/>
    </row>
    <row r="51" spans="1:10" s="21" customFormat="1" ht="13.5">
      <c r="B51" s="388" t="s">
        <v>124</v>
      </c>
    </row>
    <row r="52" spans="1:10" customFormat="1" ht="18" customHeight="1">
      <c r="A52" s="18"/>
      <c r="B52" s="389" t="s">
        <v>130</v>
      </c>
      <c r="C52" s="369"/>
      <c r="D52" s="368"/>
      <c r="E52" s="377"/>
      <c r="F52" s="370"/>
      <c r="G52" s="370"/>
      <c r="H52" s="370"/>
    </row>
  </sheetData>
  <mergeCells count="144">
    <mergeCell ref="N42:N43"/>
    <mergeCell ref="B42:E42"/>
    <mergeCell ref="F42:F43"/>
    <mergeCell ref="G42:G43"/>
    <mergeCell ref="H42:H43"/>
    <mergeCell ref="I42:I43"/>
    <mergeCell ref="J42:J43"/>
    <mergeCell ref="K42:K43"/>
    <mergeCell ref="L42:L43"/>
    <mergeCell ref="M42:M43"/>
    <mergeCell ref="J26:J27"/>
    <mergeCell ref="K26:K27"/>
    <mergeCell ref="B38:E38"/>
    <mergeCell ref="F38:F39"/>
    <mergeCell ref="G38:G39"/>
    <mergeCell ref="H38:H39"/>
    <mergeCell ref="I38:I39"/>
    <mergeCell ref="J38:J39"/>
    <mergeCell ref="B32:E32"/>
    <mergeCell ref="F32:F33"/>
    <mergeCell ref="G32:G33"/>
    <mergeCell ref="H32:H33"/>
    <mergeCell ref="I32:I33"/>
    <mergeCell ref="B36:E36"/>
    <mergeCell ref="F36:F37"/>
    <mergeCell ref="G36:G37"/>
    <mergeCell ref="H36:H37"/>
    <mergeCell ref="I36:I37"/>
    <mergeCell ref="B26:E26"/>
    <mergeCell ref="F26:F27"/>
    <mergeCell ref="G26:G27"/>
    <mergeCell ref="B34:E34"/>
    <mergeCell ref="F34:F35"/>
    <mergeCell ref="G34:G35"/>
    <mergeCell ref="H34:H35"/>
    <mergeCell ref="I34:I35"/>
    <mergeCell ref="H26:H27"/>
    <mergeCell ref="I26:I27"/>
    <mergeCell ref="N32:N33"/>
    <mergeCell ref="J34:J35"/>
    <mergeCell ref="K34:K35"/>
    <mergeCell ref="L38:L39"/>
    <mergeCell ref="M38:M39"/>
    <mergeCell ref="N38:N39"/>
    <mergeCell ref="L34:L35"/>
    <mergeCell ref="M34:M35"/>
    <mergeCell ref="N34:N35"/>
    <mergeCell ref="J32:J33"/>
    <mergeCell ref="K32:K33"/>
    <mergeCell ref="J36:J37"/>
    <mergeCell ref="N36:N37"/>
    <mergeCell ref="K38:K39"/>
    <mergeCell ref="L32:L33"/>
    <mergeCell ref="M32:M33"/>
    <mergeCell ref="K36:K37"/>
    <mergeCell ref="L36:L37"/>
    <mergeCell ref="M36:M37"/>
    <mergeCell ref="N28:N29"/>
    <mergeCell ref="N30:N31"/>
    <mergeCell ref="B30:E30"/>
    <mergeCell ref="F30:F31"/>
    <mergeCell ref="G30:G31"/>
    <mergeCell ref="H30:H31"/>
    <mergeCell ref="I30:I31"/>
    <mergeCell ref="J28:J29"/>
    <mergeCell ref="K28:K29"/>
    <mergeCell ref="L28:L29"/>
    <mergeCell ref="M28:M29"/>
    <mergeCell ref="B28:E28"/>
    <mergeCell ref="F28:F29"/>
    <mergeCell ref="G28:G29"/>
    <mergeCell ref="H28:H29"/>
    <mergeCell ref="I28:I29"/>
    <mergeCell ref="J30:J31"/>
    <mergeCell ref="K30:K31"/>
    <mergeCell ref="L30:L31"/>
    <mergeCell ref="M30:M31"/>
    <mergeCell ref="L26:L27"/>
    <mergeCell ref="M26:M27"/>
    <mergeCell ref="X22:Y22"/>
    <mergeCell ref="AA22:AB22"/>
    <mergeCell ref="AD22:AE22"/>
    <mergeCell ref="L22:M22"/>
    <mergeCell ref="O22:Q22"/>
    <mergeCell ref="R22:S22"/>
    <mergeCell ref="L24:L25"/>
    <mergeCell ref="M24:M25"/>
    <mergeCell ref="N24:N25"/>
    <mergeCell ref="N26:N27"/>
    <mergeCell ref="U22:V22"/>
    <mergeCell ref="B24:E24"/>
    <mergeCell ref="F24:F25"/>
    <mergeCell ref="G24:G25"/>
    <mergeCell ref="H24:H25"/>
    <mergeCell ref="I24:I25"/>
    <mergeCell ref="J24:J25"/>
    <mergeCell ref="K24:K25"/>
    <mergeCell ref="B22:E22"/>
    <mergeCell ref="F22:F23"/>
    <mergeCell ref="G22:I22"/>
    <mergeCell ref="S13:AA15"/>
    <mergeCell ref="C15:E15"/>
    <mergeCell ref="F15:R15"/>
    <mergeCell ref="B16:E16"/>
    <mergeCell ref="F16:R16"/>
    <mergeCell ref="S16:AA16"/>
    <mergeCell ref="B13:B15"/>
    <mergeCell ref="F13:R13"/>
    <mergeCell ref="C13:E14"/>
    <mergeCell ref="F14:R14"/>
    <mergeCell ref="B10:E12"/>
    <mergeCell ref="F10:R10"/>
    <mergeCell ref="S10:AA12"/>
    <mergeCell ref="F11:H11"/>
    <mergeCell ref="I11:J11"/>
    <mergeCell ref="K11:L11"/>
    <mergeCell ref="M11:N11"/>
    <mergeCell ref="O11:P11"/>
    <mergeCell ref="Q11:R11"/>
    <mergeCell ref="F12:H12"/>
    <mergeCell ref="I12:J12"/>
    <mergeCell ref="K12:L12"/>
    <mergeCell ref="M12:N12"/>
    <mergeCell ref="O12:P12"/>
    <mergeCell ref="Q12:R12"/>
    <mergeCell ref="B7:E7"/>
    <mergeCell ref="F7:R7"/>
    <mergeCell ref="S7:AA7"/>
    <mergeCell ref="F9:R9"/>
    <mergeCell ref="S9:AA9"/>
    <mergeCell ref="F8:R8"/>
    <mergeCell ref="S8:AA8"/>
    <mergeCell ref="B8:E9"/>
    <mergeCell ref="B1:AF1"/>
    <mergeCell ref="N40:N41"/>
    <mergeCell ref="B40:E40"/>
    <mergeCell ref="F40:F41"/>
    <mergeCell ref="G40:G41"/>
    <mergeCell ref="H40:H41"/>
    <mergeCell ref="I40:I41"/>
    <mergeCell ref="J40:J41"/>
    <mergeCell ref="K40:K41"/>
    <mergeCell ref="L40:L41"/>
    <mergeCell ref="M40:M41"/>
  </mergeCells>
  <phoneticPr fontId="4" type="noConversion"/>
  <printOptions horizontalCentered="1"/>
  <pageMargins left="0.15748031496062992" right="0.15748031496062992" top="0.35433070866141736" bottom="0.19685039370078741"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E51"/>
  <sheetViews>
    <sheetView workbookViewId="0"/>
  </sheetViews>
  <sheetFormatPr defaultRowHeight="12"/>
  <cols>
    <col min="1" max="1" width="0.875" style="119" customWidth="1"/>
    <col min="2" max="2" width="5.25" style="119" customWidth="1"/>
    <col min="3" max="3" width="13.25" style="119" customWidth="1"/>
    <col min="4" max="8" width="8.75" style="119" customWidth="1"/>
    <col min="9" max="13" width="7.75" style="119" customWidth="1"/>
    <col min="14" max="27" width="8.75" style="119" customWidth="1"/>
    <col min="28" max="31" width="8.5" style="119" customWidth="1"/>
    <col min="32" max="16384" width="9" style="119"/>
  </cols>
  <sheetData>
    <row r="1" spans="1:31" s="112" customFormat="1" ht="30" customHeight="1" thickBot="1">
      <c r="B1" s="999" t="s">
        <v>730</v>
      </c>
      <c r="C1" s="999"/>
      <c r="D1" s="999"/>
      <c r="E1" s="999"/>
      <c r="F1" s="999"/>
      <c r="G1" s="999"/>
      <c r="H1" s="999"/>
      <c r="I1" s="999"/>
      <c r="J1" s="999"/>
      <c r="K1" s="999"/>
      <c r="L1" s="999"/>
      <c r="M1" s="999"/>
      <c r="N1" s="999"/>
      <c r="O1" s="999"/>
      <c r="P1" s="999"/>
      <c r="Q1" s="999"/>
      <c r="R1" s="999"/>
      <c r="S1" s="999"/>
      <c r="T1" s="999"/>
      <c r="U1" s="999"/>
      <c r="V1" s="999"/>
      <c r="W1" s="999"/>
      <c r="X1" s="999"/>
      <c r="Y1" s="999"/>
      <c r="Z1" s="999"/>
      <c r="AA1" s="999"/>
      <c r="AB1" s="999"/>
      <c r="AC1" s="999"/>
      <c r="AD1" s="999"/>
      <c r="AE1" s="999"/>
    </row>
    <row r="2" spans="1:31" s="112" customFormat="1" ht="4.5" customHeight="1" thickTop="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31" s="113" customFormat="1" ht="21.75" customHeight="1">
      <c r="A3" s="78"/>
      <c r="B3" s="79" t="s">
        <v>474</v>
      </c>
      <c r="C3" s="78"/>
      <c r="D3" s="78"/>
      <c r="E3" s="78"/>
      <c r="F3" s="78"/>
      <c r="G3" s="78"/>
      <c r="H3" s="78"/>
      <c r="I3" s="78"/>
      <c r="J3" s="78"/>
      <c r="K3" s="78"/>
      <c r="L3" s="78"/>
      <c r="M3" s="78"/>
      <c r="N3" s="78"/>
      <c r="O3" s="78"/>
      <c r="P3" s="78"/>
      <c r="Q3" s="78"/>
      <c r="R3" s="78"/>
      <c r="S3" s="78"/>
      <c r="T3" s="78"/>
      <c r="U3" s="78"/>
      <c r="V3" s="78"/>
      <c r="W3" s="78"/>
      <c r="X3" s="78"/>
      <c r="Y3" s="78"/>
      <c r="Z3" s="78"/>
      <c r="AA3" s="78"/>
      <c r="AB3" s="78"/>
      <c r="AC3" s="78"/>
    </row>
    <row r="4" spans="1:31" s="113" customFormat="1" ht="21.75" customHeight="1">
      <c r="A4" s="78"/>
      <c r="B4" s="80" t="s">
        <v>475</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31" s="114" customFormat="1" ht="18" customHeight="1">
      <c r="B5" s="77"/>
      <c r="C5" s="155"/>
      <c r="F5" s="115"/>
      <c r="G5" s="115"/>
      <c r="H5" s="115"/>
      <c r="I5" s="115"/>
      <c r="J5" s="115"/>
      <c r="K5" s="115"/>
      <c r="L5" s="115"/>
    </row>
    <row r="6" spans="1:31" s="114" customFormat="1" ht="18" customHeight="1" thickBot="1">
      <c r="B6" s="116" t="s">
        <v>476</v>
      </c>
      <c r="E6" s="117"/>
      <c r="F6" s="115"/>
      <c r="G6" s="115"/>
      <c r="H6" s="115"/>
      <c r="I6" s="115"/>
      <c r="J6" s="115"/>
    </row>
    <row r="7" spans="1:31" s="118" customFormat="1" ht="18" customHeight="1">
      <c r="B7" s="967" t="s">
        <v>477</v>
      </c>
      <c r="C7" s="968"/>
      <c r="D7" s="969"/>
      <c r="E7" s="970" t="s">
        <v>478</v>
      </c>
      <c r="F7" s="970"/>
      <c r="G7" s="970"/>
      <c r="H7" s="970"/>
      <c r="I7" s="970"/>
      <c r="J7" s="970"/>
      <c r="K7" s="970"/>
      <c r="L7" s="970"/>
      <c r="M7" s="971"/>
      <c r="N7" s="971" t="s">
        <v>479</v>
      </c>
      <c r="O7" s="968"/>
      <c r="P7" s="968"/>
      <c r="Q7" s="968"/>
      <c r="R7" s="968"/>
      <c r="S7" s="968"/>
      <c r="T7" s="968"/>
      <c r="U7" s="968"/>
      <c r="V7" s="969"/>
      <c r="W7" s="114"/>
      <c r="X7" s="114"/>
      <c r="Y7" s="114"/>
      <c r="Z7" s="114"/>
      <c r="AA7" s="114"/>
      <c r="AB7" s="114"/>
      <c r="AC7" s="114"/>
    </row>
    <row r="8" spans="1:31" s="118" customFormat="1" ht="18" customHeight="1">
      <c r="B8" s="973" t="s">
        <v>480</v>
      </c>
      <c r="C8" s="910"/>
      <c r="D8" s="911"/>
      <c r="E8" s="972" t="s">
        <v>481</v>
      </c>
      <c r="F8" s="972"/>
      <c r="G8" s="972"/>
      <c r="H8" s="972"/>
      <c r="I8" s="972"/>
      <c r="J8" s="972"/>
      <c r="K8" s="972"/>
      <c r="L8" s="972"/>
      <c r="M8" s="972"/>
      <c r="N8" s="975"/>
      <c r="O8" s="976"/>
      <c r="P8" s="976"/>
      <c r="Q8" s="976"/>
      <c r="R8" s="976"/>
      <c r="S8" s="976"/>
      <c r="T8" s="976"/>
      <c r="U8" s="976"/>
      <c r="V8" s="977"/>
      <c r="W8" s="114"/>
      <c r="X8" s="114"/>
      <c r="Y8" s="114"/>
      <c r="Z8" s="114"/>
      <c r="AA8" s="114"/>
      <c r="AB8" s="114"/>
      <c r="AC8" s="114"/>
    </row>
    <row r="9" spans="1:31" s="118" customFormat="1" ht="18" customHeight="1">
      <c r="B9" s="974"/>
      <c r="C9" s="913"/>
      <c r="D9" s="914"/>
      <c r="E9" s="981" t="s">
        <v>482</v>
      </c>
      <c r="F9" s="982"/>
      <c r="G9" s="982"/>
      <c r="H9" s="982"/>
      <c r="I9" s="982"/>
      <c r="J9" s="982"/>
      <c r="K9" s="982"/>
      <c r="L9" s="982"/>
      <c r="M9" s="983"/>
      <c r="N9" s="978"/>
      <c r="O9" s="979"/>
      <c r="P9" s="979"/>
      <c r="Q9" s="979"/>
      <c r="R9" s="979"/>
      <c r="S9" s="979"/>
      <c r="T9" s="979"/>
      <c r="U9" s="979"/>
      <c r="V9" s="980"/>
      <c r="W9" s="114"/>
      <c r="X9" s="114"/>
      <c r="Y9" s="114"/>
      <c r="Z9" s="114"/>
      <c r="AA9" s="114"/>
      <c r="AB9" s="114"/>
      <c r="AC9" s="114"/>
    </row>
    <row r="10" spans="1:31" s="118" customFormat="1" ht="18" customHeight="1">
      <c r="B10" s="1004" t="s">
        <v>483</v>
      </c>
      <c r="C10" s="891"/>
      <c r="D10" s="1005"/>
      <c r="E10" s="984" t="s">
        <v>484</v>
      </c>
      <c r="F10" s="984"/>
      <c r="G10" s="984"/>
      <c r="H10" s="984"/>
      <c r="I10" s="984"/>
      <c r="J10" s="984"/>
      <c r="K10" s="984"/>
      <c r="L10" s="984"/>
      <c r="M10" s="984"/>
      <c r="N10" s="1006" t="s">
        <v>485</v>
      </c>
      <c r="O10" s="1006"/>
      <c r="P10" s="1006"/>
      <c r="Q10" s="1006"/>
      <c r="R10" s="1006"/>
      <c r="S10" s="1006"/>
      <c r="T10" s="1006"/>
      <c r="U10" s="1006"/>
      <c r="V10" s="1007"/>
      <c r="W10" s="114"/>
      <c r="X10" s="114"/>
      <c r="Y10" s="114"/>
      <c r="Z10" s="114"/>
      <c r="AA10" s="114"/>
      <c r="AB10" s="114"/>
      <c r="AC10" s="114"/>
    </row>
    <row r="11" spans="1:31" s="118" customFormat="1" ht="18" customHeight="1">
      <c r="B11" s="1004"/>
      <c r="C11" s="891"/>
      <c r="D11" s="1005"/>
      <c r="E11" s="982" t="s">
        <v>486</v>
      </c>
      <c r="F11" s="982"/>
      <c r="G11" s="982"/>
      <c r="H11" s="982"/>
      <c r="I11" s="982"/>
      <c r="J11" s="982"/>
      <c r="K11" s="982"/>
      <c r="L11" s="982"/>
      <c r="M11" s="982"/>
      <c r="N11" s="1006"/>
      <c r="O11" s="1006"/>
      <c r="P11" s="1006"/>
      <c r="Q11" s="1006"/>
      <c r="R11" s="1006"/>
      <c r="S11" s="1006"/>
      <c r="T11" s="1006"/>
      <c r="U11" s="1006"/>
      <c r="V11" s="1007"/>
      <c r="W11" s="114"/>
      <c r="X11" s="114"/>
      <c r="Y11" s="114"/>
      <c r="Z11" s="114"/>
      <c r="AA11" s="114"/>
      <c r="AB11" s="114"/>
      <c r="AC11" s="114"/>
    </row>
    <row r="12" spans="1:31" s="118" customFormat="1" ht="18" customHeight="1">
      <c r="B12" s="973" t="s">
        <v>487</v>
      </c>
      <c r="C12" s="910"/>
      <c r="D12" s="911"/>
      <c r="E12" s="1001" t="s">
        <v>488</v>
      </c>
      <c r="F12" s="1002"/>
      <c r="G12" s="1002"/>
      <c r="H12" s="1002"/>
      <c r="I12" s="1002"/>
      <c r="J12" s="1002"/>
      <c r="K12" s="1002"/>
      <c r="L12" s="1002"/>
      <c r="M12" s="1003"/>
      <c r="N12" s="975" t="s">
        <v>489</v>
      </c>
      <c r="O12" s="976"/>
      <c r="P12" s="976"/>
      <c r="Q12" s="976"/>
      <c r="R12" s="976"/>
      <c r="S12" s="976"/>
      <c r="T12" s="976"/>
      <c r="U12" s="976"/>
      <c r="V12" s="977"/>
      <c r="W12" s="114"/>
      <c r="X12" s="114"/>
      <c r="Y12" s="114"/>
      <c r="Z12" s="114"/>
      <c r="AA12" s="114"/>
      <c r="AB12" s="114"/>
      <c r="AC12" s="114"/>
    </row>
    <row r="13" spans="1:31" s="118" customFormat="1" ht="18" customHeight="1" thickBot="1">
      <c r="B13" s="1008"/>
      <c r="C13" s="1009"/>
      <c r="D13" s="1010"/>
      <c r="E13" s="1014" t="s">
        <v>490</v>
      </c>
      <c r="F13" s="1015"/>
      <c r="G13" s="1015"/>
      <c r="H13" s="1015"/>
      <c r="I13" s="1015"/>
      <c r="J13" s="1015"/>
      <c r="K13" s="1015"/>
      <c r="L13" s="1015"/>
      <c r="M13" s="1016"/>
      <c r="N13" s="1011"/>
      <c r="O13" s="1012"/>
      <c r="P13" s="1012"/>
      <c r="Q13" s="1012"/>
      <c r="R13" s="1012"/>
      <c r="S13" s="1012"/>
      <c r="T13" s="1012"/>
      <c r="U13" s="1012"/>
      <c r="V13" s="1013"/>
      <c r="W13" s="114"/>
      <c r="X13" s="114"/>
      <c r="Y13" s="114"/>
      <c r="Z13" s="114"/>
      <c r="AA13" s="114"/>
      <c r="AB13" s="114"/>
      <c r="AC13" s="114"/>
    </row>
    <row r="14" spans="1:31" s="118" customFormat="1" ht="18" customHeight="1">
      <c r="B14" s="577"/>
      <c r="C14" s="577"/>
      <c r="D14" s="577"/>
      <c r="E14" s="577"/>
      <c r="F14" s="577"/>
      <c r="G14" s="577"/>
      <c r="H14" s="577"/>
      <c r="I14" s="577"/>
      <c r="J14" s="577"/>
      <c r="K14" s="577"/>
      <c r="L14" s="577"/>
      <c r="M14" s="577"/>
      <c r="N14" s="577"/>
      <c r="O14" s="577"/>
      <c r="AA14" s="114"/>
      <c r="AB14" s="114"/>
      <c r="AC14" s="114"/>
    </row>
    <row r="15" spans="1:31" s="115" customFormat="1" ht="18" customHeight="1">
      <c r="B15" s="35" t="s">
        <v>491</v>
      </c>
      <c r="D15" s="114"/>
      <c r="E15" s="114"/>
      <c r="F15" s="114"/>
      <c r="AA15" s="114"/>
      <c r="AB15" s="114"/>
      <c r="AC15" s="114"/>
    </row>
    <row r="16" spans="1:31" s="34" customFormat="1" ht="25.5" customHeight="1">
      <c r="B16" s="423" t="s">
        <v>492</v>
      </c>
      <c r="C16" s="423"/>
      <c r="D16" s="423"/>
      <c r="E16" s="423"/>
      <c r="F16" s="423"/>
      <c r="G16" s="423"/>
      <c r="H16" s="424"/>
      <c r="I16" s="424"/>
      <c r="J16" s="425"/>
      <c r="K16" s="425"/>
      <c r="L16" s="425"/>
      <c r="M16" s="424"/>
      <c r="N16" s="424"/>
      <c r="O16" s="424"/>
      <c r="P16" s="424"/>
      <c r="Q16" s="424"/>
      <c r="R16" s="424"/>
      <c r="S16" s="424"/>
      <c r="T16" s="424"/>
      <c r="U16" s="424"/>
      <c r="V16" s="424"/>
      <c r="W16" s="424"/>
      <c r="X16" s="424"/>
      <c r="Y16" s="424"/>
    </row>
    <row r="17" spans="1:31" s="34" customFormat="1" ht="24" customHeight="1">
      <c r="A17" s="29"/>
      <c r="B17" s="30" t="s">
        <v>493</v>
      </c>
      <c r="C17" s="31"/>
      <c r="D17" s="31"/>
      <c r="E17" s="31"/>
      <c r="F17" s="31"/>
      <c r="G17" s="31"/>
      <c r="H17" s="32"/>
      <c r="I17" s="32"/>
      <c r="J17" s="33"/>
      <c r="K17" s="33"/>
      <c r="L17" s="33"/>
      <c r="M17" s="32"/>
      <c r="N17" s="32"/>
      <c r="O17" s="32"/>
      <c r="P17" s="32"/>
      <c r="Q17" s="32"/>
      <c r="R17" s="32"/>
      <c r="S17" s="32"/>
      <c r="T17" s="32"/>
      <c r="U17" s="32"/>
      <c r="V17" s="32"/>
      <c r="W17" s="32"/>
      <c r="X17" s="32"/>
      <c r="Y17" s="32"/>
      <c r="Z17" s="29"/>
      <c r="AA17" s="29"/>
    </row>
    <row r="18" spans="1:31" s="122" customFormat="1" ht="7.5" customHeight="1" thickBot="1">
      <c r="A18" s="115"/>
      <c r="B18" s="35"/>
      <c r="C18" s="115"/>
      <c r="D18" s="114"/>
      <c r="E18" s="114"/>
      <c r="F18" s="114"/>
      <c r="G18" s="115"/>
      <c r="H18" s="115"/>
      <c r="I18" s="115"/>
      <c r="J18" s="115"/>
      <c r="K18" s="115"/>
      <c r="L18" s="115"/>
      <c r="M18" s="115"/>
      <c r="N18" s="115"/>
      <c r="O18" s="115"/>
      <c r="P18" s="115"/>
      <c r="Q18" s="115"/>
      <c r="R18" s="115"/>
      <c r="S18" s="115"/>
      <c r="T18" s="115"/>
      <c r="U18" s="115"/>
      <c r="V18" s="115"/>
      <c r="W18" s="115"/>
      <c r="X18" s="115"/>
      <c r="Y18" s="115"/>
      <c r="Z18" s="115"/>
      <c r="AA18" s="115"/>
      <c r="AB18" s="114"/>
    </row>
    <row r="19" spans="1:31" s="115" customFormat="1" ht="21.75" customHeight="1">
      <c r="A19" s="156"/>
      <c r="B19" s="923" t="s">
        <v>494</v>
      </c>
      <c r="C19" s="924"/>
      <c r="D19" s="924"/>
      <c r="E19" s="925"/>
      <c r="F19" s="1017" t="s">
        <v>495</v>
      </c>
      <c r="G19" s="1018" t="s">
        <v>496</v>
      </c>
      <c r="H19" s="985" t="s">
        <v>480</v>
      </c>
      <c r="I19" s="987" t="s">
        <v>483</v>
      </c>
      <c r="J19" s="988"/>
      <c r="K19" s="989"/>
      <c r="L19" s="935" t="s">
        <v>497</v>
      </c>
      <c r="M19" s="937"/>
      <c r="N19" s="1017" t="s">
        <v>498</v>
      </c>
      <c r="O19" s="1018"/>
      <c r="P19" s="1019"/>
      <c r="Q19" s="990" t="s">
        <v>499</v>
      </c>
      <c r="R19" s="991"/>
      <c r="S19" s="286">
        <v>0.93</v>
      </c>
      <c r="T19" s="990" t="s">
        <v>500</v>
      </c>
      <c r="U19" s="991"/>
      <c r="V19" s="286">
        <v>0.86</v>
      </c>
      <c r="W19" s="990" t="s">
        <v>238</v>
      </c>
      <c r="X19" s="991"/>
      <c r="Y19" s="286">
        <v>0.83</v>
      </c>
      <c r="Z19" s="990" t="s">
        <v>501</v>
      </c>
      <c r="AA19" s="991"/>
      <c r="AB19" s="286">
        <v>0.75</v>
      </c>
      <c r="AC19" s="934" t="s">
        <v>502</v>
      </c>
      <c r="AD19" s="1000"/>
      <c r="AE19" s="286">
        <v>0.7</v>
      </c>
    </row>
    <row r="20" spans="1:31" s="115" customFormat="1" ht="15" customHeight="1">
      <c r="A20" s="156"/>
      <c r="B20" s="1020" t="s">
        <v>503</v>
      </c>
      <c r="C20" s="1021" t="s">
        <v>504</v>
      </c>
      <c r="D20" s="1023" t="s">
        <v>505</v>
      </c>
      <c r="E20" s="993" t="s">
        <v>506</v>
      </c>
      <c r="F20" s="1026"/>
      <c r="G20" s="1028"/>
      <c r="H20" s="986"/>
      <c r="I20" s="250" t="s">
        <v>507</v>
      </c>
      <c r="J20" s="250" t="s">
        <v>508</v>
      </c>
      <c r="K20" s="394" t="s">
        <v>509</v>
      </c>
      <c r="L20" s="292" t="s">
        <v>84</v>
      </c>
      <c r="M20" s="395" t="s">
        <v>99</v>
      </c>
      <c r="N20" s="960" t="s">
        <v>510</v>
      </c>
      <c r="O20" s="962" t="s">
        <v>511</v>
      </c>
      <c r="P20" s="958" t="s">
        <v>52</v>
      </c>
      <c r="Q20" s="960" t="s">
        <v>512</v>
      </c>
      <c r="R20" s="962" t="s">
        <v>511</v>
      </c>
      <c r="S20" s="958" t="s">
        <v>513</v>
      </c>
      <c r="T20" s="960" t="s">
        <v>512</v>
      </c>
      <c r="U20" s="962" t="s">
        <v>511</v>
      </c>
      <c r="V20" s="958" t="s">
        <v>513</v>
      </c>
      <c r="W20" s="960" t="s">
        <v>512</v>
      </c>
      <c r="X20" s="962" t="s">
        <v>511</v>
      </c>
      <c r="Y20" s="958" t="s">
        <v>513</v>
      </c>
      <c r="Z20" s="960" t="s">
        <v>512</v>
      </c>
      <c r="AA20" s="962" t="s">
        <v>511</v>
      </c>
      <c r="AB20" s="958" t="s">
        <v>513</v>
      </c>
      <c r="AC20" s="964" t="s">
        <v>512</v>
      </c>
      <c r="AD20" s="962" t="s">
        <v>511</v>
      </c>
      <c r="AE20" s="958" t="s">
        <v>513</v>
      </c>
    </row>
    <row r="21" spans="1:31" s="115" customFormat="1" ht="15" customHeight="1" thickBot="1">
      <c r="A21" s="156"/>
      <c r="B21" s="951"/>
      <c r="C21" s="1022"/>
      <c r="D21" s="1024"/>
      <c r="E21" s="1025"/>
      <c r="F21" s="1027"/>
      <c r="G21" s="1029"/>
      <c r="H21" s="396">
        <v>2.4500000000000002</v>
      </c>
      <c r="I21" s="397">
        <v>0.05</v>
      </c>
      <c r="J21" s="397">
        <v>0.05</v>
      </c>
      <c r="K21" s="397">
        <v>0.2</v>
      </c>
      <c r="L21" s="398"/>
      <c r="M21" s="579"/>
      <c r="N21" s="961"/>
      <c r="O21" s="963"/>
      <c r="P21" s="959"/>
      <c r="Q21" s="961"/>
      <c r="R21" s="963"/>
      <c r="S21" s="959"/>
      <c r="T21" s="966"/>
      <c r="U21" s="992"/>
      <c r="V21" s="993"/>
      <c r="W21" s="961"/>
      <c r="X21" s="963"/>
      <c r="Y21" s="959"/>
      <c r="Z21" s="961"/>
      <c r="AA21" s="963"/>
      <c r="AB21" s="959"/>
      <c r="AC21" s="965"/>
      <c r="AD21" s="963"/>
      <c r="AE21" s="959"/>
    </row>
    <row r="22" spans="1:31" s="115" customFormat="1" ht="18" customHeight="1">
      <c r="A22" s="156"/>
      <c r="B22" s="996" t="s">
        <v>514</v>
      </c>
      <c r="C22" s="916" t="s">
        <v>515</v>
      </c>
      <c r="D22" s="916"/>
      <c r="E22" s="917"/>
      <c r="F22" s="952">
        <v>1000</v>
      </c>
      <c r="G22" s="946">
        <f>F22*D23</f>
        <v>2700</v>
      </c>
      <c r="H22" s="946">
        <f>G22*$H$21</f>
        <v>6615.0000000000009</v>
      </c>
      <c r="I22" s="946">
        <f>G22*$I$21*5</f>
        <v>675</v>
      </c>
      <c r="J22" s="946">
        <f>G22*$J$21*6</f>
        <v>810</v>
      </c>
      <c r="K22" s="946">
        <f>G22*$K$21*3</f>
        <v>1620</v>
      </c>
      <c r="L22" s="946" t="s">
        <v>516</v>
      </c>
      <c r="M22" s="947" t="s">
        <v>516</v>
      </c>
      <c r="N22" s="124">
        <f>H22+I22</f>
        <v>7290.0000000000009</v>
      </c>
      <c r="O22" s="295">
        <f>N22+J22</f>
        <v>8100.0000000000009</v>
      </c>
      <c r="P22" s="126">
        <f>O22+K22</f>
        <v>9720</v>
      </c>
      <c r="Q22" s="124">
        <f>N22*$S$19</f>
        <v>6779.7000000000016</v>
      </c>
      <c r="R22" s="125">
        <f>O22*$S$19</f>
        <v>7533.0000000000009</v>
      </c>
      <c r="S22" s="128">
        <f>P22*$S$19</f>
        <v>9039.6</v>
      </c>
      <c r="T22" s="124">
        <f>N22*$V$19</f>
        <v>6269.4000000000005</v>
      </c>
      <c r="U22" s="125">
        <f t="shared" ref="U22:V22" si="0">O22*$V$19</f>
        <v>6966.0000000000009</v>
      </c>
      <c r="V22" s="126">
        <f t="shared" si="0"/>
        <v>8359.2000000000007</v>
      </c>
      <c r="W22" s="127">
        <f>N22*$Y$19</f>
        <v>6050.7000000000007</v>
      </c>
      <c r="X22" s="125">
        <f>O22*$Y$19</f>
        <v>6723</v>
      </c>
      <c r="Y22" s="126">
        <f>P22*$Y$19</f>
        <v>8067.5999999999995</v>
      </c>
      <c r="Z22" s="124">
        <f>N22*$AB$19</f>
        <v>5467.5000000000009</v>
      </c>
      <c r="AA22" s="125">
        <f>O22*$AB$19</f>
        <v>6075.0000000000009</v>
      </c>
      <c r="AB22" s="126">
        <f>P22*$AB$19</f>
        <v>7290</v>
      </c>
      <c r="AC22" s="127">
        <f>N22*$AE$19</f>
        <v>5103</v>
      </c>
      <c r="AD22" s="125">
        <f>O22*$AE$19</f>
        <v>5670</v>
      </c>
      <c r="AE22" s="126">
        <f>P22*$AE$19</f>
        <v>6804</v>
      </c>
    </row>
    <row r="23" spans="1:31" s="115" customFormat="1" ht="18" customHeight="1">
      <c r="A23" s="156"/>
      <c r="B23" s="997"/>
      <c r="C23" s="399" t="s">
        <v>53</v>
      </c>
      <c r="D23" s="293">
        <v>2.7</v>
      </c>
      <c r="E23" s="578" t="s">
        <v>517</v>
      </c>
      <c r="F23" s="954"/>
      <c r="G23" s="832"/>
      <c r="H23" s="832"/>
      <c r="I23" s="832"/>
      <c r="J23" s="832"/>
      <c r="K23" s="832"/>
      <c r="L23" s="832"/>
      <c r="M23" s="955"/>
      <c r="N23" s="400">
        <f>N22/F22</f>
        <v>7.2900000000000009</v>
      </c>
      <c r="O23" s="401">
        <f>O22/F22</f>
        <v>8.1000000000000014</v>
      </c>
      <c r="P23" s="402">
        <f>P22/F22</f>
        <v>9.7200000000000006</v>
      </c>
      <c r="Q23" s="403">
        <f>Q22/F22</f>
        <v>6.7797000000000018</v>
      </c>
      <c r="R23" s="404">
        <f>R22/F22</f>
        <v>7.5330000000000013</v>
      </c>
      <c r="S23" s="576">
        <f>S22/F22</f>
        <v>9.0396000000000001</v>
      </c>
      <c r="T23" s="403">
        <f>T22/F22</f>
        <v>6.269400000000001</v>
      </c>
      <c r="U23" s="404">
        <f>U22/F22</f>
        <v>6.9660000000000011</v>
      </c>
      <c r="V23" s="405">
        <f>V22/F22</f>
        <v>8.3592000000000013</v>
      </c>
      <c r="W23" s="575">
        <f>W22/F22</f>
        <v>6.0507000000000009</v>
      </c>
      <c r="X23" s="404">
        <f>X22/F22</f>
        <v>6.7229999999999999</v>
      </c>
      <c r="Y23" s="405">
        <f>Y22/F22</f>
        <v>8.0675999999999988</v>
      </c>
      <c r="Z23" s="403">
        <f>Z22/F22</f>
        <v>5.4675000000000011</v>
      </c>
      <c r="AA23" s="404">
        <f>AA22/F22</f>
        <v>6.0750000000000011</v>
      </c>
      <c r="AB23" s="405">
        <f>AB22/F22</f>
        <v>7.29</v>
      </c>
      <c r="AC23" s="575">
        <f>AC22/F22</f>
        <v>5.1029999999999998</v>
      </c>
      <c r="AD23" s="404">
        <f>AD22/F22</f>
        <v>5.67</v>
      </c>
      <c r="AE23" s="405">
        <f>AE22/F22</f>
        <v>6.8040000000000003</v>
      </c>
    </row>
    <row r="24" spans="1:31" s="115" customFormat="1" ht="18" customHeight="1">
      <c r="A24" s="156"/>
      <c r="B24" s="997"/>
      <c r="C24" s="956" t="s">
        <v>518</v>
      </c>
      <c r="D24" s="956"/>
      <c r="E24" s="957"/>
      <c r="F24" s="954">
        <v>1000</v>
      </c>
      <c r="G24" s="832">
        <f>F24*D25</f>
        <v>2500</v>
      </c>
      <c r="H24" s="832">
        <f>G24*$H$21</f>
        <v>6125</v>
      </c>
      <c r="I24" s="832">
        <f>G24*$I$21*5</f>
        <v>625</v>
      </c>
      <c r="J24" s="832">
        <f>G24*$J$21*6</f>
        <v>750</v>
      </c>
      <c r="K24" s="832">
        <f>G24*$K$21*3</f>
        <v>1500</v>
      </c>
      <c r="L24" s="832" t="s">
        <v>516</v>
      </c>
      <c r="M24" s="955" t="s">
        <v>516</v>
      </c>
      <c r="N24" s="134">
        <f>H24+I24</f>
        <v>6750</v>
      </c>
      <c r="O24" s="296">
        <f>N24+J24</f>
        <v>7500</v>
      </c>
      <c r="P24" s="136">
        <f>O24+K24</f>
        <v>9000</v>
      </c>
      <c r="Q24" s="134">
        <f>N24*$S$19</f>
        <v>6277.5</v>
      </c>
      <c r="R24" s="135">
        <f>O24*$S$19</f>
        <v>6975</v>
      </c>
      <c r="S24" s="143">
        <f>P24*$S$19</f>
        <v>8370</v>
      </c>
      <c r="T24" s="134">
        <f t="shared" ref="T24:V24" si="1">N24*$V$19</f>
        <v>5805</v>
      </c>
      <c r="U24" s="135">
        <f t="shared" si="1"/>
        <v>6450</v>
      </c>
      <c r="V24" s="136">
        <f t="shared" si="1"/>
        <v>7740</v>
      </c>
      <c r="W24" s="142">
        <f>N24*$Y$19</f>
        <v>5602.5</v>
      </c>
      <c r="X24" s="135">
        <f>O24*$Y$19</f>
        <v>6225</v>
      </c>
      <c r="Y24" s="136">
        <f>P24*$Y$19</f>
        <v>7470</v>
      </c>
      <c r="Z24" s="134">
        <f>N24*$AB$19</f>
        <v>5062.5</v>
      </c>
      <c r="AA24" s="135">
        <f>O24*$AB$19</f>
        <v>5625</v>
      </c>
      <c r="AB24" s="136">
        <f>P24*$AB$19</f>
        <v>6750</v>
      </c>
      <c r="AC24" s="142">
        <f>N24*$AE$19</f>
        <v>4725</v>
      </c>
      <c r="AD24" s="135">
        <f>O24*$AE$19</f>
        <v>5250</v>
      </c>
      <c r="AE24" s="136">
        <f>P24*$AE$19</f>
        <v>6300</v>
      </c>
    </row>
    <row r="25" spans="1:31" s="115" customFormat="1" ht="18" customHeight="1">
      <c r="A25" s="156"/>
      <c r="B25" s="997"/>
      <c r="C25" s="399" t="s">
        <v>519</v>
      </c>
      <c r="D25" s="293">
        <v>2.5</v>
      </c>
      <c r="E25" s="578" t="s">
        <v>517</v>
      </c>
      <c r="F25" s="954"/>
      <c r="G25" s="832"/>
      <c r="H25" s="832"/>
      <c r="I25" s="832"/>
      <c r="J25" s="832"/>
      <c r="K25" s="832"/>
      <c r="L25" s="832"/>
      <c r="M25" s="955"/>
      <c r="N25" s="400">
        <f>N24/F24</f>
        <v>6.75</v>
      </c>
      <c r="O25" s="401">
        <f>O24/F24</f>
        <v>7.5</v>
      </c>
      <c r="P25" s="402">
        <f>P24/F24</f>
        <v>9</v>
      </c>
      <c r="Q25" s="403">
        <f>Q24/F24</f>
        <v>6.2774999999999999</v>
      </c>
      <c r="R25" s="404">
        <f>R24/F24</f>
        <v>6.9749999999999996</v>
      </c>
      <c r="S25" s="576">
        <f>S24/F24</f>
        <v>8.3699999999999992</v>
      </c>
      <c r="T25" s="403">
        <f t="shared" ref="T25" si="2">T24/F24</f>
        <v>5.8049999999999997</v>
      </c>
      <c r="U25" s="404">
        <f t="shared" ref="U25" si="3">U24/F24</f>
        <v>6.45</v>
      </c>
      <c r="V25" s="405">
        <f t="shared" ref="V25" si="4">V24/F24</f>
        <v>7.74</v>
      </c>
      <c r="W25" s="575">
        <f>W24/F24</f>
        <v>5.6025</v>
      </c>
      <c r="X25" s="404">
        <f>X24/F24</f>
        <v>6.2249999999999996</v>
      </c>
      <c r="Y25" s="405">
        <f>Y24/F24</f>
        <v>7.47</v>
      </c>
      <c r="Z25" s="403">
        <f>Z24/F24</f>
        <v>5.0625</v>
      </c>
      <c r="AA25" s="404">
        <f>AA24/F24</f>
        <v>5.625</v>
      </c>
      <c r="AB25" s="405">
        <f>AB24/F24</f>
        <v>6.75</v>
      </c>
      <c r="AC25" s="575">
        <f>AC24/F24</f>
        <v>4.7249999999999996</v>
      </c>
      <c r="AD25" s="404">
        <f>AD24/F24</f>
        <v>5.25</v>
      </c>
      <c r="AE25" s="405">
        <f>AE24/F24</f>
        <v>6.3</v>
      </c>
    </row>
    <row r="26" spans="1:31" s="115" customFormat="1" ht="18" customHeight="1">
      <c r="A26" s="156"/>
      <c r="B26" s="997"/>
      <c r="C26" s="956" t="s">
        <v>539</v>
      </c>
      <c r="D26" s="956"/>
      <c r="E26" s="957"/>
      <c r="F26" s="954">
        <v>1000</v>
      </c>
      <c r="G26" s="832">
        <f>F26*D27</f>
        <v>2600</v>
      </c>
      <c r="H26" s="832">
        <f>G26*$H$21</f>
        <v>6370.0000000000009</v>
      </c>
      <c r="I26" s="832">
        <f>G26*$I$21*5</f>
        <v>650</v>
      </c>
      <c r="J26" s="832">
        <f>G26*$J$21*6</f>
        <v>780</v>
      </c>
      <c r="K26" s="832">
        <f>G26*$K$21*3</f>
        <v>1560</v>
      </c>
      <c r="L26" s="832" t="s">
        <v>516</v>
      </c>
      <c r="M26" s="955" t="s">
        <v>516</v>
      </c>
      <c r="N26" s="134">
        <f>H26+I26</f>
        <v>7020.0000000000009</v>
      </c>
      <c r="O26" s="296">
        <f>N26+J26</f>
        <v>7800.0000000000009</v>
      </c>
      <c r="P26" s="136">
        <f>O26+K26</f>
        <v>9360</v>
      </c>
      <c r="Q26" s="134">
        <f>N26*$S$19</f>
        <v>6528.6000000000013</v>
      </c>
      <c r="R26" s="135">
        <f>O26*$S$19</f>
        <v>7254.0000000000009</v>
      </c>
      <c r="S26" s="143">
        <f>P26*$S$19</f>
        <v>8704.8000000000011</v>
      </c>
      <c r="T26" s="134">
        <f t="shared" ref="T26:V26" si="5">N26*$V$19</f>
        <v>6037.2000000000007</v>
      </c>
      <c r="U26" s="135">
        <f t="shared" si="5"/>
        <v>6708.0000000000009</v>
      </c>
      <c r="V26" s="136">
        <f t="shared" si="5"/>
        <v>8049.5999999999995</v>
      </c>
      <c r="W26" s="142">
        <f>N26*$Y$19</f>
        <v>5826.6</v>
      </c>
      <c r="X26" s="135">
        <f>O26*$Y$19</f>
        <v>6474</v>
      </c>
      <c r="Y26" s="136">
        <f>P26*$Y$19</f>
        <v>7768.7999999999993</v>
      </c>
      <c r="Z26" s="134">
        <f>N26*$AB$19</f>
        <v>5265.0000000000009</v>
      </c>
      <c r="AA26" s="135">
        <f>O26*$AB$19</f>
        <v>5850.0000000000009</v>
      </c>
      <c r="AB26" s="136">
        <f>P26*$AB$19</f>
        <v>7020</v>
      </c>
      <c r="AC26" s="142">
        <f>N26*$AE$19</f>
        <v>4914</v>
      </c>
      <c r="AD26" s="135">
        <f>O26*$AE$19</f>
        <v>5460</v>
      </c>
      <c r="AE26" s="136">
        <f>P26*$AE$19</f>
        <v>6552</v>
      </c>
    </row>
    <row r="27" spans="1:31" s="115" customFormat="1" ht="18" customHeight="1">
      <c r="A27" s="156"/>
      <c r="B27" s="997"/>
      <c r="C27" s="399" t="s">
        <v>519</v>
      </c>
      <c r="D27" s="293">
        <v>2.6</v>
      </c>
      <c r="E27" s="578" t="s">
        <v>517</v>
      </c>
      <c r="F27" s="954"/>
      <c r="G27" s="832"/>
      <c r="H27" s="832"/>
      <c r="I27" s="832"/>
      <c r="J27" s="832"/>
      <c r="K27" s="832"/>
      <c r="L27" s="832"/>
      <c r="M27" s="955"/>
      <c r="N27" s="400">
        <f>N26/F26</f>
        <v>7.0200000000000014</v>
      </c>
      <c r="O27" s="401">
        <f>O26/F26</f>
        <v>7.8000000000000007</v>
      </c>
      <c r="P27" s="402">
        <f>P26/F26</f>
        <v>9.36</v>
      </c>
      <c r="Q27" s="403">
        <f>Q26/F26</f>
        <v>6.5286000000000008</v>
      </c>
      <c r="R27" s="404">
        <f>R26/F26</f>
        <v>7.2540000000000013</v>
      </c>
      <c r="S27" s="576">
        <f>S26/F26</f>
        <v>8.7048000000000005</v>
      </c>
      <c r="T27" s="403">
        <f t="shared" ref="T27" si="6">T26/F26</f>
        <v>6.0372000000000003</v>
      </c>
      <c r="U27" s="404">
        <f t="shared" ref="U27" si="7">U26/F26</f>
        <v>6.7080000000000011</v>
      </c>
      <c r="V27" s="405">
        <f t="shared" ref="V27" si="8">V26/F26</f>
        <v>8.0495999999999999</v>
      </c>
      <c r="W27" s="575">
        <f>W26/F26</f>
        <v>5.8266</v>
      </c>
      <c r="X27" s="404">
        <f>X26/F26</f>
        <v>6.4740000000000002</v>
      </c>
      <c r="Y27" s="405">
        <f>Y26/F26</f>
        <v>7.7687999999999997</v>
      </c>
      <c r="Z27" s="403">
        <f>Z26/F26</f>
        <v>5.2650000000000006</v>
      </c>
      <c r="AA27" s="404">
        <f>AA26/F26</f>
        <v>5.8500000000000005</v>
      </c>
      <c r="AB27" s="405">
        <f>AB26/F26</f>
        <v>7.02</v>
      </c>
      <c r="AC27" s="575">
        <f>AC26/F26</f>
        <v>4.9139999999999997</v>
      </c>
      <c r="AD27" s="404">
        <f>AD26/F26</f>
        <v>5.46</v>
      </c>
      <c r="AE27" s="405">
        <f>AE26/F26</f>
        <v>6.5519999999999996</v>
      </c>
    </row>
    <row r="28" spans="1:31" s="115" customFormat="1" ht="18" customHeight="1">
      <c r="A28" s="156"/>
      <c r="B28" s="997"/>
      <c r="C28" s="956" t="s">
        <v>520</v>
      </c>
      <c r="D28" s="956"/>
      <c r="E28" s="957"/>
      <c r="F28" s="954">
        <v>1000</v>
      </c>
      <c r="G28" s="832">
        <f>F28*D29</f>
        <v>2700</v>
      </c>
      <c r="H28" s="832">
        <f>G28*$H$21</f>
        <v>6615.0000000000009</v>
      </c>
      <c r="I28" s="832">
        <f>G28*$I$21*5</f>
        <v>675</v>
      </c>
      <c r="J28" s="832">
        <f>G28*$J$21*6</f>
        <v>810</v>
      </c>
      <c r="K28" s="832">
        <f>G28*$K$21*3</f>
        <v>1620</v>
      </c>
      <c r="L28" s="832" t="s">
        <v>516</v>
      </c>
      <c r="M28" s="955" t="s">
        <v>516</v>
      </c>
      <c r="N28" s="134">
        <f>H28+I28</f>
        <v>7290.0000000000009</v>
      </c>
      <c r="O28" s="296">
        <f>N28+J28</f>
        <v>8100.0000000000009</v>
      </c>
      <c r="P28" s="136">
        <f>O28+K28</f>
        <v>9720</v>
      </c>
      <c r="Q28" s="134">
        <f>N28*$S$19</f>
        <v>6779.7000000000016</v>
      </c>
      <c r="R28" s="135">
        <f>O28*$S$19</f>
        <v>7533.0000000000009</v>
      </c>
      <c r="S28" s="143">
        <f>P28*$S$19</f>
        <v>9039.6</v>
      </c>
      <c r="T28" s="134">
        <f t="shared" ref="T28:V28" si="9">N28*$V$19</f>
        <v>6269.4000000000005</v>
      </c>
      <c r="U28" s="135">
        <f t="shared" si="9"/>
        <v>6966.0000000000009</v>
      </c>
      <c r="V28" s="136">
        <f t="shared" si="9"/>
        <v>8359.2000000000007</v>
      </c>
      <c r="W28" s="142">
        <f>N28*$Y$19</f>
        <v>6050.7000000000007</v>
      </c>
      <c r="X28" s="135">
        <f>O28*$Y$19</f>
        <v>6723</v>
      </c>
      <c r="Y28" s="136">
        <f>P28*$Y$19</f>
        <v>8067.5999999999995</v>
      </c>
      <c r="Z28" s="134">
        <f>N28*$AB$19</f>
        <v>5467.5000000000009</v>
      </c>
      <c r="AA28" s="135">
        <f>O28*$AB$19</f>
        <v>6075.0000000000009</v>
      </c>
      <c r="AB28" s="136">
        <f>P28*$AB$19</f>
        <v>7290</v>
      </c>
      <c r="AC28" s="142">
        <f>N28*$AE$19</f>
        <v>5103</v>
      </c>
      <c r="AD28" s="135">
        <f>O28*$AE$19</f>
        <v>5670</v>
      </c>
      <c r="AE28" s="136">
        <f>P28*$AE$19</f>
        <v>6804</v>
      </c>
    </row>
    <row r="29" spans="1:31" s="115" customFormat="1" ht="18" customHeight="1">
      <c r="A29" s="156"/>
      <c r="B29" s="997"/>
      <c r="C29" s="399" t="s">
        <v>519</v>
      </c>
      <c r="D29" s="293">
        <v>2.7</v>
      </c>
      <c r="E29" s="578" t="s">
        <v>517</v>
      </c>
      <c r="F29" s="954"/>
      <c r="G29" s="832"/>
      <c r="H29" s="832"/>
      <c r="I29" s="832"/>
      <c r="J29" s="832"/>
      <c r="K29" s="832"/>
      <c r="L29" s="832"/>
      <c r="M29" s="955"/>
      <c r="N29" s="400">
        <f>N28/F28</f>
        <v>7.2900000000000009</v>
      </c>
      <c r="O29" s="401">
        <f>O28/F28</f>
        <v>8.1000000000000014</v>
      </c>
      <c r="P29" s="402">
        <f>P28/F28</f>
        <v>9.7200000000000006</v>
      </c>
      <c r="Q29" s="403">
        <f>Q28/F28</f>
        <v>6.7797000000000018</v>
      </c>
      <c r="R29" s="404">
        <f>R28/F28</f>
        <v>7.5330000000000013</v>
      </c>
      <c r="S29" s="576">
        <f>S28/F28</f>
        <v>9.0396000000000001</v>
      </c>
      <c r="T29" s="403">
        <f t="shared" ref="T29" si="10">T28/F28</f>
        <v>6.269400000000001</v>
      </c>
      <c r="U29" s="404">
        <f t="shared" ref="U29" si="11">U28/F28</f>
        <v>6.9660000000000011</v>
      </c>
      <c r="V29" s="405">
        <f t="shared" ref="V29" si="12">V28/F28</f>
        <v>8.3592000000000013</v>
      </c>
      <c r="W29" s="575">
        <f>W28/F28</f>
        <v>6.0507000000000009</v>
      </c>
      <c r="X29" s="404">
        <f>X28/F28</f>
        <v>6.7229999999999999</v>
      </c>
      <c r="Y29" s="405">
        <f>Y28/F28</f>
        <v>8.0675999999999988</v>
      </c>
      <c r="Z29" s="403">
        <f>Z28/F28</f>
        <v>5.4675000000000011</v>
      </c>
      <c r="AA29" s="404">
        <f>AA28/F28</f>
        <v>6.0750000000000011</v>
      </c>
      <c r="AB29" s="405">
        <f>AB28/F28</f>
        <v>7.29</v>
      </c>
      <c r="AC29" s="575">
        <f>AC28/F28</f>
        <v>5.1029999999999998</v>
      </c>
      <c r="AD29" s="404">
        <f>AD28/F28</f>
        <v>5.67</v>
      </c>
      <c r="AE29" s="405">
        <f>AE28/F28</f>
        <v>6.8040000000000003</v>
      </c>
    </row>
    <row r="30" spans="1:31" s="115" customFormat="1" ht="18" customHeight="1">
      <c r="A30" s="156"/>
      <c r="B30" s="997"/>
      <c r="C30" s="829" t="s">
        <v>521</v>
      </c>
      <c r="D30" s="829"/>
      <c r="E30" s="830"/>
      <c r="F30" s="954">
        <v>1000</v>
      </c>
      <c r="G30" s="832">
        <f>F30*D31</f>
        <v>2600</v>
      </c>
      <c r="H30" s="832">
        <f>G30*$H$21</f>
        <v>6370.0000000000009</v>
      </c>
      <c r="I30" s="832">
        <f>G30*$I$21*5</f>
        <v>650</v>
      </c>
      <c r="J30" s="832">
        <f>G30*$J$21*6</f>
        <v>780</v>
      </c>
      <c r="K30" s="832">
        <f>G30*$K$21*3</f>
        <v>1560</v>
      </c>
      <c r="L30" s="832" t="s">
        <v>516</v>
      </c>
      <c r="M30" s="955" t="s">
        <v>516</v>
      </c>
      <c r="N30" s="134">
        <f>H30+I30</f>
        <v>7020.0000000000009</v>
      </c>
      <c r="O30" s="296">
        <f>N30+J30</f>
        <v>7800.0000000000009</v>
      </c>
      <c r="P30" s="136">
        <f>O30+K30</f>
        <v>9360</v>
      </c>
      <c r="Q30" s="134">
        <f>N30*$S$19</f>
        <v>6528.6000000000013</v>
      </c>
      <c r="R30" s="135">
        <f>O30*$S$19</f>
        <v>7254.0000000000009</v>
      </c>
      <c r="S30" s="143">
        <f>P30*$S$19</f>
        <v>8704.8000000000011</v>
      </c>
      <c r="T30" s="134">
        <f t="shared" ref="T30:V30" si="13">N30*$V$19</f>
        <v>6037.2000000000007</v>
      </c>
      <c r="U30" s="135">
        <f t="shared" si="13"/>
        <v>6708.0000000000009</v>
      </c>
      <c r="V30" s="136">
        <f t="shared" si="13"/>
        <v>8049.5999999999995</v>
      </c>
      <c r="W30" s="142">
        <f>N30*$Y$19</f>
        <v>5826.6</v>
      </c>
      <c r="X30" s="135">
        <f>O30*$Y$19</f>
        <v>6474</v>
      </c>
      <c r="Y30" s="136">
        <f>P30*$Y$19</f>
        <v>7768.7999999999993</v>
      </c>
      <c r="Z30" s="134">
        <f>N30*$AB$19</f>
        <v>5265.0000000000009</v>
      </c>
      <c r="AA30" s="135">
        <f>O30*$AB$19</f>
        <v>5850.0000000000009</v>
      </c>
      <c r="AB30" s="136">
        <f>P30*$AB$19</f>
        <v>7020</v>
      </c>
      <c r="AC30" s="142">
        <f>N30*$AE$19</f>
        <v>4914</v>
      </c>
      <c r="AD30" s="135">
        <f>O30*$AE$19</f>
        <v>5460</v>
      </c>
      <c r="AE30" s="136">
        <f>P30*$AE$19</f>
        <v>6552</v>
      </c>
    </row>
    <row r="31" spans="1:31" s="115" customFormat="1" ht="18" customHeight="1" thickBot="1">
      <c r="A31" s="156"/>
      <c r="B31" s="998"/>
      <c r="C31" s="406" t="s">
        <v>522</v>
      </c>
      <c r="D31" s="294">
        <v>2.6</v>
      </c>
      <c r="E31" s="407"/>
      <c r="F31" s="953"/>
      <c r="G31" s="943"/>
      <c r="H31" s="943"/>
      <c r="I31" s="943"/>
      <c r="J31" s="943"/>
      <c r="K31" s="943"/>
      <c r="L31" s="943"/>
      <c r="M31" s="948"/>
      <c r="N31" s="408">
        <f>N30/F30</f>
        <v>7.0200000000000014</v>
      </c>
      <c r="O31" s="409">
        <f>O30/F30</f>
        <v>7.8000000000000007</v>
      </c>
      <c r="P31" s="410">
        <f>P30/F30</f>
        <v>9.36</v>
      </c>
      <c r="Q31" s="411">
        <f>Q30/F30</f>
        <v>6.5286000000000008</v>
      </c>
      <c r="R31" s="412">
        <f>R30/F30</f>
        <v>7.2540000000000013</v>
      </c>
      <c r="S31" s="543">
        <f>S30/F30</f>
        <v>8.7048000000000005</v>
      </c>
      <c r="T31" s="411">
        <f t="shared" ref="T31" si="14">T30/F30</f>
        <v>6.0372000000000003</v>
      </c>
      <c r="U31" s="412">
        <f t="shared" ref="U31" si="15">U30/F30</f>
        <v>6.7080000000000011</v>
      </c>
      <c r="V31" s="413">
        <f t="shared" ref="V31" si="16">V30/F30</f>
        <v>8.0495999999999999</v>
      </c>
      <c r="W31" s="414">
        <f>W30/F30</f>
        <v>5.8266</v>
      </c>
      <c r="X31" s="412">
        <f>X30/F30</f>
        <v>6.4740000000000002</v>
      </c>
      <c r="Y31" s="413">
        <f>Y30/F30</f>
        <v>7.7687999999999997</v>
      </c>
      <c r="Z31" s="411">
        <f>Z30/F30</f>
        <v>5.2650000000000006</v>
      </c>
      <c r="AA31" s="412">
        <f>AA30/F30</f>
        <v>5.8500000000000005</v>
      </c>
      <c r="AB31" s="413">
        <f>AB30/F30</f>
        <v>7.02</v>
      </c>
      <c r="AC31" s="414">
        <f>AC30/F30</f>
        <v>4.9139999999999997</v>
      </c>
      <c r="AD31" s="412">
        <f>AD30/F30</f>
        <v>5.46</v>
      </c>
      <c r="AE31" s="413">
        <f>AE30/F30</f>
        <v>6.5519999999999996</v>
      </c>
    </row>
    <row r="32" spans="1:31" s="115" customFormat="1" ht="18" customHeight="1">
      <c r="A32" s="156"/>
      <c r="B32" s="996" t="s">
        <v>523</v>
      </c>
      <c r="C32" s="916" t="s">
        <v>729</v>
      </c>
      <c r="D32" s="916"/>
      <c r="E32" s="917"/>
      <c r="F32" s="952">
        <v>1000</v>
      </c>
      <c r="G32" s="946">
        <f>F32*D33</f>
        <v>1300</v>
      </c>
      <c r="H32" s="946">
        <f>G32*$H$21</f>
        <v>3185.0000000000005</v>
      </c>
      <c r="I32" s="946">
        <f>G32*$I$21*5</f>
        <v>325</v>
      </c>
      <c r="J32" s="946">
        <f>G32*$J$21*6</f>
        <v>390</v>
      </c>
      <c r="K32" s="946">
        <f>G32*$K$21*3</f>
        <v>780</v>
      </c>
      <c r="L32" s="946" t="s">
        <v>516</v>
      </c>
      <c r="M32" s="947" t="s">
        <v>516</v>
      </c>
      <c r="N32" s="124">
        <f>H32+I32</f>
        <v>3510.0000000000005</v>
      </c>
      <c r="O32" s="295">
        <f>N32+J32</f>
        <v>3900.0000000000005</v>
      </c>
      <c r="P32" s="126">
        <f>O32+K32</f>
        <v>4680</v>
      </c>
      <c r="Q32" s="124">
        <f>N32*$S$19</f>
        <v>3264.3000000000006</v>
      </c>
      <c r="R32" s="125">
        <f>O32*$S$19</f>
        <v>3627.0000000000005</v>
      </c>
      <c r="S32" s="128">
        <f>P32*$S$19</f>
        <v>4352.4000000000005</v>
      </c>
      <c r="T32" s="124">
        <f t="shared" ref="T32:V32" si="17">N32*$V$19</f>
        <v>3018.6000000000004</v>
      </c>
      <c r="U32" s="125">
        <f t="shared" si="17"/>
        <v>3354.0000000000005</v>
      </c>
      <c r="V32" s="126">
        <f t="shared" si="17"/>
        <v>4024.7999999999997</v>
      </c>
      <c r="W32" s="127">
        <f>N32*$Y$19</f>
        <v>2913.3</v>
      </c>
      <c r="X32" s="125">
        <f>O32*$Y$19</f>
        <v>3237</v>
      </c>
      <c r="Y32" s="126">
        <f>P32*$Y$19</f>
        <v>3884.3999999999996</v>
      </c>
      <c r="Z32" s="124">
        <f>N32*$AB$19</f>
        <v>2632.5000000000005</v>
      </c>
      <c r="AA32" s="125">
        <f>O32*$AB$19</f>
        <v>2925.0000000000005</v>
      </c>
      <c r="AB32" s="126">
        <f>P32*$AB$19</f>
        <v>3510</v>
      </c>
      <c r="AC32" s="127">
        <f>N32*$AE$19</f>
        <v>2457</v>
      </c>
      <c r="AD32" s="125">
        <f>O32*$AE$19</f>
        <v>2730</v>
      </c>
      <c r="AE32" s="126">
        <f>P32*$AE$19</f>
        <v>3276</v>
      </c>
    </row>
    <row r="33" spans="1:31" s="115" customFormat="1" ht="18" customHeight="1" thickBot="1">
      <c r="A33" s="156"/>
      <c r="B33" s="998"/>
      <c r="C33" s="406" t="s">
        <v>524</v>
      </c>
      <c r="D33" s="294">
        <v>1.3</v>
      </c>
      <c r="E33" s="415" t="s">
        <v>517</v>
      </c>
      <c r="F33" s="953"/>
      <c r="G33" s="943"/>
      <c r="H33" s="943"/>
      <c r="I33" s="943"/>
      <c r="J33" s="943"/>
      <c r="K33" s="943"/>
      <c r="L33" s="943"/>
      <c r="M33" s="948"/>
      <c r="N33" s="408">
        <f>N32/F32</f>
        <v>3.5100000000000007</v>
      </c>
      <c r="O33" s="409">
        <f>O32/F32</f>
        <v>3.9000000000000004</v>
      </c>
      <c r="P33" s="410">
        <f>P32/F32</f>
        <v>4.68</v>
      </c>
      <c r="Q33" s="411">
        <f>Q32/F32</f>
        <v>3.2643000000000004</v>
      </c>
      <c r="R33" s="412">
        <f>R32/F32</f>
        <v>3.6270000000000007</v>
      </c>
      <c r="S33" s="543">
        <f>S32/F32</f>
        <v>4.3524000000000003</v>
      </c>
      <c r="T33" s="411">
        <f t="shared" ref="T33" si="18">T32/F32</f>
        <v>3.0186000000000002</v>
      </c>
      <c r="U33" s="412">
        <f t="shared" ref="U33" si="19">U32/F32</f>
        <v>3.3540000000000005</v>
      </c>
      <c r="V33" s="413">
        <f t="shared" ref="V33" si="20">V32/F32</f>
        <v>4.0247999999999999</v>
      </c>
      <c r="W33" s="414">
        <f>W32/F32</f>
        <v>2.9133</v>
      </c>
      <c r="X33" s="412">
        <f>X32/F32</f>
        <v>3.2370000000000001</v>
      </c>
      <c r="Y33" s="413">
        <f>Y32/F32</f>
        <v>3.8843999999999999</v>
      </c>
      <c r="Z33" s="411">
        <f>Z32/F32</f>
        <v>2.6325000000000003</v>
      </c>
      <c r="AA33" s="412">
        <f>AA32/F32</f>
        <v>2.9250000000000003</v>
      </c>
      <c r="AB33" s="413">
        <f>AB32/F32</f>
        <v>3.51</v>
      </c>
      <c r="AC33" s="414">
        <f>AC32/F32</f>
        <v>2.4569999999999999</v>
      </c>
      <c r="AD33" s="412">
        <f>AD32/F32</f>
        <v>2.73</v>
      </c>
      <c r="AE33" s="413">
        <f>AE32/F32</f>
        <v>3.2759999999999998</v>
      </c>
    </row>
    <row r="34" spans="1:31" s="115" customFormat="1" ht="18" customHeight="1">
      <c r="A34" s="156"/>
      <c r="B34" s="949" t="s">
        <v>525</v>
      </c>
      <c r="C34" s="916" t="s">
        <v>54</v>
      </c>
      <c r="D34" s="916"/>
      <c r="E34" s="917"/>
      <c r="F34" s="952">
        <v>1000</v>
      </c>
      <c r="G34" s="946">
        <f>F34*D35</f>
        <v>420</v>
      </c>
      <c r="H34" s="946">
        <f>G34*$H$21</f>
        <v>1029</v>
      </c>
      <c r="I34" s="946">
        <f>G34*$I$21*5</f>
        <v>105</v>
      </c>
      <c r="J34" s="946">
        <f>G34*$J$21*6</f>
        <v>126</v>
      </c>
      <c r="K34" s="946">
        <f>G34*$K$21*3</f>
        <v>252</v>
      </c>
      <c r="L34" s="946">
        <f>F34*$E$35*12</f>
        <v>108</v>
      </c>
      <c r="M34" s="947">
        <f>F34*$E$35*72</f>
        <v>648</v>
      </c>
      <c r="N34" s="124">
        <f>H34+I34+(L34/12)</f>
        <v>1143</v>
      </c>
      <c r="O34" s="295">
        <f>H34+I34+J34+L34</f>
        <v>1368</v>
      </c>
      <c r="P34" s="126">
        <f>O34+K34+M34</f>
        <v>2268</v>
      </c>
      <c r="Q34" s="124">
        <f>N34*$S$19</f>
        <v>1062.99</v>
      </c>
      <c r="R34" s="125">
        <f>O34*$S$19</f>
        <v>1272.24</v>
      </c>
      <c r="S34" s="128">
        <f>P34*$S$19</f>
        <v>2109.2400000000002</v>
      </c>
      <c r="T34" s="124">
        <f t="shared" ref="T34:V34" si="21">N34*$V$19</f>
        <v>982.98</v>
      </c>
      <c r="U34" s="125">
        <f t="shared" si="21"/>
        <v>1176.48</v>
      </c>
      <c r="V34" s="126">
        <f t="shared" si="21"/>
        <v>1950.48</v>
      </c>
      <c r="W34" s="127">
        <f>N34*$Y$19</f>
        <v>948.68999999999994</v>
      </c>
      <c r="X34" s="125">
        <f>O34*$Y$19</f>
        <v>1135.44</v>
      </c>
      <c r="Y34" s="126">
        <f>P34*$Y$19</f>
        <v>1882.4399999999998</v>
      </c>
      <c r="Z34" s="124">
        <f>N34*$AB$19</f>
        <v>857.25</v>
      </c>
      <c r="AA34" s="125">
        <f>O34*$AB$19</f>
        <v>1026</v>
      </c>
      <c r="AB34" s="126">
        <f>P34*$AB$19</f>
        <v>1701</v>
      </c>
      <c r="AC34" s="127">
        <f>N34*$AE$19</f>
        <v>800.09999999999991</v>
      </c>
      <c r="AD34" s="125">
        <f>O34*$AE$19</f>
        <v>957.59999999999991</v>
      </c>
      <c r="AE34" s="126">
        <f>P34*$AE$19</f>
        <v>1587.6</v>
      </c>
    </row>
    <row r="35" spans="1:31" s="115" customFormat="1" ht="18" customHeight="1">
      <c r="A35" s="156"/>
      <c r="B35" s="950"/>
      <c r="C35" s="399" t="s">
        <v>55</v>
      </c>
      <c r="D35" s="293">
        <v>0.42</v>
      </c>
      <c r="E35" s="416">
        <v>8.9999999999999993E-3</v>
      </c>
      <c r="F35" s="954"/>
      <c r="G35" s="832"/>
      <c r="H35" s="832"/>
      <c r="I35" s="832"/>
      <c r="J35" s="832"/>
      <c r="K35" s="832"/>
      <c r="L35" s="832"/>
      <c r="M35" s="955"/>
      <c r="N35" s="400">
        <f>N34/F34</f>
        <v>1.143</v>
      </c>
      <c r="O35" s="401">
        <f>O34/F34</f>
        <v>1.3680000000000001</v>
      </c>
      <c r="P35" s="402">
        <f>P34/F34</f>
        <v>2.2679999999999998</v>
      </c>
      <c r="Q35" s="403">
        <f>Q34/F34</f>
        <v>1.0629900000000001</v>
      </c>
      <c r="R35" s="404">
        <f>R34/F34</f>
        <v>1.27224</v>
      </c>
      <c r="S35" s="576">
        <f>S34/F34</f>
        <v>2.1092400000000002</v>
      </c>
      <c r="T35" s="403">
        <f t="shared" ref="T35" si="22">T34/F34</f>
        <v>0.98297999999999996</v>
      </c>
      <c r="U35" s="404">
        <f t="shared" ref="U35" si="23">U34/F34</f>
        <v>1.17648</v>
      </c>
      <c r="V35" s="405">
        <f t="shared" ref="V35" si="24">V34/F34</f>
        <v>1.95048</v>
      </c>
      <c r="W35" s="575">
        <f>W34/F34</f>
        <v>0.94868999999999992</v>
      </c>
      <c r="X35" s="404">
        <f>X34/F34</f>
        <v>1.13544</v>
      </c>
      <c r="Y35" s="405">
        <f>Y34/F34</f>
        <v>1.8824399999999999</v>
      </c>
      <c r="Z35" s="403">
        <f>Z34/F34</f>
        <v>0.85724999999999996</v>
      </c>
      <c r="AA35" s="404">
        <f>AA34/F34</f>
        <v>1.026</v>
      </c>
      <c r="AB35" s="405">
        <f>AB34/F34</f>
        <v>1.7010000000000001</v>
      </c>
      <c r="AC35" s="575">
        <f>AC34/F34</f>
        <v>0.80009999999999992</v>
      </c>
      <c r="AD35" s="404">
        <f>AD34/F34</f>
        <v>0.9575999999999999</v>
      </c>
      <c r="AE35" s="405">
        <f>AE34/F34</f>
        <v>1.5875999999999999</v>
      </c>
    </row>
    <row r="36" spans="1:31" s="115" customFormat="1" ht="18" customHeight="1">
      <c r="A36" s="156"/>
      <c r="B36" s="950"/>
      <c r="C36" s="829" t="s">
        <v>526</v>
      </c>
      <c r="D36" s="829"/>
      <c r="E36" s="830"/>
      <c r="F36" s="954">
        <v>1000</v>
      </c>
      <c r="G36" s="832">
        <f>F36*D37</f>
        <v>200</v>
      </c>
      <c r="H36" s="832">
        <f>G36*$H$21</f>
        <v>490.00000000000006</v>
      </c>
      <c r="I36" s="832">
        <f>G36*$I$21*5</f>
        <v>50</v>
      </c>
      <c r="J36" s="832">
        <f>G36*$J$21*6</f>
        <v>60</v>
      </c>
      <c r="K36" s="832">
        <f>G36*$K$21*3</f>
        <v>120</v>
      </c>
      <c r="L36" s="832">
        <f>F36*$E$37*12</f>
        <v>108</v>
      </c>
      <c r="M36" s="955">
        <f>F36*$E$37*24</f>
        <v>216</v>
      </c>
      <c r="N36" s="134">
        <f>H36+I36+(L36/12)</f>
        <v>549</v>
      </c>
      <c r="O36" s="296">
        <f>H36+I36+J36+L36</f>
        <v>708</v>
      </c>
      <c r="P36" s="136">
        <f>O36+K36+M36</f>
        <v>1044</v>
      </c>
      <c r="Q36" s="134">
        <f>N36*$S$19</f>
        <v>510.57000000000005</v>
      </c>
      <c r="R36" s="135">
        <f>O36*$S$19</f>
        <v>658.44</v>
      </c>
      <c r="S36" s="143">
        <f>P36*$S$19</f>
        <v>970.92000000000007</v>
      </c>
      <c r="T36" s="134">
        <f t="shared" ref="T36:V36" si="25">N36*$V$19</f>
        <v>472.14</v>
      </c>
      <c r="U36" s="135">
        <f t="shared" si="25"/>
        <v>608.88</v>
      </c>
      <c r="V36" s="136">
        <f t="shared" si="25"/>
        <v>897.84</v>
      </c>
      <c r="W36" s="142">
        <f>N36*$Y$19</f>
        <v>455.66999999999996</v>
      </c>
      <c r="X36" s="135">
        <f>O36*$Y$19</f>
        <v>587.64</v>
      </c>
      <c r="Y36" s="136">
        <f>P36*$Y$19</f>
        <v>866.52</v>
      </c>
      <c r="Z36" s="134">
        <f>N36*$AB$19</f>
        <v>411.75</v>
      </c>
      <c r="AA36" s="135">
        <f>O36*$AB$19</f>
        <v>531</v>
      </c>
      <c r="AB36" s="136">
        <f>P36*$AB$19</f>
        <v>783</v>
      </c>
      <c r="AC36" s="142">
        <f>N36*$AE$19</f>
        <v>384.29999999999995</v>
      </c>
      <c r="AD36" s="135">
        <f>O36*$AE$19</f>
        <v>495.59999999999997</v>
      </c>
      <c r="AE36" s="136">
        <f>P36*$AE$19</f>
        <v>730.8</v>
      </c>
    </row>
    <row r="37" spans="1:31" s="115" customFormat="1" ht="18" customHeight="1" thickBot="1">
      <c r="A37" s="156"/>
      <c r="B37" s="950"/>
      <c r="C37" s="406" t="s">
        <v>723</v>
      </c>
      <c r="D37" s="294">
        <v>0.2</v>
      </c>
      <c r="E37" s="417">
        <v>8.9999999999999993E-3</v>
      </c>
      <c r="F37" s="953"/>
      <c r="G37" s="943"/>
      <c r="H37" s="943"/>
      <c r="I37" s="943"/>
      <c r="J37" s="943"/>
      <c r="K37" s="943"/>
      <c r="L37" s="943"/>
      <c r="M37" s="948"/>
      <c r="N37" s="408">
        <f>N36/F36</f>
        <v>0.54900000000000004</v>
      </c>
      <c r="O37" s="409">
        <f>O36/F36</f>
        <v>0.70799999999999996</v>
      </c>
      <c r="P37" s="410">
        <f>P36/F36</f>
        <v>1.044</v>
      </c>
      <c r="Q37" s="411">
        <f>Q36/F36</f>
        <v>0.51057000000000008</v>
      </c>
      <c r="R37" s="412">
        <f>R36/F36</f>
        <v>0.65844000000000003</v>
      </c>
      <c r="S37" s="543">
        <f>S36/F36</f>
        <v>0.97092000000000012</v>
      </c>
      <c r="T37" s="411">
        <f t="shared" ref="T37" si="26">T36/F36</f>
        <v>0.47214</v>
      </c>
      <c r="U37" s="412">
        <f t="shared" ref="U37" si="27">U36/F36</f>
        <v>0.60887999999999998</v>
      </c>
      <c r="V37" s="413">
        <f t="shared" ref="V37" si="28">V36/F36</f>
        <v>0.89784000000000008</v>
      </c>
      <c r="W37" s="414">
        <f>W36/F36</f>
        <v>0.45566999999999996</v>
      </c>
      <c r="X37" s="412">
        <f>X36/F36</f>
        <v>0.58763999999999994</v>
      </c>
      <c r="Y37" s="413">
        <f>Y36/F36</f>
        <v>0.86651999999999996</v>
      </c>
      <c r="Z37" s="411">
        <f>Z36/F36</f>
        <v>0.41175</v>
      </c>
      <c r="AA37" s="412">
        <f>AA36/F36</f>
        <v>0.53100000000000003</v>
      </c>
      <c r="AB37" s="413">
        <f>AB36/F36</f>
        <v>0.78300000000000003</v>
      </c>
      <c r="AC37" s="414">
        <f>AC36/F36</f>
        <v>0.38429999999999997</v>
      </c>
      <c r="AD37" s="412">
        <f>AD36/F36</f>
        <v>0.49559999999999998</v>
      </c>
      <c r="AE37" s="413">
        <f>AE36/F36</f>
        <v>0.73080000000000001</v>
      </c>
    </row>
    <row r="38" spans="1:31" s="115" customFormat="1" ht="18" customHeight="1">
      <c r="A38" s="156"/>
      <c r="B38" s="950"/>
      <c r="C38" s="829" t="s">
        <v>527</v>
      </c>
      <c r="D38" s="829"/>
      <c r="E38" s="830"/>
      <c r="F38" s="954">
        <v>1000</v>
      </c>
      <c r="G38" s="832">
        <f>F38*D39</f>
        <v>110</v>
      </c>
      <c r="H38" s="832">
        <f>G38*15%</f>
        <v>16.5</v>
      </c>
      <c r="I38" s="832">
        <v>0</v>
      </c>
      <c r="J38" s="832">
        <v>0</v>
      </c>
      <c r="K38" s="832">
        <v>0</v>
      </c>
      <c r="L38" s="920">
        <f>F38*$E$39*12</f>
        <v>0</v>
      </c>
      <c r="M38" s="994">
        <f>F38*$E$39*24</f>
        <v>0</v>
      </c>
      <c r="N38" s="134">
        <f>H38+I38+(L38/12)</f>
        <v>16.5</v>
      </c>
      <c r="O38" s="296">
        <f>H38+I38+J38+L38</f>
        <v>16.5</v>
      </c>
      <c r="P38" s="136">
        <f>O38+K38+M38</f>
        <v>16.5</v>
      </c>
      <c r="Q38" s="134">
        <f>N38*$S$19</f>
        <v>15.345000000000001</v>
      </c>
      <c r="R38" s="135">
        <f>O38*$S$19</f>
        <v>15.345000000000001</v>
      </c>
      <c r="S38" s="143">
        <f>P38*$S$19</f>
        <v>15.345000000000001</v>
      </c>
      <c r="T38" s="134">
        <f t="shared" ref="T38:V38" si="29">N38*$V$19</f>
        <v>14.19</v>
      </c>
      <c r="U38" s="135">
        <f t="shared" si="29"/>
        <v>14.19</v>
      </c>
      <c r="V38" s="136">
        <f t="shared" si="29"/>
        <v>14.19</v>
      </c>
      <c r="W38" s="142">
        <f>N38*$Y$19</f>
        <v>13.694999999999999</v>
      </c>
      <c r="X38" s="135">
        <f>O38*$Y$19</f>
        <v>13.694999999999999</v>
      </c>
      <c r="Y38" s="136">
        <f>P38*$Y$19</f>
        <v>13.694999999999999</v>
      </c>
      <c r="Z38" s="134">
        <f>N38*$AB$19</f>
        <v>12.375</v>
      </c>
      <c r="AA38" s="135">
        <f>O38*$AB$19</f>
        <v>12.375</v>
      </c>
      <c r="AB38" s="136">
        <f>P38*$AB$19</f>
        <v>12.375</v>
      </c>
      <c r="AC38" s="142">
        <f>N38*$AE$19</f>
        <v>11.549999999999999</v>
      </c>
      <c r="AD38" s="135">
        <f>O38*$AE$19</f>
        <v>11.549999999999999</v>
      </c>
      <c r="AE38" s="136">
        <f>P38*$AE$19</f>
        <v>11.549999999999999</v>
      </c>
    </row>
    <row r="39" spans="1:31" s="115" customFormat="1" ht="18" customHeight="1" thickBot="1">
      <c r="A39" s="156"/>
      <c r="B39" s="951"/>
      <c r="C39" s="406" t="s">
        <v>528</v>
      </c>
      <c r="D39" s="294">
        <v>0.11</v>
      </c>
      <c r="E39" s="417"/>
      <c r="F39" s="953"/>
      <c r="G39" s="943"/>
      <c r="H39" s="943"/>
      <c r="I39" s="943"/>
      <c r="J39" s="943"/>
      <c r="K39" s="943"/>
      <c r="L39" s="944"/>
      <c r="M39" s="995"/>
      <c r="N39" s="581">
        <f>N38/F38</f>
        <v>1.6500000000000001E-2</v>
      </c>
      <c r="O39" s="582">
        <f>O38/F38</f>
        <v>1.6500000000000001E-2</v>
      </c>
      <c r="P39" s="583">
        <f>P38/F38</f>
        <v>1.6500000000000001E-2</v>
      </c>
      <c r="Q39" s="584">
        <f>Q38/F38</f>
        <v>1.5345000000000001E-2</v>
      </c>
      <c r="R39" s="585">
        <f>R38/F38</f>
        <v>1.5345000000000001E-2</v>
      </c>
      <c r="S39" s="586">
        <f>S38/F38</f>
        <v>1.5345000000000001E-2</v>
      </c>
      <c r="T39" s="584">
        <f t="shared" ref="T39" si="30">T38/F38</f>
        <v>1.4189999999999999E-2</v>
      </c>
      <c r="U39" s="585">
        <f t="shared" ref="U39" si="31">U38/F38</f>
        <v>1.4189999999999999E-2</v>
      </c>
      <c r="V39" s="587">
        <f t="shared" ref="V39" si="32">V38/F38</f>
        <v>1.4189999999999999E-2</v>
      </c>
      <c r="W39" s="588">
        <f>W38/F38</f>
        <v>1.3694999999999999E-2</v>
      </c>
      <c r="X39" s="585">
        <f>X38/F38</f>
        <v>1.3694999999999999E-2</v>
      </c>
      <c r="Y39" s="587">
        <f>Y38/F38</f>
        <v>1.3694999999999999E-2</v>
      </c>
      <c r="Z39" s="584">
        <f>Z38/F38</f>
        <v>1.2375000000000001E-2</v>
      </c>
      <c r="AA39" s="585">
        <f>AA38/F38</f>
        <v>1.2375000000000001E-2</v>
      </c>
      <c r="AB39" s="587">
        <f>AB38/F38</f>
        <v>1.2375000000000001E-2</v>
      </c>
      <c r="AC39" s="588">
        <f>AC38/F38</f>
        <v>1.155E-2</v>
      </c>
      <c r="AD39" s="585">
        <f>AD38/F38</f>
        <v>1.155E-2</v>
      </c>
      <c r="AE39" s="587">
        <f>AE38/F38</f>
        <v>1.155E-2</v>
      </c>
    </row>
    <row r="40" spans="1:31" s="115" customFormat="1" ht="18" customHeight="1">
      <c r="A40" s="156"/>
      <c r="B40" s="949" t="s">
        <v>529</v>
      </c>
      <c r="C40" s="916" t="s">
        <v>530</v>
      </c>
      <c r="D40" s="916"/>
      <c r="E40" s="917"/>
      <c r="F40" s="952">
        <v>1000</v>
      </c>
      <c r="G40" s="946">
        <f>F40*D41</f>
        <v>300</v>
      </c>
      <c r="H40" s="946">
        <f>G40*35%</f>
        <v>105</v>
      </c>
      <c r="I40" s="946">
        <f>G40*30%*5</f>
        <v>450</v>
      </c>
      <c r="J40" s="946">
        <f>G40*30%*6</f>
        <v>540</v>
      </c>
      <c r="K40" s="946" t="s">
        <v>517</v>
      </c>
      <c r="L40" s="946" t="s">
        <v>516</v>
      </c>
      <c r="M40" s="947" t="s">
        <v>516</v>
      </c>
      <c r="N40" s="124">
        <f>H40</f>
        <v>105</v>
      </c>
      <c r="O40" s="295">
        <f>H40+I40+J40</f>
        <v>1095</v>
      </c>
      <c r="P40" s="126">
        <f>O40</f>
        <v>1095</v>
      </c>
      <c r="Q40" s="124">
        <f>N40*$S$19</f>
        <v>97.65</v>
      </c>
      <c r="R40" s="125">
        <f>O40*$S$19</f>
        <v>1018.35</v>
      </c>
      <c r="S40" s="128">
        <f>P40*$S$19</f>
        <v>1018.35</v>
      </c>
      <c r="T40" s="140">
        <f t="shared" ref="T40:V40" si="33">N40*$V$19</f>
        <v>90.3</v>
      </c>
      <c r="U40" s="138">
        <f t="shared" si="33"/>
        <v>941.69999999999993</v>
      </c>
      <c r="V40" s="141">
        <f t="shared" si="33"/>
        <v>941.69999999999993</v>
      </c>
      <c r="W40" s="127">
        <f>N40*$Y$19</f>
        <v>87.149999999999991</v>
      </c>
      <c r="X40" s="125">
        <f>O40*$Y$19</f>
        <v>908.84999999999991</v>
      </c>
      <c r="Y40" s="126">
        <f>P40*$Y$19</f>
        <v>908.84999999999991</v>
      </c>
      <c r="Z40" s="124">
        <f>N40*$AB$19</f>
        <v>78.75</v>
      </c>
      <c r="AA40" s="125">
        <f>O40*$AB$19</f>
        <v>821.25</v>
      </c>
      <c r="AB40" s="126">
        <f>P40*$AB$19</f>
        <v>821.25</v>
      </c>
      <c r="AC40" s="127">
        <f>N40*$AE$19</f>
        <v>73.5</v>
      </c>
      <c r="AD40" s="125">
        <f>O40*$AE$19</f>
        <v>766.5</v>
      </c>
      <c r="AE40" s="126">
        <f>P40*$AE$19</f>
        <v>766.5</v>
      </c>
    </row>
    <row r="41" spans="1:31" s="115" customFormat="1" ht="18" customHeight="1" thickBot="1">
      <c r="A41" s="156"/>
      <c r="B41" s="951"/>
      <c r="C41" s="406" t="s">
        <v>531</v>
      </c>
      <c r="D41" s="294">
        <v>0.3</v>
      </c>
      <c r="E41" s="415" t="s">
        <v>517</v>
      </c>
      <c r="F41" s="953"/>
      <c r="G41" s="943"/>
      <c r="H41" s="943"/>
      <c r="I41" s="943"/>
      <c r="J41" s="943"/>
      <c r="K41" s="943"/>
      <c r="L41" s="943"/>
      <c r="M41" s="948"/>
      <c r="N41" s="408">
        <f>N40/F40</f>
        <v>0.105</v>
      </c>
      <c r="O41" s="409">
        <f>O40/F40</f>
        <v>1.095</v>
      </c>
      <c r="P41" s="410">
        <f>O41</f>
        <v>1.095</v>
      </c>
      <c r="Q41" s="411">
        <f>Q40/F40</f>
        <v>9.7650000000000001E-2</v>
      </c>
      <c r="R41" s="412">
        <f>R40/F40</f>
        <v>1.0183500000000001</v>
      </c>
      <c r="S41" s="543">
        <f>S40/F40</f>
        <v>1.0183500000000001</v>
      </c>
      <c r="T41" s="411">
        <f t="shared" ref="T41" si="34">T40/F40</f>
        <v>9.0299999999999991E-2</v>
      </c>
      <c r="U41" s="412">
        <f t="shared" ref="U41" si="35">U40/F40</f>
        <v>0.94169999999999998</v>
      </c>
      <c r="V41" s="413">
        <f t="shared" ref="V41" si="36">V40/F40</f>
        <v>0.94169999999999998</v>
      </c>
      <c r="W41" s="414">
        <f>W40/F40</f>
        <v>8.7149999999999991E-2</v>
      </c>
      <c r="X41" s="412">
        <f>X40/F40</f>
        <v>0.90884999999999994</v>
      </c>
      <c r="Y41" s="413">
        <f>Y40/F40</f>
        <v>0.90884999999999994</v>
      </c>
      <c r="Z41" s="411">
        <f>Z40/F40</f>
        <v>7.8750000000000001E-2</v>
      </c>
      <c r="AA41" s="412">
        <f>AA40/F40</f>
        <v>0.82125000000000004</v>
      </c>
      <c r="AB41" s="413">
        <f>AB40/F40</f>
        <v>0.82125000000000004</v>
      </c>
      <c r="AC41" s="414">
        <f>AC40/F40</f>
        <v>7.3499999999999996E-2</v>
      </c>
      <c r="AD41" s="412">
        <f>AD40/F40</f>
        <v>0.76649999999999996</v>
      </c>
      <c r="AE41" s="413">
        <f>AE40/F40</f>
        <v>0.76649999999999996</v>
      </c>
    </row>
    <row r="42" spans="1:31" s="115" customFormat="1" ht="18" customHeight="1">
      <c r="B42" s="116"/>
      <c r="C42" s="159"/>
      <c r="D42" s="114"/>
      <c r="E42" s="114"/>
      <c r="K42" s="160"/>
    </row>
    <row r="43" spans="1:31" s="115" customFormat="1" ht="18" customHeight="1">
      <c r="B43" s="116" t="s">
        <v>532</v>
      </c>
      <c r="C43" s="159"/>
      <c r="D43" s="114"/>
      <c r="E43" s="114"/>
      <c r="M43" s="160"/>
    </row>
    <row r="44" spans="1:31" s="577" customFormat="1" ht="18" customHeight="1">
      <c r="B44" s="161" t="s">
        <v>533</v>
      </c>
      <c r="C44" s="156"/>
      <c r="D44" s="156"/>
      <c r="E44" s="156"/>
      <c r="F44" s="156"/>
      <c r="G44" s="156"/>
      <c r="H44" s="156"/>
      <c r="I44" s="156"/>
      <c r="J44" s="156"/>
      <c r="K44" s="156"/>
    </row>
    <row r="45" spans="1:31" s="577" customFormat="1" ht="18" customHeight="1">
      <c r="B45" s="162" t="s">
        <v>534</v>
      </c>
    </row>
    <row r="46" spans="1:31" s="577" customFormat="1" ht="18" customHeight="1">
      <c r="B46" s="163" t="s">
        <v>535</v>
      </c>
    </row>
    <row r="47" spans="1:31" s="156" customFormat="1" ht="18" customHeight="1">
      <c r="B47" s="163" t="s">
        <v>536</v>
      </c>
      <c r="C47" s="164"/>
      <c r="D47" s="577"/>
      <c r="E47" s="577"/>
    </row>
    <row r="48" spans="1:31" s="171" customFormat="1" ht="18" customHeight="1">
      <c r="B48" s="171" t="s">
        <v>719</v>
      </c>
      <c r="D48" s="166"/>
      <c r="E48" s="166"/>
      <c r="F48" s="166"/>
      <c r="G48" s="166"/>
    </row>
    <row r="49" spans="1:27" s="114" customFormat="1" ht="18" customHeight="1">
      <c r="A49" s="115"/>
      <c r="B49" s="152" t="s">
        <v>537</v>
      </c>
      <c r="C49" s="159"/>
      <c r="F49" s="115"/>
      <c r="G49" s="115"/>
      <c r="H49" s="115"/>
      <c r="I49" s="115"/>
      <c r="J49" s="115"/>
      <c r="K49" s="115"/>
      <c r="L49" s="115"/>
      <c r="M49" s="115"/>
      <c r="N49" s="115"/>
      <c r="O49" s="115"/>
      <c r="P49" s="115"/>
      <c r="Q49" s="115"/>
      <c r="R49" s="115"/>
      <c r="S49" s="115"/>
      <c r="T49" s="115"/>
      <c r="U49" s="115"/>
      <c r="V49" s="115"/>
      <c r="W49" s="115"/>
      <c r="X49" s="115"/>
      <c r="Y49" s="115"/>
      <c r="Z49" s="115"/>
      <c r="AA49" s="115"/>
    </row>
    <row r="50" spans="1:27" s="21" customFormat="1" ht="13.5">
      <c r="B50" s="388" t="s">
        <v>538</v>
      </c>
    </row>
    <row r="51" spans="1:27" customFormat="1" ht="16.5">
      <c r="A51" s="18"/>
      <c r="B51" s="389" t="s">
        <v>130</v>
      </c>
      <c r="C51" s="369"/>
      <c r="D51" s="368"/>
      <c r="E51" s="377"/>
      <c r="F51" s="370"/>
      <c r="G51" s="370"/>
      <c r="H51" s="370"/>
    </row>
  </sheetData>
  <mergeCells count="144">
    <mergeCell ref="B1:AE1"/>
    <mergeCell ref="L24:L25"/>
    <mergeCell ref="M24:M25"/>
    <mergeCell ref="C26:E26"/>
    <mergeCell ref="Z19:AA19"/>
    <mergeCell ref="AC19:AD19"/>
    <mergeCell ref="B19:E19"/>
    <mergeCell ref="E11:M11"/>
    <mergeCell ref="E12:M12"/>
    <mergeCell ref="B10:D11"/>
    <mergeCell ref="N10:V11"/>
    <mergeCell ref="B12:D13"/>
    <mergeCell ref="N12:V13"/>
    <mergeCell ref="E13:M13"/>
    <mergeCell ref="N19:P19"/>
    <mergeCell ref="Q19:R19"/>
    <mergeCell ref="W19:X19"/>
    <mergeCell ref="B20:B21"/>
    <mergeCell ref="C20:C21"/>
    <mergeCell ref="D20:D21"/>
    <mergeCell ref="E20:E21"/>
    <mergeCell ref="N20:N21"/>
    <mergeCell ref="F19:F21"/>
    <mergeCell ref="G19:G21"/>
    <mergeCell ref="J38:J39"/>
    <mergeCell ref="K38:K39"/>
    <mergeCell ref="L38:L39"/>
    <mergeCell ref="M38:M39"/>
    <mergeCell ref="B22:B31"/>
    <mergeCell ref="B32:B33"/>
    <mergeCell ref="C38:E38"/>
    <mergeCell ref="F38:F39"/>
    <mergeCell ref="G38:G39"/>
    <mergeCell ref="H38:H39"/>
    <mergeCell ref="I38:I39"/>
    <mergeCell ref="C30:E30"/>
    <mergeCell ref="C24:E24"/>
    <mergeCell ref="F24:F25"/>
    <mergeCell ref="G24:G25"/>
    <mergeCell ref="H24:H25"/>
    <mergeCell ref="I24:I25"/>
    <mergeCell ref="J24:J25"/>
    <mergeCell ref="K24:K25"/>
    <mergeCell ref="F26:F27"/>
    <mergeCell ref="G26:G27"/>
    <mergeCell ref="H26:H27"/>
    <mergeCell ref="K26:K27"/>
    <mergeCell ref="L26:L27"/>
    <mergeCell ref="B7:D7"/>
    <mergeCell ref="E7:M7"/>
    <mergeCell ref="N7:V7"/>
    <mergeCell ref="E8:M8"/>
    <mergeCell ref="B8:D9"/>
    <mergeCell ref="N8:V9"/>
    <mergeCell ref="E9:M9"/>
    <mergeCell ref="E10:M10"/>
    <mergeCell ref="H19:H20"/>
    <mergeCell ref="I19:K19"/>
    <mergeCell ref="L19:M19"/>
    <mergeCell ref="T19:U19"/>
    <mergeCell ref="U20:U21"/>
    <mergeCell ref="V20:V21"/>
    <mergeCell ref="AE20:AE21"/>
    <mergeCell ref="C22:E22"/>
    <mergeCell ref="F22:F23"/>
    <mergeCell ref="G22:G23"/>
    <mergeCell ref="H22:H23"/>
    <mergeCell ref="I22:I23"/>
    <mergeCell ref="J22:J23"/>
    <mergeCell ref="K22:K23"/>
    <mergeCell ref="L22:L23"/>
    <mergeCell ref="M22:M23"/>
    <mergeCell ref="S20:S21"/>
    <mergeCell ref="W20:W21"/>
    <mergeCell ref="X20:X21"/>
    <mergeCell ref="Y20:Y21"/>
    <mergeCell ref="Z20:Z21"/>
    <mergeCell ref="AA20:AA21"/>
    <mergeCell ref="AB20:AB21"/>
    <mergeCell ref="AC20:AC21"/>
    <mergeCell ref="AD20:AD21"/>
    <mergeCell ref="T20:T21"/>
    <mergeCell ref="O20:O21"/>
    <mergeCell ref="P20:P21"/>
    <mergeCell ref="Q20:Q21"/>
    <mergeCell ref="R20:R21"/>
    <mergeCell ref="M26:M27"/>
    <mergeCell ref="C28:E28"/>
    <mergeCell ref="F28:F29"/>
    <mergeCell ref="G28:G29"/>
    <mergeCell ref="H28:H29"/>
    <mergeCell ref="I28:I29"/>
    <mergeCell ref="J28:J29"/>
    <mergeCell ref="K28:K29"/>
    <mergeCell ref="L28:L29"/>
    <mergeCell ref="M28:M29"/>
    <mergeCell ref="I26:I27"/>
    <mergeCell ref="J26:J27"/>
    <mergeCell ref="C32:E32"/>
    <mergeCell ref="F32:F33"/>
    <mergeCell ref="G32:G33"/>
    <mergeCell ref="H32:H33"/>
    <mergeCell ref="I32:I33"/>
    <mergeCell ref="J32:J33"/>
    <mergeCell ref="K32:K33"/>
    <mergeCell ref="L32:L33"/>
    <mergeCell ref="M32:M33"/>
    <mergeCell ref="K36:K37"/>
    <mergeCell ref="L36:L37"/>
    <mergeCell ref="M36:M37"/>
    <mergeCell ref="K34:K35"/>
    <mergeCell ref="L34:L35"/>
    <mergeCell ref="F30:F31"/>
    <mergeCell ref="G30:G31"/>
    <mergeCell ref="H30:H31"/>
    <mergeCell ref="I30:I31"/>
    <mergeCell ref="J30:J31"/>
    <mergeCell ref="K30:K31"/>
    <mergeCell ref="L30:L31"/>
    <mergeCell ref="M30:M31"/>
    <mergeCell ref="L40:L41"/>
    <mergeCell ref="M40:M41"/>
    <mergeCell ref="B34:B39"/>
    <mergeCell ref="B40:B41"/>
    <mergeCell ref="C40:E40"/>
    <mergeCell ref="F40:F41"/>
    <mergeCell ref="G40:G41"/>
    <mergeCell ref="H40:H41"/>
    <mergeCell ref="I40:I41"/>
    <mergeCell ref="J40:J41"/>
    <mergeCell ref="K40:K41"/>
    <mergeCell ref="C34:E34"/>
    <mergeCell ref="F34:F35"/>
    <mergeCell ref="G34:G35"/>
    <mergeCell ref="H34:H35"/>
    <mergeCell ref="I34:I35"/>
    <mergeCell ref="J34:J35"/>
    <mergeCell ref="M34:M35"/>
    <mergeCell ref="C36:E36"/>
    <mergeCell ref="F36:F37"/>
    <mergeCell ref="G36:G37"/>
    <mergeCell ref="H36:H37"/>
    <mergeCell ref="I36:I37"/>
    <mergeCell ref="J36:J37"/>
  </mergeCells>
  <phoneticPr fontId="4" type="noConversion"/>
  <printOptions horizontalCentered="1"/>
  <pageMargins left="0.15748031496062992" right="0.15748031496062992" top="0.35433070866141736" bottom="0.19685039370078741" header="0.31496062992125984" footer="0.31496062992125984"/>
  <pageSetup paperSize="9" scale="5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55"/>
  <sheetViews>
    <sheetView zoomScaleNormal="100" workbookViewId="0"/>
  </sheetViews>
  <sheetFormatPr defaultRowHeight="11.25"/>
  <cols>
    <col min="1" max="1" width="1.125" style="196" customWidth="1"/>
    <col min="2" max="2" width="12.625" style="196" customWidth="1"/>
    <col min="3" max="3" width="11.5" style="196" customWidth="1"/>
    <col min="4" max="6" width="8.625" style="196" customWidth="1"/>
    <col min="7" max="7" width="9.75" style="196" customWidth="1"/>
    <col min="8" max="8" width="12.25" style="196" bestFit="1" customWidth="1"/>
    <col min="9" max="9" width="12" style="196" customWidth="1"/>
    <col min="10" max="10" width="8.625" style="196" customWidth="1"/>
    <col min="11" max="11" width="9.375" style="196" customWidth="1"/>
    <col min="12" max="13" width="9" style="196" bestFit="1" customWidth="1"/>
    <col min="14" max="25" width="8.125" style="196" customWidth="1"/>
    <col min="26" max="16384" width="9" style="196"/>
  </cols>
  <sheetData>
    <row r="1" spans="1:28" s="165" customFormat="1" ht="30" customHeight="1" thickBot="1">
      <c r="B1" s="1124" t="s">
        <v>731</v>
      </c>
      <c r="C1" s="1124"/>
      <c r="D1" s="1124"/>
      <c r="E1" s="1124"/>
      <c r="F1" s="1124"/>
      <c r="G1" s="1124"/>
      <c r="H1" s="1124"/>
      <c r="I1" s="1124"/>
      <c r="J1" s="1124"/>
      <c r="K1" s="1124"/>
      <c r="L1" s="1124"/>
      <c r="M1" s="1124"/>
      <c r="N1" s="1124"/>
      <c r="O1" s="1124"/>
      <c r="P1" s="1124"/>
      <c r="Q1" s="1124"/>
      <c r="R1" s="1124"/>
      <c r="S1" s="1124"/>
      <c r="T1" s="1124"/>
      <c r="U1" s="1124"/>
      <c r="V1" s="1124"/>
      <c r="W1" s="1124"/>
      <c r="X1" s="1124"/>
      <c r="Y1" s="1124"/>
      <c r="Z1" s="1124"/>
      <c r="AA1" s="1124"/>
      <c r="AB1" s="1124"/>
    </row>
    <row r="2" spans="1:28" s="112" customFormat="1" ht="5.25" customHeight="1" thickTop="1">
      <c r="A2" s="77"/>
      <c r="B2" s="77"/>
      <c r="C2" s="77"/>
      <c r="D2" s="77"/>
      <c r="E2" s="77"/>
      <c r="F2" s="77"/>
      <c r="G2" s="77"/>
      <c r="H2" s="77"/>
      <c r="I2" s="77"/>
      <c r="J2" s="77"/>
      <c r="K2" s="77"/>
      <c r="L2" s="77"/>
      <c r="M2" s="77"/>
      <c r="N2" s="77"/>
      <c r="O2" s="77"/>
      <c r="P2" s="77"/>
      <c r="Q2" s="77"/>
      <c r="R2" s="77"/>
      <c r="S2" s="77"/>
      <c r="T2" s="77"/>
      <c r="U2" s="77"/>
      <c r="V2" s="77"/>
      <c r="W2" s="77"/>
      <c r="X2" s="77"/>
      <c r="Y2" s="77"/>
    </row>
    <row r="3" spans="1:28" s="113" customFormat="1" ht="18" customHeight="1">
      <c r="A3" s="78"/>
      <c r="B3" s="79" t="s">
        <v>433</v>
      </c>
      <c r="C3" s="78"/>
      <c r="D3" s="78"/>
      <c r="E3" s="78"/>
      <c r="F3" s="78"/>
      <c r="G3" s="78"/>
      <c r="H3" s="78"/>
      <c r="I3" s="78"/>
      <c r="J3" s="78"/>
      <c r="K3" s="78"/>
      <c r="L3" s="78"/>
      <c r="M3" s="78"/>
      <c r="N3" s="78"/>
      <c r="O3" s="78"/>
      <c r="P3" s="78"/>
      <c r="Q3" s="78"/>
      <c r="R3" s="78"/>
      <c r="S3" s="78"/>
      <c r="T3" s="78"/>
      <c r="U3" s="78"/>
      <c r="V3" s="78"/>
      <c r="W3" s="78"/>
      <c r="X3" s="78"/>
      <c r="Y3" s="78"/>
    </row>
    <row r="4" spans="1:28" s="113" customFormat="1" ht="18" customHeight="1">
      <c r="A4" s="78"/>
      <c r="B4" s="80" t="s">
        <v>434</v>
      </c>
      <c r="C4" s="78"/>
      <c r="D4" s="78"/>
      <c r="E4" s="78"/>
      <c r="F4" s="78"/>
      <c r="G4" s="78"/>
      <c r="H4" s="78"/>
      <c r="I4" s="78"/>
      <c r="J4" s="78"/>
      <c r="K4" s="78"/>
      <c r="L4" s="78"/>
      <c r="M4" s="78"/>
      <c r="N4" s="78"/>
      <c r="O4" s="78"/>
      <c r="P4" s="78"/>
      <c r="Q4" s="78"/>
      <c r="R4" s="78"/>
      <c r="S4" s="78"/>
      <c r="T4" s="78"/>
      <c r="U4" s="78"/>
      <c r="V4" s="78"/>
      <c r="W4" s="78"/>
      <c r="X4" s="78"/>
      <c r="Y4" s="78"/>
    </row>
    <row r="5" spans="1:28" s="167" customFormat="1" ht="18" customHeight="1">
      <c r="B5" s="168"/>
      <c r="C5" s="168"/>
      <c r="D5" s="168"/>
      <c r="E5" s="168"/>
      <c r="F5" s="168"/>
      <c r="G5" s="168"/>
    </row>
    <row r="6" spans="1:28" s="166" customFormat="1" ht="18" customHeight="1" thickBot="1">
      <c r="B6" s="169" t="s">
        <v>435</v>
      </c>
      <c r="E6" s="170"/>
      <c r="F6" s="171"/>
      <c r="G6" s="171"/>
      <c r="H6" s="171"/>
      <c r="I6" s="171"/>
      <c r="J6" s="171"/>
    </row>
    <row r="7" spans="1:28" s="172" customFormat="1" ht="18" customHeight="1">
      <c r="B7" s="1091" t="s">
        <v>436</v>
      </c>
      <c r="C7" s="1092"/>
      <c r="D7" s="1093" t="s">
        <v>316</v>
      </c>
      <c r="E7" s="1094"/>
      <c r="F7" s="1094"/>
      <c r="G7" s="1094"/>
      <c r="H7" s="1094"/>
      <c r="I7" s="1094"/>
      <c r="J7" s="1094"/>
      <c r="K7" s="1094"/>
      <c r="L7" s="1095"/>
      <c r="M7" s="1091" t="s">
        <v>437</v>
      </c>
      <c r="N7" s="1096"/>
      <c r="O7" s="1096"/>
      <c r="P7" s="1096"/>
      <c r="Q7" s="1096"/>
      <c r="R7" s="1096"/>
      <c r="S7" s="1096"/>
      <c r="T7" s="1096"/>
      <c r="U7" s="1097"/>
    </row>
    <row r="8" spans="1:28" s="172" customFormat="1" ht="18" customHeight="1">
      <c r="B8" s="707" t="s">
        <v>438</v>
      </c>
      <c r="C8" s="1038"/>
      <c r="D8" s="711" t="s">
        <v>439</v>
      </c>
      <c r="E8" s="712"/>
      <c r="F8" s="712"/>
      <c r="G8" s="712"/>
      <c r="H8" s="712"/>
      <c r="I8" s="712"/>
      <c r="J8" s="712"/>
      <c r="K8" s="712"/>
      <c r="L8" s="713"/>
      <c r="M8" s="1098"/>
      <c r="N8" s="1099"/>
      <c r="O8" s="1099"/>
      <c r="P8" s="1099"/>
      <c r="Q8" s="1099"/>
      <c r="R8" s="1099"/>
      <c r="S8" s="1099"/>
      <c r="T8" s="1099"/>
      <c r="U8" s="1100"/>
    </row>
    <row r="9" spans="1:28" s="172" customFormat="1" ht="18" customHeight="1">
      <c r="B9" s="1039"/>
      <c r="C9" s="1040"/>
      <c r="D9" s="720" t="s">
        <v>440</v>
      </c>
      <c r="E9" s="721"/>
      <c r="F9" s="721"/>
      <c r="G9" s="721"/>
      <c r="H9" s="721"/>
      <c r="I9" s="721"/>
      <c r="J9" s="721"/>
      <c r="K9" s="721"/>
      <c r="L9" s="722"/>
      <c r="M9" s="1101"/>
      <c r="N9" s="1102"/>
      <c r="O9" s="1102"/>
      <c r="P9" s="1102"/>
      <c r="Q9" s="1102"/>
      <c r="R9" s="1102"/>
      <c r="S9" s="1102"/>
      <c r="T9" s="1102"/>
      <c r="U9" s="1103"/>
    </row>
    <row r="10" spans="1:28" s="172" customFormat="1" ht="18" customHeight="1">
      <c r="B10" s="707" t="s">
        <v>441</v>
      </c>
      <c r="C10" s="1038"/>
      <c r="D10" s="711" t="s">
        <v>442</v>
      </c>
      <c r="E10" s="712"/>
      <c r="F10" s="712"/>
      <c r="G10" s="712"/>
      <c r="H10" s="712"/>
      <c r="I10" s="712"/>
      <c r="J10" s="712"/>
      <c r="K10" s="712"/>
      <c r="L10" s="713"/>
      <c r="M10" s="1041"/>
      <c r="N10" s="1042"/>
      <c r="O10" s="1042"/>
      <c r="P10" s="1042"/>
      <c r="Q10" s="1042"/>
      <c r="R10" s="1042"/>
      <c r="S10" s="1042"/>
      <c r="T10" s="1042"/>
      <c r="U10" s="1043"/>
    </row>
    <row r="11" spans="1:28" s="172" customFormat="1" ht="18" customHeight="1">
      <c r="B11" s="1039"/>
      <c r="C11" s="1040"/>
      <c r="D11" s="1047" t="s">
        <v>88</v>
      </c>
      <c r="E11" s="1048"/>
      <c r="F11" s="1048"/>
      <c r="G11" s="1048"/>
      <c r="H11" s="1048"/>
      <c r="I11" s="1048"/>
      <c r="J11" s="1048"/>
      <c r="K11" s="1048"/>
      <c r="L11" s="1049"/>
      <c r="M11" s="1044"/>
      <c r="N11" s="1045"/>
      <c r="O11" s="1045"/>
      <c r="P11" s="1045"/>
      <c r="Q11" s="1045"/>
      <c r="R11" s="1045"/>
      <c r="S11" s="1045"/>
      <c r="T11" s="1045"/>
      <c r="U11" s="1046"/>
    </row>
    <row r="12" spans="1:28" s="172" customFormat="1" ht="18" customHeight="1">
      <c r="B12" s="1050" t="s">
        <v>443</v>
      </c>
      <c r="C12" s="1051"/>
      <c r="D12" s="1114" t="s">
        <v>56</v>
      </c>
      <c r="E12" s="1115"/>
      <c r="F12" s="1115"/>
      <c r="G12" s="1115"/>
      <c r="H12" s="1115"/>
      <c r="I12" s="1115"/>
      <c r="J12" s="1115"/>
      <c r="K12" s="1115"/>
      <c r="L12" s="1116"/>
      <c r="M12" s="1054" t="s">
        <v>57</v>
      </c>
      <c r="N12" s="1055"/>
      <c r="O12" s="1055"/>
      <c r="P12" s="1055"/>
      <c r="Q12" s="1055"/>
      <c r="R12" s="1055"/>
      <c r="S12" s="1055"/>
      <c r="T12" s="1055"/>
      <c r="U12" s="1056"/>
    </row>
    <row r="13" spans="1:28" s="172" customFormat="1" ht="18" customHeight="1">
      <c r="B13" s="1050"/>
      <c r="C13" s="1051"/>
      <c r="D13" s="297" t="s">
        <v>444</v>
      </c>
      <c r="E13" s="1104" t="s">
        <v>297</v>
      </c>
      <c r="F13" s="1105"/>
      <c r="G13" s="1105"/>
      <c r="H13" s="1106"/>
      <c r="I13" s="1104" t="s">
        <v>445</v>
      </c>
      <c r="J13" s="1105"/>
      <c r="K13" s="1105"/>
      <c r="L13" s="1107"/>
      <c r="M13" s="1054"/>
      <c r="N13" s="1055"/>
      <c r="O13" s="1055"/>
      <c r="P13" s="1055"/>
      <c r="Q13" s="1055"/>
      <c r="R13" s="1055"/>
      <c r="S13" s="1055"/>
      <c r="T13" s="1055"/>
      <c r="U13" s="1056"/>
    </row>
    <row r="14" spans="1:28" s="172" customFormat="1" ht="18" customHeight="1">
      <c r="B14" s="1050"/>
      <c r="C14" s="1051"/>
      <c r="D14" s="297" t="s">
        <v>50</v>
      </c>
      <c r="E14" s="1108">
        <v>1.0999999999999999E-2</v>
      </c>
      <c r="F14" s="1109"/>
      <c r="G14" s="1109"/>
      <c r="H14" s="1110"/>
      <c r="I14" s="1111" t="s">
        <v>446</v>
      </c>
      <c r="J14" s="1112"/>
      <c r="K14" s="1112"/>
      <c r="L14" s="1113"/>
      <c r="M14" s="1054"/>
      <c r="N14" s="1055"/>
      <c r="O14" s="1055"/>
      <c r="P14" s="1055"/>
      <c r="Q14" s="1055"/>
      <c r="R14" s="1055"/>
      <c r="S14" s="1055"/>
      <c r="T14" s="1055"/>
      <c r="U14" s="1056"/>
    </row>
    <row r="15" spans="1:28" s="172" customFormat="1" ht="18" customHeight="1" thickBot="1">
      <c r="B15" s="1052"/>
      <c r="C15" s="1053"/>
      <c r="D15" s="298" t="s">
        <v>89</v>
      </c>
      <c r="E15" s="1074" t="s">
        <v>90</v>
      </c>
      <c r="F15" s="1075"/>
      <c r="G15" s="1075"/>
      <c r="H15" s="1076"/>
      <c r="I15" s="1074" t="s">
        <v>447</v>
      </c>
      <c r="J15" s="1075"/>
      <c r="K15" s="1075"/>
      <c r="L15" s="1077"/>
      <c r="M15" s="1057"/>
      <c r="N15" s="1058"/>
      <c r="O15" s="1058"/>
      <c r="P15" s="1058"/>
      <c r="Q15" s="1058"/>
      <c r="R15" s="1058"/>
      <c r="S15" s="1058"/>
      <c r="T15" s="1058"/>
      <c r="U15" s="1059"/>
    </row>
    <row r="16" spans="1:28" s="172" customFormat="1" ht="18" customHeight="1">
      <c r="B16" s="173"/>
      <c r="C16" s="173"/>
      <c r="D16" s="573"/>
      <c r="E16" s="573"/>
      <c r="F16" s="573"/>
      <c r="G16" s="573"/>
      <c r="H16" s="573"/>
      <c r="I16" s="573"/>
      <c r="J16" s="573"/>
      <c r="K16" s="573"/>
      <c r="L16" s="573"/>
      <c r="N16" s="574"/>
      <c r="O16" s="574"/>
      <c r="P16" s="574"/>
      <c r="Q16" s="574"/>
      <c r="R16" s="574"/>
      <c r="S16" s="574"/>
      <c r="T16" s="574"/>
      <c r="U16" s="166"/>
      <c r="V16" s="166"/>
    </row>
    <row r="17" spans="1:28" s="167" customFormat="1" ht="18" customHeight="1">
      <c r="B17" s="35" t="s">
        <v>448</v>
      </c>
      <c r="C17" s="174"/>
      <c r="D17" s="174"/>
      <c r="E17" s="174"/>
      <c r="F17" s="174"/>
      <c r="G17" s="174"/>
      <c r="H17" s="175"/>
      <c r="I17" s="175"/>
      <c r="J17" s="175"/>
      <c r="K17" s="175"/>
      <c r="L17" s="175"/>
      <c r="M17" s="175"/>
      <c r="N17" s="175"/>
      <c r="O17" s="175"/>
      <c r="P17" s="175"/>
      <c r="Q17" s="175"/>
    </row>
    <row r="18" spans="1:28" s="34" customFormat="1" ht="25.5" customHeight="1">
      <c r="B18" s="423" t="s">
        <v>390</v>
      </c>
      <c r="C18" s="423"/>
      <c r="D18" s="423"/>
      <c r="E18" s="423"/>
      <c r="F18" s="423"/>
      <c r="G18" s="423"/>
      <c r="H18" s="424"/>
      <c r="I18" s="424"/>
      <c r="J18" s="424"/>
      <c r="K18" s="425"/>
      <c r="L18" s="425"/>
      <c r="M18" s="425"/>
      <c r="N18" s="424"/>
      <c r="O18" s="424"/>
      <c r="P18" s="424"/>
      <c r="Q18" s="424"/>
      <c r="R18" s="424"/>
      <c r="S18" s="424"/>
      <c r="T18" s="424"/>
      <c r="U18" s="424"/>
      <c r="V18" s="424"/>
      <c r="W18" s="424"/>
      <c r="X18" s="424"/>
      <c r="Y18" s="424"/>
      <c r="Z18" s="424"/>
    </row>
    <row r="19" spans="1:28" s="34" customFormat="1" ht="24" customHeight="1">
      <c r="A19" s="29"/>
      <c r="B19" s="30" t="s">
        <v>110</v>
      </c>
      <c r="C19" s="31"/>
      <c r="D19" s="31"/>
      <c r="E19" s="31"/>
      <c r="F19" s="31"/>
      <c r="G19" s="31"/>
      <c r="H19" s="32"/>
      <c r="I19" s="32"/>
      <c r="J19" s="33"/>
      <c r="K19" s="33"/>
      <c r="L19" s="33"/>
      <c r="M19" s="32"/>
      <c r="N19" s="32"/>
      <c r="O19" s="32"/>
      <c r="P19" s="32"/>
      <c r="Q19" s="32"/>
      <c r="R19" s="32"/>
      <c r="S19" s="32"/>
      <c r="T19" s="32"/>
      <c r="U19" s="32"/>
      <c r="V19" s="32"/>
      <c r="W19" s="32"/>
      <c r="X19" s="32"/>
      <c r="Y19" s="32"/>
      <c r="Z19" s="29"/>
      <c r="AA19" s="29"/>
    </row>
    <row r="20" spans="1:28" s="36" customFormat="1" ht="8.25" customHeight="1" thickBot="1">
      <c r="A20" s="358"/>
      <c r="B20" s="35"/>
      <c r="C20" s="358"/>
      <c r="D20" s="357"/>
      <c r="E20" s="357"/>
      <c r="F20" s="357"/>
      <c r="G20" s="358"/>
      <c r="H20" s="358"/>
      <c r="I20" s="358"/>
      <c r="J20" s="358"/>
      <c r="K20" s="358"/>
      <c r="L20" s="358"/>
      <c r="M20" s="358"/>
      <c r="N20" s="358"/>
      <c r="O20" s="358"/>
      <c r="P20" s="358"/>
      <c r="Q20" s="358"/>
      <c r="R20" s="358"/>
      <c r="S20" s="358"/>
      <c r="T20" s="358"/>
      <c r="U20" s="358"/>
      <c r="V20" s="358"/>
      <c r="W20" s="358"/>
      <c r="X20" s="358"/>
      <c r="Y20" s="358"/>
      <c r="Z20" s="357"/>
    </row>
    <row r="21" spans="1:28" s="174" customFormat="1" ht="18" customHeight="1">
      <c r="B21" s="1065" t="s">
        <v>449</v>
      </c>
      <c r="C21" s="1066"/>
      <c r="D21" s="1067"/>
      <c r="E21" s="1068" t="s">
        <v>450</v>
      </c>
      <c r="F21" s="1070" t="s">
        <v>283</v>
      </c>
      <c r="G21" s="306" t="s">
        <v>438</v>
      </c>
      <c r="H21" s="307" t="s">
        <v>441</v>
      </c>
      <c r="I21" s="1072" t="s">
        <v>451</v>
      </c>
      <c r="J21" s="1073"/>
      <c r="K21" s="1065" t="s">
        <v>114</v>
      </c>
      <c r="L21" s="1066"/>
      <c r="M21" s="1067"/>
      <c r="N21" s="1122" t="s">
        <v>452</v>
      </c>
      <c r="O21" s="1123"/>
      <c r="P21" s="308">
        <v>0.93</v>
      </c>
      <c r="Q21" s="1122" t="s">
        <v>453</v>
      </c>
      <c r="R21" s="1123"/>
      <c r="S21" s="308">
        <v>0.86</v>
      </c>
      <c r="T21" s="1122" t="s">
        <v>238</v>
      </c>
      <c r="U21" s="1123"/>
      <c r="V21" s="308">
        <v>0.83</v>
      </c>
      <c r="W21" s="1122" t="s">
        <v>277</v>
      </c>
      <c r="X21" s="1123"/>
      <c r="Y21" s="308">
        <v>0.75</v>
      </c>
      <c r="Z21" s="1125" t="s">
        <v>91</v>
      </c>
      <c r="AA21" s="1126"/>
      <c r="AB21" s="308">
        <v>0.7</v>
      </c>
    </row>
    <row r="22" spans="1:28" s="174" customFormat="1" ht="30" customHeight="1" thickBot="1">
      <c r="B22" s="569" t="s">
        <v>454</v>
      </c>
      <c r="C22" s="570" t="s">
        <v>43</v>
      </c>
      <c r="D22" s="391" t="s">
        <v>92</v>
      </c>
      <c r="E22" s="1069"/>
      <c r="F22" s="1071"/>
      <c r="G22" s="309">
        <v>2.95</v>
      </c>
      <c r="H22" s="251" t="s">
        <v>348</v>
      </c>
      <c r="I22" s="310" t="s">
        <v>93</v>
      </c>
      <c r="J22" s="311" t="s">
        <v>455</v>
      </c>
      <c r="K22" s="312" t="s">
        <v>94</v>
      </c>
      <c r="L22" s="255" t="s">
        <v>96</v>
      </c>
      <c r="M22" s="256" t="s">
        <v>95</v>
      </c>
      <c r="N22" s="312" t="s">
        <v>94</v>
      </c>
      <c r="O22" s="255" t="s">
        <v>96</v>
      </c>
      <c r="P22" s="256" t="s">
        <v>95</v>
      </c>
      <c r="Q22" s="551" t="s">
        <v>94</v>
      </c>
      <c r="R22" s="571" t="s">
        <v>96</v>
      </c>
      <c r="S22" s="572" t="s">
        <v>95</v>
      </c>
      <c r="T22" s="312" t="s">
        <v>94</v>
      </c>
      <c r="U22" s="255" t="s">
        <v>96</v>
      </c>
      <c r="V22" s="256" t="s">
        <v>95</v>
      </c>
      <c r="W22" s="312" t="s">
        <v>94</v>
      </c>
      <c r="X22" s="255" t="s">
        <v>96</v>
      </c>
      <c r="Y22" s="256" t="s">
        <v>95</v>
      </c>
      <c r="Z22" s="312" t="s">
        <v>94</v>
      </c>
      <c r="AA22" s="255" t="s">
        <v>96</v>
      </c>
      <c r="AB22" s="256" t="s">
        <v>95</v>
      </c>
    </row>
    <row r="23" spans="1:28" s="175" customFormat="1" ht="18" customHeight="1">
      <c r="B23" s="1127" t="s">
        <v>456</v>
      </c>
      <c r="C23" s="1128"/>
      <c r="D23" s="1129"/>
      <c r="E23" s="1130">
        <v>1000</v>
      </c>
      <c r="F23" s="1131">
        <f>E23*C24</f>
        <v>2400</v>
      </c>
      <c r="G23" s="1060">
        <f>F23*$G$22</f>
        <v>7080</v>
      </c>
      <c r="H23" s="1060">
        <f>F23*10%*11</f>
        <v>2640</v>
      </c>
      <c r="I23" s="1061">
        <v>0</v>
      </c>
      <c r="J23" s="1063">
        <v>0</v>
      </c>
      <c r="K23" s="176">
        <f>G23</f>
        <v>7080</v>
      </c>
      <c r="L23" s="177">
        <f>G23+H23</f>
        <v>9720</v>
      </c>
      <c r="M23" s="178">
        <f>G23+H23+I23+J23</f>
        <v>9720</v>
      </c>
      <c r="N23" s="179">
        <f t="shared" ref="N23:N42" si="0">$K23*$P$21</f>
        <v>6584.4000000000005</v>
      </c>
      <c r="O23" s="177">
        <f t="shared" ref="O23:O42" si="1">$L23*$P$21</f>
        <v>9039.6</v>
      </c>
      <c r="P23" s="544">
        <f t="shared" ref="P23:P42" si="2">$M23*$P$21</f>
        <v>9039.6</v>
      </c>
      <c r="Q23" s="552">
        <f>$K23*$S$21</f>
        <v>6088.8</v>
      </c>
      <c r="R23" s="553">
        <f>$L23*$S$21</f>
        <v>8359.2000000000007</v>
      </c>
      <c r="S23" s="554">
        <f>$M23*$S$21</f>
        <v>8359.2000000000007</v>
      </c>
      <c r="T23" s="176">
        <f t="shared" ref="T23:T42" si="3">$K23*$V$21</f>
        <v>5876.4</v>
      </c>
      <c r="U23" s="177">
        <f t="shared" ref="U23:U42" si="4">$L23*$V$21</f>
        <v>8067.5999999999995</v>
      </c>
      <c r="V23" s="178">
        <f t="shared" ref="V23:V42" si="5">$M23*$V$21</f>
        <v>8067.5999999999995</v>
      </c>
      <c r="W23" s="179">
        <f t="shared" ref="W23:W42" si="6">$K23*$Y$21</f>
        <v>5310</v>
      </c>
      <c r="X23" s="177">
        <f t="shared" ref="X23:X42" si="7">$L23*$Y$21</f>
        <v>7290</v>
      </c>
      <c r="Y23" s="178">
        <f t="shared" ref="Y23:Y42" si="8">$M23*$Y$21</f>
        <v>7290</v>
      </c>
      <c r="Z23" s="179">
        <f t="shared" ref="Z23:Z42" si="9">$K23*$AB$21</f>
        <v>4956</v>
      </c>
      <c r="AA23" s="177">
        <f t="shared" ref="AA23:AA42" si="10">$L23*$AB$21</f>
        <v>6804</v>
      </c>
      <c r="AB23" s="178">
        <f t="shared" ref="AB23:AB42" si="11">$M23*$AB$21</f>
        <v>6804</v>
      </c>
    </row>
    <row r="24" spans="1:28" s="175" customFormat="1" ht="18" customHeight="1">
      <c r="B24" s="299" t="s">
        <v>357</v>
      </c>
      <c r="C24" s="300">
        <v>2.4</v>
      </c>
      <c r="D24" s="301" t="s">
        <v>97</v>
      </c>
      <c r="E24" s="1036"/>
      <c r="F24" s="1037"/>
      <c r="G24" s="1030"/>
      <c r="H24" s="1030"/>
      <c r="I24" s="1062"/>
      <c r="J24" s="1064"/>
      <c r="K24" s="180">
        <f>K23/E23</f>
        <v>7.08</v>
      </c>
      <c r="L24" s="181">
        <f>L23/E23</f>
        <v>9.7200000000000006</v>
      </c>
      <c r="M24" s="182">
        <f>M23/E23</f>
        <v>9.7200000000000006</v>
      </c>
      <c r="N24" s="183">
        <f t="shared" si="0"/>
        <v>6.5844000000000005</v>
      </c>
      <c r="O24" s="157">
        <f t="shared" si="1"/>
        <v>9.0396000000000019</v>
      </c>
      <c r="P24" s="545">
        <f t="shared" si="2"/>
        <v>9.0396000000000019</v>
      </c>
      <c r="Q24" s="183">
        <f>$K24*$S$21</f>
        <v>6.0888</v>
      </c>
      <c r="R24" s="157">
        <f>$L24*$S$21</f>
        <v>8.3592000000000013</v>
      </c>
      <c r="S24" s="184">
        <f>$M24*$S$21</f>
        <v>8.3592000000000013</v>
      </c>
      <c r="T24" s="548">
        <f t="shared" si="3"/>
        <v>5.8763999999999994</v>
      </c>
      <c r="U24" s="157">
        <f t="shared" si="4"/>
        <v>8.0676000000000005</v>
      </c>
      <c r="V24" s="184">
        <f t="shared" si="5"/>
        <v>8.0676000000000005</v>
      </c>
      <c r="W24" s="183">
        <f t="shared" si="6"/>
        <v>5.3100000000000005</v>
      </c>
      <c r="X24" s="157">
        <f t="shared" si="7"/>
        <v>7.2900000000000009</v>
      </c>
      <c r="Y24" s="184">
        <f t="shared" si="8"/>
        <v>7.2900000000000009</v>
      </c>
      <c r="Z24" s="183">
        <f t="shared" si="9"/>
        <v>4.9559999999999995</v>
      </c>
      <c r="AA24" s="157">
        <f t="shared" si="10"/>
        <v>6.8040000000000003</v>
      </c>
      <c r="AB24" s="184">
        <f t="shared" si="11"/>
        <v>6.8040000000000003</v>
      </c>
    </row>
    <row r="25" spans="1:28" s="167" customFormat="1" ht="18" customHeight="1">
      <c r="B25" s="1033" t="s">
        <v>457</v>
      </c>
      <c r="C25" s="1034"/>
      <c r="D25" s="1035"/>
      <c r="E25" s="1036">
        <v>1000</v>
      </c>
      <c r="F25" s="1037">
        <f>E25*C26</f>
        <v>2600</v>
      </c>
      <c r="G25" s="1030">
        <f>F25*$G$22</f>
        <v>7670.0000000000009</v>
      </c>
      <c r="H25" s="1030">
        <f>F25*10%*11</f>
        <v>2860</v>
      </c>
      <c r="I25" s="1031">
        <v>0</v>
      </c>
      <c r="J25" s="1032">
        <v>0</v>
      </c>
      <c r="K25" s="176">
        <f>G25</f>
        <v>7670.0000000000009</v>
      </c>
      <c r="L25" s="177">
        <f>G25+H25</f>
        <v>10530</v>
      </c>
      <c r="M25" s="178">
        <f>G25+H25+I25+J25</f>
        <v>10530</v>
      </c>
      <c r="N25" s="185">
        <f t="shared" si="0"/>
        <v>7133.1000000000013</v>
      </c>
      <c r="O25" s="186">
        <f t="shared" si="1"/>
        <v>9792.9</v>
      </c>
      <c r="P25" s="546">
        <f t="shared" si="2"/>
        <v>9792.9</v>
      </c>
      <c r="Q25" s="185">
        <f t="shared" ref="Q25:Q42" si="12">$K25*$S$21</f>
        <v>6596.2000000000007</v>
      </c>
      <c r="R25" s="186">
        <f t="shared" ref="R25:R42" si="13">$L25*$S$21</f>
        <v>9055.7999999999993</v>
      </c>
      <c r="S25" s="187">
        <f t="shared" ref="S25:S42" si="14">$M25*$S$21</f>
        <v>9055.7999999999993</v>
      </c>
      <c r="T25" s="549">
        <f t="shared" si="3"/>
        <v>6366.1</v>
      </c>
      <c r="U25" s="186">
        <f t="shared" si="4"/>
        <v>8739.9</v>
      </c>
      <c r="V25" s="187">
        <f t="shared" si="5"/>
        <v>8739.9</v>
      </c>
      <c r="W25" s="185">
        <f t="shared" si="6"/>
        <v>5752.5000000000009</v>
      </c>
      <c r="X25" s="186">
        <f t="shared" si="7"/>
        <v>7897.5</v>
      </c>
      <c r="Y25" s="187">
        <f t="shared" si="8"/>
        <v>7897.5</v>
      </c>
      <c r="Z25" s="185">
        <f t="shared" si="9"/>
        <v>5369</v>
      </c>
      <c r="AA25" s="186">
        <f t="shared" si="10"/>
        <v>7370.9999999999991</v>
      </c>
      <c r="AB25" s="187">
        <f t="shared" si="11"/>
        <v>7370.9999999999991</v>
      </c>
    </row>
    <row r="26" spans="1:28" s="167" customFormat="1" ht="18" customHeight="1">
      <c r="B26" s="299" t="s">
        <v>357</v>
      </c>
      <c r="C26" s="300">
        <v>2.6</v>
      </c>
      <c r="D26" s="301" t="s">
        <v>97</v>
      </c>
      <c r="E26" s="1036"/>
      <c r="F26" s="1037"/>
      <c r="G26" s="1030"/>
      <c r="H26" s="1030"/>
      <c r="I26" s="1031"/>
      <c r="J26" s="1032"/>
      <c r="K26" s="180">
        <f>K25/E25</f>
        <v>7.6700000000000008</v>
      </c>
      <c r="L26" s="181">
        <f>L25/E25</f>
        <v>10.53</v>
      </c>
      <c r="M26" s="182">
        <f>M25/E25</f>
        <v>10.53</v>
      </c>
      <c r="N26" s="183">
        <f t="shared" si="0"/>
        <v>7.1331000000000016</v>
      </c>
      <c r="O26" s="157">
        <f t="shared" si="1"/>
        <v>9.7928999999999995</v>
      </c>
      <c r="P26" s="545">
        <f t="shared" si="2"/>
        <v>9.7928999999999995</v>
      </c>
      <c r="Q26" s="183">
        <f t="shared" si="12"/>
        <v>6.5962000000000005</v>
      </c>
      <c r="R26" s="157">
        <f t="shared" si="13"/>
        <v>9.0557999999999996</v>
      </c>
      <c r="S26" s="184">
        <f t="shared" si="14"/>
        <v>9.0557999999999996</v>
      </c>
      <c r="T26" s="548">
        <f t="shared" si="3"/>
        <v>6.3661000000000003</v>
      </c>
      <c r="U26" s="157">
        <f t="shared" si="4"/>
        <v>8.7398999999999987</v>
      </c>
      <c r="V26" s="184">
        <f t="shared" si="5"/>
        <v>8.7398999999999987</v>
      </c>
      <c r="W26" s="183">
        <f t="shared" si="6"/>
        <v>5.7525000000000004</v>
      </c>
      <c r="X26" s="157">
        <f t="shared" si="7"/>
        <v>7.8974999999999991</v>
      </c>
      <c r="Y26" s="184">
        <f t="shared" si="8"/>
        <v>7.8974999999999991</v>
      </c>
      <c r="Z26" s="183">
        <f t="shared" si="9"/>
        <v>5.3690000000000007</v>
      </c>
      <c r="AA26" s="157">
        <f t="shared" si="10"/>
        <v>7.3709999999999987</v>
      </c>
      <c r="AB26" s="184">
        <f t="shared" si="11"/>
        <v>7.3709999999999987</v>
      </c>
    </row>
    <row r="27" spans="1:28" s="175" customFormat="1" ht="18" customHeight="1">
      <c r="B27" s="1078" t="s">
        <v>458</v>
      </c>
      <c r="C27" s="1079"/>
      <c r="D27" s="1080"/>
      <c r="E27" s="1081">
        <v>1000</v>
      </c>
      <c r="F27" s="1037">
        <f>E27*C28</f>
        <v>2400</v>
      </c>
      <c r="G27" s="1030">
        <f>F27*$G$22</f>
        <v>7080</v>
      </c>
      <c r="H27" s="1030">
        <f>F27*10%*11</f>
        <v>2640</v>
      </c>
      <c r="I27" s="1062">
        <v>0</v>
      </c>
      <c r="J27" s="1064">
        <v>0</v>
      </c>
      <c r="K27" s="176">
        <f>G27</f>
        <v>7080</v>
      </c>
      <c r="L27" s="177">
        <f>G27+H27</f>
        <v>9720</v>
      </c>
      <c r="M27" s="178">
        <f>G27+H27+I27+J27</f>
        <v>9720</v>
      </c>
      <c r="N27" s="185">
        <f t="shared" si="0"/>
        <v>6584.4000000000005</v>
      </c>
      <c r="O27" s="186">
        <f t="shared" si="1"/>
        <v>9039.6</v>
      </c>
      <c r="P27" s="546">
        <f t="shared" si="2"/>
        <v>9039.6</v>
      </c>
      <c r="Q27" s="185">
        <f t="shared" si="12"/>
        <v>6088.8</v>
      </c>
      <c r="R27" s="186">
        <f t="shared" si="13"/>
        <v>8359.2000000000007</v>
      </c>
      <c r="S27" s="187">
        <f t="shared" si="14"/>
        <v>8359.2000000000007</v>
      </c>
      <c r="T27" s="549">
        <f t="shared" si="3"/>
        <v>5876.4</v>
      </c>
      <c r="U27" s="186">
        <f t="shared" si="4"/>
        <v>8067.5999999999995</v>
      </c>
      <c r="V27" s="187">
        <f t="shared" si="5"/>
        <v>8067.5999999999995</v>
      </c>
      <c r="W27" s="185">
        <f t="shared" si="6"/>
        <v>5310</v>
      </c>
      <c r="X27" s="186">
        <f t="shared" si="7"/>
        <v>7290</v>
      </c>
      <c r="Y27" s="187">
        <f t="shared" si="8"/>
        <v>7290</v>
      </c>
      <c r="Z27" s="185">
        <f t="shared" si="9"/>
        <v>4956</v>
      </c>
      <c r="AA27" s="186">
        <f t="shared" si="10"/>
        <v>6804</v>
      </c>
      <c r="AB27" s="187">
        <f t="shared" si="11"/>
        <v>6804</v>
      </c>
    </row>
    <row r="28" spans="1:28" s="175" customFormat="1" ht="18" customHeight="1">
      <c r="B28" s="299" t="s">
        <v>357</v>
      </c>
      <c r="C28" s="300">
        <v>2.4</v>
      </c>
      <c r="D28" s="301" t="s">
        <v>97</v>
      </c>
      <c r="E28" s="1081"/>
      <c r="F28" s="1037"/>
      <c r="G28" s="1030"/>
      <c r="H28" s="1030"/>
      <c r="I28" s="1062"/>
      <c r="J28" s="1064"/>
      <c r="K28" s="180">
        <f>K27/E27</f>
        <v>7.08</v>
      </c>
      <c r="L28" s="181">
        <f>L27/E27</f>
        <v>9.7200000000000006</v>
      </c>
      <c r="M28" s="182">
        <f>M27/E27</f>
        <v>9.7200000000000006</v>
      </c>
      <c r="N28" s="183">
        <f t="shared" si="0"/>
        <v>6.5844000000000005</v>
      </c>
      <c r="O28" s="157">
        <f t="shared" si="1"/>
        <v>9.0396000000000019</v>
      </c>
      <c r="P28" s="545">
        <f t="shared" si="2"/>
        <v>9.0396000000000019</v>
      </c>
      <c r="Q28" s="183">
        <f t="shared" si="12"/>
        <v>6.0888</v>
      </c>
      <c r="R28" s="157">
        <f t="shared" si="13"/>
        <v>8.3592000000000013</v>
      </c>
      <c r="S28" s="184">
        <f t="shared" si="14"/>
        <v>8.3592000000000013</v>
      </c>
      <c r="T28" s="548">
        <f t="shared" si="3"/>
        <v>5.8763999999999994</v>
      </c>
      <c r="U28" s="157">
        <f t="shared" si="4"/>
        <v>8.0676000000000005</v>
      </c>
      <c r="V28" s="184">
        <f t="shared" si="5"/>
        <v>8.0676000000000005</v>
      </c>
      <c r="W28" s="183">
        <f t="shared" si="6"/>
        <v>5.3100000000000005</v>
      </c>
      <c r="X28" s="157">
        <f t="shared" si="7"/>
        <v>7.2900000000000009</v>
      </c>
      <c r="Y28" s="184">
        <f t="shared" si="8"/>
        <v>7.2900000000000009</v>
      </c>
      <c r="Z28" s="183">
        <f t="shared" si="9"/>
        <v>4.9559999999999995</v>
      </c>
      <c r="AA28" s="157">
        <f t="shared" si="10"/>
        <v>6.8040000000000003</v>
      </c>
      <c r="AB28" s="184">
        <f t="shared" si="11"/>
        <v>6.8040000000000003</v>
      </c>
    </row>
    <row r="29" spans="1:28" s="175" customFormat="1" ht="18" customHeight="1">
      <c r="B29" s="1078" t="s">
        <v>459</v>
      </c>
      <c r="C29" s="1079"/>
      <c r="D29" s="1080"/>
      <c r="E29" s="1081">
        <v>1000</v>
      </c>
      <c r="F29" s="1037">
        <f>E29*C30</f>
        <v>2400</v>
      </c>
      <c r="G29" s="1030">
        <f>F29*$G$22</f>
        <v>7080</v>
      </c>
      <c r="H29" s="1030">
        <f>F29*10%*11</f>
        <v>2640</v>
      </c>
      <c r="I29" s="1062">
        <v>0</v>
      </c>
      <c r="J29" s="1064">
        <v>0</v>
      </c>
      <c r="K29" s="176">
        <f>G29</f>
        <v>7080</v>
      </c>
      <c r="L29" s="177">
        <f>G29+H29</f>
        <v>9720</v>
      </c>
      <c r="M29" s="178">
        <f>G29+H29+I29+J29</f>
        <v>9720</v>
      </c>
      <c r="N29" s="185">
        <f t="shared" si="0"/>
        <v>6584.4000000000005</v>
      </c>
      <c r="O29" s="186">
        <f t="shared" si="1"/>
        <v>9039.6</v>
      </c>
      <c r="P29" s="546">
        <f t="shared" si="2"/>
        <v>9039.6</v>
      </c>
      <c r="Q29" s="185">
        <f t="shared" si="12"/>
        <v>6088.8</v>
      </c>
      <c r="R29" s="186">
        <f t="shared" si="13"/>
        <v>8359.2000000000007</v>
      </c>
      <c r="S29" s="187">
        <f t="shared" si="14"/>
        <v>8359.2000000000007</v>
      </c>
      <c r="T29" s="549">
        <f t="shared" si="3"/>
        <v>5876.4</v>
      </c>
      <c r="U29" s="186">
        <f t="shared" si="4"/>
        <v>8067.5999999999995</v>
      </c>
      <c r="V29" s="187">
        <f t="shared" si="5"/>
        <v>8067.5999999999995</v>
      </c>
      <c r="W29" s="185">
        <f t="shared" si="6"/>
        <v>5310</v>
      </c>
      <c r="X29" s="186">
        <f t="shared" si="7"/>
        <v>7290</v>
      </c>
      <c r="Y29" s="187">
        <f t="shared" si="8"/>
        <v>7290</v>
      </c>
      <c r="Z29" s="185">
        <f t="shared" si="9"/>
        <v>4956</v>
      </c>
      <c r="AA29" s="186">
        <f t="shared" si="10"/>
        <v>6804</v>
      </c>
      <c r="AB29" s="187">
        <f t="shared" si="11"/>
        <v>6804</v>
      </c>
    </row>
    <row r="30" spans="1:28" s="175" customFormat="1" ht="18" customHeight="1">
      <c r="B30" s="299" t="s">
        <v>357</v>
      </c>
      <c r="C30" s="300">
        <v>2.4</v>
      </c>
      <c r="D30" s="301" t="s">
        <v>97</v>
      </c>
      <c r="E30" s="1081"/>
      <c r="F30" s="1037"/>
      <c r="G30" s="1030"/>
      <c r="H30" s="1030"/>
      <c r="I30" s="1062"/>
      <c r="J30" s="1064"/>
      <c r="K30" s="180">
        <f>K29/E29</f>
        <v>7.08</v>
      </c>
      <c r="L30" s="181">
        <f>L29/E29</f>
        <v>9.7200000000000006</v>
      </c>
      <c r="M30" s="182">
        <f>M29/E29</f>
        <v>9.7200000000000006</v>
      </c>
      <c r="N30" s="183">
        <f t="shared" si="0"/>
        <v>6.5844000000000005</v>
      </c>
      <c r="O30" s="157">
        <f t="shared" si="1"/>
        <v>9.0396000000000019</v>
      </c>
      <c r="P30" s="545">
        <f t="shared" si="2"/>
        <v>9.0396000000000019</v>
      </c>
      <c r="Q30" s="183">
        <f t="shared" si="12"/>
        <v>6.0888</v>
      </c>
      <c r="R30" s="157">
        <f t="shared" si="13"/>
        <v>8.3592000000000013</v>
      </c>
      <c r="S30" s="184">
        <f t="shared" si="14"/>
        <v>8.3592000000000013</v>
      </c>
      <c r="T30" s="548">
        <f t="shared" si="3"/>
        <v>5.8763999999999994</v>
      </c>
      <c r="U30" s="157">
        <f t="shared" si="4"/>
        <v>8.0676000000000005</v>
      </c>
      <c r="V30" s="184">
        <f t="shared" si="5"/>
        <v>8.0676000000000005</v>
      </c>
      <c r="W30" s="183">
        <f t="shared" si="6"/>
        <v>5.3100000000000005</v>
      </c>
      <c r="X30" s="157">
        <f t="shared" si="7"/>
        <v>7.2900000000000009</v>
      </c>
      <c r="Y30" s="184">
        <f t="shared" si="8"/>
        <v>7.2900000000000009</v>
      </c>
      <c r="Z30" s="183">
        <f t="shared" si="9"/>
        <v>4.9559999999999995</v>
      </c>
      <c r="AA30" s="157">
        <f t="shared" si="10"/>
        <v>6.8040000000000003</v>
      </c>
      <c r="AB30" s="184">
        <f t="shared" si="11"/>
        <v>6.8040000000000003</v>
      </c>
    </row>
    <row r="31" spans="1:28" s="175" customFormat="1" ht="18" customHeight="1">
      <c r="B31" s="1078" t="s">
        <v>460</v>
      </c>
      <c r="C31" s="1079"/>
      <c r="D31" s="1080"/>
      <c r="E31" s="1081">
        <v>1000</v>
      </c>
      <c r="F31" s="1037">
        <f>E31*C32</f>
        <v>2400</v>
      </c>
      <c r="G31" s="1030">
        <f>F31*$G$22</f>
        <v>7080</v>
      </c>
      <c r="H31" s="1030">
        <f>F31*10%*11</f>
        <v>2640</v>
      </c>
      <c r="I31" s="1062">
        <v>0</v>
      </c>
      <c r="J31" s="1064">
        <v>0</v>
      </c>
      <c r="K31" s="176">
        <f>G31</f>
        <v>7080</v>
      </c>
      <c r="L31" s="177">
        <f>G31+H31</f>
        <v>9720</v>
      </c>
      <c r="M31" s="178">
        <f>G31+H31+I31+J31</f>
        <v>9720</v>
      </c>
      <c r="N31" s="185">
        <f t="shared" si="0"/>
        <v>6584.4000000000005</v>
      </c>
      <c r="O31" s="186">
        <f t="shared" si="1"/>
        <v>9039.6</v>
      </c>
      <c r="P31" s="546">
        <f t="shared" si="2"/>
        <v>9039.6</v>
      </c>
      <c r="Q31" s="185">
        <f t="shared" si="12"/>
        <v>6088.8</v>
      </c>
      <c r="R31" s="186">
        <f t="shared" si="13"/>
        <v>8359.2000000000007</v>
      </c>
      <c r="S31" s="187">
        <f t="shared" si="14"/>
        <v>8359.2000000000007</v>
      </c>
      <c r="T31" s="549">
        <f t="shared" si="3"/>
        <v>5876.4</v>
      </c>
      <c r="U31" s="186">
        <f t="shared" si="4"/>
        <v>8067.5999999999995</v>
      </c>
      <c r="V31" s="187">
        <f t="shared" si="5"/>
        <v>8067.5999999999995</v>
      </c>
      <c r="W31" s="185">
        <f t="shared" si="6"/>
        <v>5310</v>
      </c>
      <c r="X31" s="186">
        <f t="shared" si="7"/>
        <v>7290</v>
      </c>
      <c r="Y31" s="187">
        <f t="shared" si="8"/>
        <v>7290</v>
      </c>
      <c r="Z31" s="185">
        <f t="shared" si="9"/>
        <v>4956</v>
      </c>
      <c r="AA31" s="186">
        <f t="shared" si="10"/>
        <v>6804</v>
      </c>
      <c r="AB31" s="187">
        <f t="shared" si="11"/>
        <v>6804</v>
      </c>
    </row>
    <row r="32" spans="1:28" s="175" customFormat="1" ht="18" customHeight="1">
      <c r="B32" s="299" t="s">
        <v>461</v>
      </c>
      <c r="C32" s="300">
        <v>2.4</v>
      </c>
      <c r="D32" s="301" t="s">
        <v>462</v>
      </c>
      <c r="E32" s="1081"/>
      <c r="F32" s="1037"/>
      <c r="G32" s="1030"/>
      <c r="H32" s="1030"/>
      <c r="I32" s="1062"/>
      <c r="J32" s="1064"/>
      <c r="K32" s="180">
        <f>K31/E31</f>
        <v>7.08</v>
      </c>
      <c r="L32" s="181">
        <f>L31/E31</f>
        <v>9.7200000000000006</v>
      </c>
      <c r="M32" s="182">
        <f>M31/E31</f>
        <v>9.7200000000000006</v>
      </c>
      <c r="N32" s="183">
        <f t="shared" si="0"/>
        <v>6.5844000000000005</v>
      </c>
      <c r="O32" s="157">
        <f t="shared" si="1"/>
        <v>9.0396000000000019</v>
      </c>
      <c r="P32" s="545">
        <f t="shared" si="2"/>
        <v>9.0396000000000019</v>
      </c>
      <c r="Q32" s="183">
        <f t="shared" si="12"/>
        <v>6.0888</v>
      </c>
      <c r="R32" s="157">
        <f t="shared" si="13"/>
        <v>8.3592000000000013</v>
      </c>
      <c r="S32" s="184">
        <f t="shared" si="14"/>
        <v>8.3592000000000013</v>
      </c>
      <c r="T32" s="548">
        <f t="shared" si="3"/>
        <v>5.8763999999999994</v>
      </c>
      <c r="U32" s="157">
        <f t="shared" si="4"/>
        <v>8.0676000000000005</v>
      </c>
      <c r="V32" s="184">
        <f t="shared" si="5"/>
        <v>8.0676000000000005</v>
      </c>
      <c r="W32" s="183">
        <f t="shared" si="6"/>
        <v>5.3100000000000005</v>
      </c>
      <c r="X32" s="157">
        <f t="shared" si="7"/>
        <v>7.2900000000000009</v>
      </c>
      <c r="Y32" s="184">
        <f t="shared" si="8"/>
        <v>7.2900000000000009</v>
      </c>
      <c r="Z32" s="183">
        <f t="shared" si="9"/>
        <v>4.9559999999999995</v>
      </c>
      <c r="AA32" s="157">
        <f t="shared" si="10"/>
        <v>6.8040000000000003</v>
      </c>
      <c r="AB32" s="184">
        <f t="shared" si="11"/>
        <v>6.8040000000000003</v>
      </c>
    </row>
    <row r="33" spans="2:28" s="175" customFormat="1" ht="18" customHeight="1">
      <c r="B33" s="1078" t="s">
        <v>463</v>
      </c>
      <c r="C33" s="1079"/>
      <c r="D33" s="1080"/>
      <c r="E33" s="1081">
        <v>1000</v>
      </c>
      <c r="F33" s="1037">
        <f>E33*C34</f>
        <v>800</v>
      </c>
      <c r="G33" s="1030">
        <f>F33*$G$22</f>
        <v>2360</v>
      </c>
      <c r="H33" s="1030">
        <f>F33*10%*11</f>
        <v>880</v>
      </c>
      <c r="I33" s="1062">
        <v>0</v>
      </c>
      <c r="J33" s="1064">
        <v>0</v>
      </c>
      <c r="K33" s="176">
        <f>G33</f>
        <v>2360</v>
      </c>
      <c r="L33" s="177">
        <f>G33+H33</f>
        <v>3240</v>
      </c>
      <c r="M33" s="178">
        <f>G33+H33+I33+J33</f>
        <v>3240</v>
      </c>
      <c r="N33" s="185">
        <f t="shared" si="0"/>
        <v>2194.8000000000002</v>
      </c>
      <c r="O33" s="186">
        <f t="shared" si="1"/>
        <v>3013.2000000000003</v>
      </c>
      <c r="P33" s="546">
        <f t="shared" si="2"/>
        <v>3013.2000000000003</v>
      </c>
      <c r="Q33" s="185">
        <f t="shared" si="12"/>
        <v>2029.6</v>
      </c>
      <c r="R33" s="186">
        <f t="shared" si="13"/>
        <v>2786.4</v>
      </c>
      <c r="S33" s="187">
        <f t="shared" si="14"/>
        <v>2786.4</v>
      </c>
      <c r="T33" s="549">
        <f t="shared" si="3"/>
        <v>1958.8</v>
      </c>
      <c r="U33" s="186">
        <f t="shared" si="4"/>
        <v>2689.2</v>
      </c>
      <c r="V33" s="187">
        <f t="shared" si="5"/>
        <v>2689.2</v>
      </c>
      <c r="W33" s="185">
        <f t="shared" si="6"/>
        <v>1770</v>
      </c>
      <c r="X33" s="186">
        <f t="shared" si="7"/>
        <v>2430</v>
      </c>
      <c r="Y33" s="187">
        <f t="shared" si="8"/>
        <v>2430</v>
      </c>
      <c r="Z33" s="185">
        <f t="shared" si="9"/>
        <v>1652</v>
      </c>
      <c r="AA33" s="186">
        <f t="shared" si="10"/>
        <v>2268</v>
      </c>
      <c r="AB33" s="187">
        <f t="shared" si="11"/>
        <v>2268</v>
      </c>
    </row>
    <row r="34" spans="2:28" s="175" customFormat="1" ht="18" customHeight="1">
      <c r="B34" s="299" t="s">
        <v>464</v>
      </c>
      <c r="C34" s="300">
        <v>0.8</v>
      </c>
      <c r="D34" s="301" t="s">
        <v>462</v>
      </c>
      <c r="E34" s="1081"/>
      <c r="F34" s="1037"/>
      <c r="G34" s="1030"/>
      <c r="H34" s="1030"/>
      <c r="I34" s="1062"/>
      <c r="J34" s="1064"/>
      <c r="K34" s="180">
        <f>K33/E33</f>
        <v>2.36</v>
      </c>
      <c r="L34" s="181">
        <f>L33/E33</f>
        <v>3.24</v>
      </c>
      <c r="M34" s="182">
        <f>M33/E33</f>
        <v>3.24</v>
      </c>
      <c r="N34" s="183">
        <f t="shared" si="0"/>
        <v>2.1947999999999999</v>
      </c>
      <c r="O34" s="157">
        <f t="shared" si="1"/>
        <v>3.0132000000000003</v>
      </c>
      <c r="P34" s="545">
        <f t="shared" si="2"/>
        <v>3.0132000000000003</v>
      </c>
      <c r="Q34" s="183">
        <f t="shared" si="12"/>
        <v>2.0295999999999998</v>
      </c>
      <c r="R34" s="157">
        <f t="shared" si="13"/>
        <v>2.7864</v>
      </c>
      <c r="S34" s="184">
        <f t="shared" si="14"/>
        <v>2.7864</v>
      </c>
      <c r="T34" s="548">
        <f t="shared" si="3"/>
        <v>1.9587999999999999</v>
      </c>
      <c r="U34" s="157">
        <f t="shared" si="4"/>
        <v>2.6892</v>
      </c>
      <c r="V34" s="184">
        <f t="shared" si="5"/>
        <v>2.6892</v>
      </c>
      <c r="W34" s="183">
        <f t="shared" si="6"/>
        <v>1.77</v>
      </c>
      <c r="X34" s="157">
        <f t="shared" si="7"/>
        <v>2.4300000000000002</v>
      </c>
      <c r="Y34" s="184">
        <f t="shared" si="8"/>
        <v>2.4300000000000002</v>
      </c>
      <c r="Z34" s="183">
        <f t="shared" si="9"/>
        <v>1.6519999999999999</v>
      </c>
      <c r="AA34" s="157">
        <f t="shared" si="10"/>
        <v>2.2679999999999998</v>
      </c>
      <c r="AB34" s="184">
        <f t="shared" si="11"/>
        <v>2.2679999999999998</v>
      </c>
    </row>
    <row r="35" spans="2:28" s="175" customFormat="1" ht="18" customHeight="1">
      <c r="B35" s="1082" t="s">
        <v>465</v>
      </c>
      <c r="C35" s="1083"/>
      <c r="D35" s="1084"/>
      <c r="E35" s="1081">
        <v>1000</v>
      </c>
      <c r="F35" s="1037">
        <f>E35*C36</f>
        <v>450</v>
      </c>
      <c r="G35" s="1030">
        <f>F35*$G$22</f>
        <v>1327.5</v>
      </c>
      <c r="H35" s="1030">
        <f>F35*10%*11</f>
        <v>495</v>
      </c>
      <c r="I35" s="1088">
        <f>E35*D36*12</f>
        <v>252</v>
      </c>
      <c r="J35" s="1090">
        <f>E35*D36*12</f>
        <v>252</v>
      </c>
      <c r="K35" s="176">
        <f>G35</f>
        <v>1327.5</v>
      </c>
      <c r="L35" s="177">
        <f>G35+H35</f>
        <v>1822.5</v>
      </c>
      <c r="M35" s="178">
        <f>G35+H35+I35+J35</f>
        <v>2326.5</v>
      </c>
      <c r="N35" s="185">
        <f t="shared" si="0"/>
        <v>1234.575</v>
      </c>
      <c r="O35" s="186">
        <f t="shared" si="1"/>
        <v>1694.9250000000002</v>
      </c>
      <c r="P35" s="546">
        <f t="shared" si="2"/>
        <v>2163.645</v>
      </c>
      <c r="Q35" s="185">
        <f t="shared" si="12"/>
        <v>1141.6500000000001</v>
      </c>
      <c r="R35" s="186">
        <f t="shared" si="13"/>
        <v>1567.35</v>
      </c>
      <c r="S35" s="187">
        <f t="shared" si="14"/>
        <v>2000.79</v>
      </c>
      <c r="T35" s="549">
        <f t="shared" si="3"/>
        <v>1101.825</v>
      </c>
      <c r="U35" s="186">
        <f t="shared" si="4"/>
        <v>1512.675</v>
      </c>
      <c r="V35" s="187">
        <f t="shared" si="5"/>
        <v>1930.9949999999999</v>
      </c>
      <c r="W35" s="185">
        <f t="shared" si="6"/>
        <v>995.625</v>
      </c>
      <c r="X35" s="186">
        <f t="shared" si="7"/>
        <v>1366.875</v>
      </c>
      <c r="Y35" s="187">
        <f t="shared" si="8"/>
        <v>1744.875</v>
      </c>
      <c r="Z35" s="185">
        <f t="shared" si="9"/>
        <v>929.24999999999989</v>
      </c>
      <c r="AA35" s="186">
        <f t="shared" si="10"/>
        <v>1275.75</v>
      </c>
      <c r="AB35" s="187">
        <f t="shared" si="11"/>
        <v>1628.55</v>
      </c>
    </row>
    <row r="36" spans="2:28" s="175" customFormat="1" ht="18" customHeight="1">
      <c r="B36" s="302" t="s">
        <v>46</v>
      </c>
      <c r="C36" s="300">
        <v>0.45</v>
      </c>
      <c r="D36" s="303">
        <v>2.1000000000000001E-2</v>
      </c>
      <c r="E36" s="1081"/>
      <c r="F36" s="1037"/>
      <c r="G36" s="1030"/>
      <c r="H36" s="1030"/>
      <c r="I36" s="1088"/>
      <c r="J36" s="1090"/>
      <c r="K36" s="180">
        <f>K35/E35</f>
        <v>1.3274999999999999</v>
      </c>
      <c r="L36" s="181">
        <f>L35/E35</f>
        <v>1.8225</v>
      </c>
      <c r="M36" s="182">
        <f>M35/E35</f>
        <v>2.3264999999999998</v>
      </c>
      <c r="N36" s="183">
        <f t="shared" si="0"/>
        <v>1.234575</v>
      </c>
      <c r="O36" s="157">
        <f t="shared" si="1"/>
        <v>1.694925</v>
      </c>
      <c r="P36" s="545">
        <f t="shared" si="2"/>
        <v>2.1636449999999998</v>
      </c>
      <c r="Q36" s="183">
        <f t="shared" si="12"/>
        <v>1.1416499999999998</v>
      </c>
      <c r="R36" s="157">
        <f t="shared" si="13"/>
        <v>1.56735</v>
      </c>
      <c r="S36" s="184">
        <f t="shared" si="14"/>
        <v>2.0007899999999998</v>
      </c>
      <c r="T36" s="548">
        <f t="shared" si="3"/>
        <v>1.1018249999999998</v>
      </c>
      <c r="U36" s="157">
        <f t="shared" si="4"/>
        <v>1.512675</v>
      </c>
      <c r="V36" s="184">
        <f t="shared" si="5"/>
        <v>1.9309949999999998</v>
      </c>
      <c r="W36" s="183">
        <f t="shared" si="6"/>
        <v>0.99562499999999998</v>
      </c>
      <c r="X36" s="157">
        <f t="shared" si="7"/>
        <v>1.3668750000000001</v>
      </c>
      <c r="Y36" s="184">
        <f t="shared" si="8"/>
        <v>1.744875</v>
      </c>
      <c r="Z36" s="183">
        <f t="shared" si="9"/>
        <v>0.92924999999999991</v>
      </c>
      <c r="AA36" s="157">
        <f t="shared" si="10"/>
        <v>1.2757499999999999</v>
      </c>
      <c r="AB36" s="184">
        <f t="shared" si="11"/>
        <v>1.6285499999999997</v>
      </c>
    </row>
    <row r="37" spans="2:28" s="175" customFormat="1" ht="18" customHeight="1">
      <c r="B37" s="1082" t="s">
        <v>98</v>
      </c>
      <c r="C37" s="1083"/>
      <c r="D37" s="1084"/>
      <c r="E37" s="1081">
        <v>1000</v>
      </c>
      <c r="F37" s="1037">
        <f>E37*C38</f>
        <v>200</v>
      </c>
      <c r="G37" s="1030">
        <f>F37*$G$22</f>
        <v>590</v>
      </c>
      <c r="H37" s="1030">
        <f>F37*10%*11</f>
        <v>220</v>
      </c>
      <c r="I37" s="1088">
        <f>E37*D38*12</f>
        <v>144</v>
      </c>
      <c r="J37" s="1090">
        <f>E37*D38*12</f>
        <v>144</v>
      </c>
      <c r="K37" s="549">
        <f>G37</f>
        <v>590</v>
      </c>
      <c r="L37" s="186">
        <f>G37+H37</f>
        <v>810</v>
      </c>
      <c r="M37" s="187">
        <f>G37+H37+I37+J37</f>
        <v>1098</v>
      </c>
      <c r="N37" s="185">
        <f t="shared" si="0"/>
        <v>548.70000000000005</v>
      </c>
      <c r="O37" s="186">
        <f t="shared" si="1"/>
        <v>753.30000000000007</v>
      </c>
      <c r="P37" s="546">
        <f t="shared" si="2"/>
        <v>1021.1400000000001</v>
      </c>
      <c r="Q37" s="185">
        <f t="shared" si="12"/>
        <v>507.4</v>
      </c>
      <c r="R37" s="186">
        <f t="shared" si="13"/>
        <v>696.6</v>
      </c>
      <c r="S37" s="187">
        <f t="shared" si="14"/>
        <v>944.28</v>
      </c>
      <c r="T37" s="549">
        <f t="shared" si="3"/>
        <v>489.7</v>
      </c>
      <c r="U37" s="186">
        <f t="shared" si="4"/>
        <v>672.3</v>
      </c>
      <c r="V37" s="187">
        <f t="shared" si="5"/>
        <v>911.33999999999992</v>
      </c>
      <c r="W37" s="185">
        <f t="shared" si="6"/>
        <v>442.5</v>
      </c>
      <c r="X37" s="186">
        <f t="shared" si="7"/>
        <v>607.5</v>
      </c>
      <c r="Y37" s="187">
        <f t="shared" si="8"/>
        <v>823.5</v>
      </c>
      <c r="Z37" s="185">
        <f t="shared" si="9"/>
        <v>413</v>
      </c>
      <c r="AA37" s="186">
        <f t="shared" si="10"/>
        <v>567</v>
      </c>
      <c r="AB37" s="187">
        <f t="shared" si="11"/>
        <v>768.59999999999991</v>
      </c>
    </row>
    <row r="38" spans="2:28" s="175" customFormat="1" ht="18" customHeight="1">
      <c r="B38" s="299" t="s">
        <v>466</v>
      </c>
      <c r="C38" s="300">
        <v>0.2</v>
      </c>
      <c r="D38" s="303">
        <v>1.2E-2</v>
      </c>
      <c r="E38" s="1081"/>
      <c r="F38" s="1037"/>
      <c r="G38" s="1030"/>
      <c r="H38" s="1030"/>
      <c r="I38" s="1088"/>
      <c r="J38" s="1090"/>
      <c r="K38" s="180">
        <f>K37/E37</f>
        <v>0.59</v>
      </c>
      <c r="L38" s="181">
        <f>L37/E37</f>
        <v>0.81</v>
      </c>
      <c r="M38" s="182">
        <f>M37/E37</f>
        <v>1.0980000000000001</v>
      </c>
      <c r="N38" s="183">
        <f t="shared" si="0"/>
        <v>0.54869999999999997</v>
      </c>
      <c r="O38" s="157">
        <f t="shared" si="1"/>
        <v>0.75330000000000008</v>
      </c>
      <c r="P38" s="545">
        <f t="shared" si="2"/>
        <v>1.0211400000000002</v>
      </c>
      <c r="Q38" s="183">
        <f t="shared" si="12"/>
        <v>0.50739999999999996</v>
      </c>
      <c r="R38" s="157">
        <f t="shared" si="13"/>
        <v>0.6966</v>
      </c>
      <c r="S38" s="184">
        <f t="shared" si="14"/>
        <v>0.94428000000000001</v>
      </c>
      <c r="T38" s="548">
        <f t="shared" si="3"/>
        <v>0.48969999999999997</v>
      </c>
      <c r="U38" s="157">
        <f t="shared" si="4"/>
        <v>0.67230000000000001</v>
      </c>
      <c r="V38" s="184">
        <f t="shared" si="5"/>
        <v>0.91134000000000004</v>
      </c>
      <c r="W38" s="183">
        <f t="shared" si="6"/>
        <v>0.4425</v>
      </c>
      <c r="X38" s="157">
        <f t="shared" si="7"/>
        <v>0.60750000000000004</v>
      </c>
      <c r="Y38" s="184">
        <f t="shared" si="8"/>
        <v>0.82350000000000012</v>
      </c>
      <c r="Z38" s="183">
        <f t="shared" si="9"/>
        <v>0.41299999999999998</v>
      </c>
      <c r="AA38" s="157">
        <f t="shared" si="10"/>
        <v>0.56699999999999995</v>
      </c>
      <c r="AB38" s="184">
        <f t="shared" si="11"/>
        <v>0.76860000000000006</v>
      </c>
    </row>
    <row r="39" spans="2:28" s="175" customFormat="1" ht="17.25" customHeight="1">
      <c r="B39" s="1033" t="s">
        <v>467</v>
      </c>
      <c r="C39" s="1034"/>
      <c r="D39" s="1035"/>
      <c r="E39" s="1085">
        <v>1000</v>
      </c>
      <c r="F39" s="1086">
        <f>E39*C40</f>
        <v>300</v>
      </c>
      <c r="G39" s="1048">
        <f>F39*34%</f>
        <v>102.00000000000001</v>
      </c>
      <c r="H39" s="1048">
        <f>F39*34%*11</f>
        <v>1122.0000000000002</v>
      </c>
      <c r="I39" s="1087">
        <f>E39*D40*12</f>
        <v>0</v>
      </c>
      <c r="J39" s="1089">
        <f>E39*D40*12</f>
        <v>0</v>
      </c>
      <c r="K39" s="176">
        <f>G39</f>
        <v>102.00000000000001</v>
      </c>
      <c r="L39" s="177">
        <f>G39+H39</f>
        <v>1224.0000000000002</v>
      </c>
      <c r="M39" s="178">
        <f>G39+H39+I39+J39</f>
        <v>1224.0000000000002</v>
      </c>
      <c r="N39" s="179">
        <f t="shared" si="0"/>
        <v>94.860000000000014</v>
      </c>
      <c r="O39" s="177">
        <f t="shared" si="1"/>
        <v>1138.3200000000002</v>
      </c>
      <c r="P39" s="544">
        <f t="shared" si="2"/>
        <v>1138.3200000000002</v>
      </c>
      <c r="Q39" s="185">
        <f t="shared" si="12"/>
        <v>87.720000000000013</v>
      </c>
      <c r="R39" s="186">
        <f t="shared" si="13"/>
        <v>1052.6400000000001</v>
      </c>
      <c r="S39" s="187">
        <f t="shared" si="14"/>
        <v>1052.6400000000001</v>
      </c>
      <c r="T39" s="176">
        <f t="shared" si="3"/>
        <v>84.660000000000011</v>
      </c>
      <c r="U39" s="177">
        <f t="shared" si="4"/>
        <v>1015.9200000000002</v>
      </c>
      <c r="V39" s="178">
        <f t="shared" si="5"/>
        <v>1015.9200000000002</v>
      </c>
      <c r="W39" s="179">
        <f t="shared" si="6"/>
        <v>76.500000000000014</v>
      </c>
      <c r="X39" s="177">
        <f t="shared" si="7"/>
        <v>918.00000000000023</v>
      </c>
      <c r="Y39" s="178">
        <f t="shared" si="8"/>
        <v>918.00000000000023</v>
      </c>
      <c r="Z39" s="179">
        <f t="shared" si="9"/>
        <v>71.400000000000006</v>
      </c>
      <c r="AA39" s="177">
        <f t="shared" si="10"/>
        <v>856.80000000000007</v>
      </c>
      <c r="AB39" s="178">
        <f t="shared" si="11"/>
        <v>856.80000000000007</v>
      </c>
    </row>
    <row r="40" spans="2:28" s="175" customFormat="1" ht="18" customHeight="1">
      <c r="B40" s="299" t="s">
        <v>468</v>
      </c>
      <c r="C40" s="300">
        <v>0.3</v>
      </c>
      <c r="D40" s="303"/>
      <c r="E40" s="1081"/>
      <c r="F40" s="1037"/>
      <c r="G40" s="1030"/>
      <c r="H40" s="1030"/>
      <c r="I40" s="1088"/>
      <c r="J40" s="1090"/>
      <c r="K40" s="180">
        <f>K39/E39</f>
        <v>0.10200000000000001</v>
      </c>
      <c r="L40" s="181">
        <f>L39/E39</f>
        <v>1.2240000000000002</v>
      </c>
      <c r="M40" s="182">
        <f>M39/E39</f>
        <v>1.2240000000000002</v>
      </c>
      <c r="N40" s="183">
        <f t="shared" si="0"/>
        <v>9.4860000000000014E-2</v>
      </c>
      <c r="O40" s="157">
        <f t="shared" si="1"/>
        <v>1.1383200000000002</v>
      </c>
      <c r="P40" s="545">
        <f t="shared" si="2"/>
        <v>1.1383200000000002</v>
      </c>
      <c r="Q40" s="183">
        <f t="shared" si="12"/>
        <v>8.7720000000000006E-2</v>
      </c>
      <c r="R40" s="157">
        <f t="shared" si="13"/>
        <v>1.0526400000000002</v>
      </c>
      <c r="S40" s="184">
        <f t="shared" si="14"/>
        <v>1.0526400000000002</v>
      </c>
      <c r="T40" s="548">
        <f t="shared" si="3"/>
        <v>8.4659999999999999E-2</v>
      </c>
      <c r="U40" s="157">
        <f t="shared" si="4"/>
        <v>1.0159200000000002</v>
      </c>
      <c r="V40" s="184">
        <f t="shared" si="5"/>
        <v>1.0159200000000002</v>
      </c>
      <c r="W40" s="183">
        <f t="shared" si="6"/>
        <v>7.6500000000000012E-2</v>
      </c>
      <c r="X40" s="157">
        <f t="shared" si="7"/>
        <v>0.91800000000000015</v>
      </c>
      <c r="Y40" s="184">
        <f t="shared" si="8"/>
        <v>0.91800000000000015</v>
      </c>
      <c r="Z40" s="183">
        <f t="shared" si="9"/>
        <v>7.1400000000000005E-2</v>
      </c>
      <c r="AA40" s="157">
        <f t="shared" si="10"/>
        <v>0.85680000000000012</v>
      </c>
      <c r="AB40" s="184">
        <f t="shared" si="11"/>
        <v>0.85680000000000012</v>
      </c>
    </row>
    <row r="41" spans="2:28" s="175" customFormat="1" ht="17.25" customHeight="1">
      <c r="B41" s="1033" t="s">
        <v>610</v>
      </c>
      <c r="C41" s="1034"/>
      <c r="D41" s="1035"/>
      <c r="E41" s="1085">
        <v>1000</v>
      </c>
      <c r="F41" s="1086" t="s">
        <v>607</v>
      </c>
      <c r="G41" s="1048" t="s">
        <v>608</v>
      </c>
      <c r="H41" s="1048" t="s">
        <v>608</v>
      </c>
      <c r="I41" s="1087" t="s">
        <v>608</v>
      </c>
      <c r="J41" s="1089" t="s">
        <v>609</v>
      </c>
      <c r="K41" s="176">
        <f>E41*C42</f>
        <v>32</v>
      </c>
      <c r="L41" s="177">
        <f>K41</f>
        <v>32</v>
      </c>
      <c r="M41" s="178">
        <f>K41</f>
        <v>32</v>
      </c>
      <c r="N41" s="179">
        <f t="shared" si="0"/>
        <v>29.76</v>
      </c>
      <c r="O41" s="177">
        <f t="shared" si="1"/>
        <v>29.76</v>
      </c>
      <c r="P41" s="544">
        <f t="shared" si="2"/>
        <v>29.76</v>
      </c>
      <c r="Q41" s="179">
        <f t="shared" si="12"/>
        <v>27.52</v>
      </c>
      <c r="R41" s="177">
        <f t="shared" si="13"/>
        <v>27.52</v>
      </c>
      <c r="S41" s="178">
        <f t="shared" si="14"/>
        <v>27.52</v>
      </c>
      <c r="T41" s="176">
        <f t="shared" si="3"/>
        <v>26.56</v>
      </c>
      <c r="U41" s="177">
        <f t="shared" si="4"/>
        <v>26.56</v>
      </c>
      <c r="V41" s="178">
        <f t="shared" si="5"/>
        <v>26.56</v>
      </c>
      <c r="W41" s="179">
        <f t="shared" si="6"/>
        <v>24</v>
      </c>
      <c r="X41" s="177">
        <f t="shared" si="7"/>
        <v>24</v>
      </c>
      <c r="Y41" s="178">
        <f t="shared" si="8"/>
        <v>24</v>
      </c>
      <c r="Z41" s="179">
        <f t="shared" si="9"/>
        <v>22.4</v>
      </c>
      <c r="AA41" s="177">
        <f t="shared" si="10"/>
        <v>22.4</v>
      </c>
      <c r="AB41" s="178">
        <f t="shared" si="11"/>
        <v>22.4</v>
      </c>
    </row>
    <row r="42" spans="2:28" s="175" customFormat="1" ht="18" customHeight="1" thickBot="1">
      <c r="B42" s="603" t="s">
        <v>469</v>
      </c>
      <c r="C42" s="349">
        <v>3.2000000000000001E-2</v>
      </c>
      <c r="D42" s="305"/>
      <c r="E42" s="1119"/>
      <c r="F42" s="1120"/>
      <c r="G42" s="1121"/>
      <c r="H42" s="1121"/>
      <c r="I42" s="1117"/>
      <c r="J42" s="1118"/>
      <c r="K42" s="188">
        <f>K41/E41</f>
        <v>3.2000000000000001E-2</v>
      </c>
      <c r="L42" s="189">
        <f>L41/E41</f>
        <v>3.2000000000000001E-2</v>
      </c>
      <c r="M42" s="190">
        <f>M41/E41</f>
        <v>3.2000000000000001E-2</v>
      </c>
      <c r="N42" s="191">
        <f t="shared" si="0"/>
        <v>2.9760000000000002E-2</v>
      </c>
      <c r="O42" s="158">
        <f t="shared" si="1"/>
        <v>2.9760000000000002E-2</v>
      </c>
      <c r="P42" s="547">
        <f t="shared" si="2"/>
        <v>2.9760000000000002E-2</v>
      </c>
      <c r="Q42" s="191">
        <f t="shared" si="12"/>
        <v>2.7519999999999999E-2</v>
      </c>
      <c r="R42" s="158">
        <f t="shared" si="13"/>
        <v>2.7519999999999999E-2</v>
      </c>
      <c r="S42" s="192">
        <f t="shared" si="14"/>
        <v>2.7519999999999999E-2</v>
      </c>
      <c r="T42" s="550">
        <f t="shared" si="3"/>
        <v>2.656E-2</v>
      </c>
      <c r="U42" s="158">
        <f t="shared" si="4"/>
        <v>2.656E-2</v>
      </c>
      <c r="V42" s="192">
        <f t="shared" si="5"/>
        <v>2.656E-2</v>
      </c>
      <c r="W42" s="191">
        <f t="shared" si="6"/>
        <v>2.4E-2</v>
      </c>
      <c r="X42" s="158">
        <f t="shared" si="7"/>
        <v>2.4E-2</v>
      </c>
      <c r="Y42" s="192">
        <f t="shared" si="8"/>
        <v>2.4E-2</v>
      </c>
      <c r="Z42" s="191">
        <f t="shared" si="9"/>
        <v>2.24E-2</v>
      </c>
      <c r="AA42" s="158">
        <f t="shared" si="10"/>
        <v>2.24E-2</v>
      </c>
      <c r="AB42" s="192">
        <f t="shared" si="11"/>
        <v>2.24E-2</v>
      </c>
    </row>
    <row r="43" spans="2:28" s="175" customFormat="1" ht="18" customHeight="1">
      <c r="B43" s="193"/>
      <c r="C43" s="193"/>
      <c r="D43" s="193"/>
      <c r="E43" s="193"/>
      <c r="F43" s="193"/>
      <c r="G43" s="194"/>
      <c r="H43" s="195"/>
      <c r="I43" s="195"/>
      <c r="J43" s="195"/>
      <c r="K43" s="195"/>
      <c r="L43" s="195"/>
      <c r="M43" s="195"/>
      <c r="N43" s="195"/>
      <c r="O43" s="195"/>
      <c r="P43" s="195"/>
      <c r="Q43" s="195"/>
      <c r="R43" s="195"/>
      <c r="S43" s="195"/>
      <c r="T43" s="195"/>
      <c r="U43" s="195"/>
      <c r="V43" s="195"/>
      <c r="W43" s="195"/>
      <c r="X43" s="195"/>
      <c r="Y43" s="195"/>
    </row>
    <row r="44" spans="2:28" s="358" customFormat="1" ht="18" customHeight="1">
      <c r="B44" s="359" t="s">
        <v>470</v>
      </c>
      <c r="C44" s="359"/>
      <c r="D44" s="357"/>
      <c r="E44" s="357"/>
      <c r="F44" s="357"/>
      <c r="G44" s="361"/>
      <c r="H44" s="357"/>
      <c r="I44" s="357"/>
      <c r="J44" s="357"/>
      <c r="K44" s="357"/>
      <c r="L44" s="357"/>
      <c r="M44" s="357"/>
    </row>
    <row r="45" spans="2:28" s="358" customFormat="1" ht="18" customHeight="1">
      <c r="B45" s="360" t="s">
        <v>471</v>
      </c>
      <c r="C45" s="359"/>
      <c r="D45" s="357"/>
      <c r="E45" s="357"/>
      <c r="F45" s="357"/>
      <c r="G45" s="361"/>
      <c r="H45" s="357"/>
      <c r="I45" s="357"/>
      <c r="J45" s="357"/>
      <c r="K45" s="357"/>
      <c r="L45" s="357"/>
      <c r="M45" s="357"/>
    </row>
    <row r="46" spans="2:28" s="171" customFormat="1" ht="18" customHeight="1">
      <c r="B46" s="171" t="s">
        <v>58</v>
      </c>
      <c r="D46" s="166"/>
      <c r="E46" s="166"/>
      <c r="F46" s="166"/>
      <c r="G46" s="166"/>
    </row>
    <row r="47" spans="2:28" s="171" customFormat="1" ht="18" customHeight="1">
      <c r="B47" s="171" t="s">
        <v>719</v>
      </c>
      <c r="D47" s="166"/>
      <c r="E47" s="166"/>
      <c r="F47" s="166"/>
      <c r="G47" s="166"/>
    </row>
    <row r="48" spans="2:28" s="171" customFormat="1" ht="18" customHeight="1">
      <c r="B48" s="171" t="s">
        <v>59</v>
      </c>
      <c r="D48" s="166"/>
      <c r="E48" s="166"/>
      <c r="F48" s="166"/>
      <c r="G48" s="166"/>
    </row>
    <row r="49" spans="1:9" s="171" customFormat="1" ht="18" customHeight="1">
      <c r="B49" s="171" t="s">
        <v>60</v>
      </c>
      <c r="D49" s="166"/>
      <c r="E49" s="166"/>
      <c r="F49" s="166"/>
      <c r="G49" s="166"/>
    </row>
    <row r="50" spans="1:9" s="358" customFormat="1" ht="18" customHeight="1">
      <c r="B50" s="360" t="s">
        <v>472</v>
      </c>
      <c r="C50" s="360"/>
      <c r="D50" s="357"/>
      <c r="E50" s="357"/>
      <c r="F50" s="357"/>
      <c r="G50" s="357"/>
      <c r="H50" s="357"/>
      <c r="I50" s="357"/>
    </row>
    <row r="51" spans="1:9" s="21" customFormat="1" ht="18" customHeight="1">
      <c r="B51" s="388" t="s">
        <v>473</v>
      </c>
    </row>
    <row r="52" spans="1:9" customFormat="1" ht="18" customHeight="1">
      <c r="A52" s="18"/>
      <c r="B52" s="389" t="s">
        <v>606</v>
      </c>
      <c r="C52" s="369"/>
      <c r="D52" s="368"/>
      <c r="E52" s="377"/>
      <c r="F52" s="370"/>
      <c r="G52" s="370"/>
      <c r="H52" s="370"/>
    </row>
    <row r="53" spans="1:9" ht="18" customHeight="1"/>
    <row r="54" spans="1:9" ht="18" customHeight="1"/>
    <row r="55" spans="1:9" ht="18" customHeight="1"/>
  </sheetData>
  <mergeCells count="101">
    <mergeCell ref="I41:I42"/>
    <mergeCell ref="J41:J42"/>
    <mergeCell ref="B41:D41"/>
    <mergeCell ref="E41:E42"/>
    <mergeCell ref="F41:F42"/>
    <mergeCell ref="G41:G42"/>
    <mergeCell ref="H41:H42"/>
    <mergeCell ref="Q21:R21"/>
    <mergeCell ref="B1:AB1"/>
    <mergeCell ref="I27:I28"/>
    <mergeCell ref="J27:J28"/>
    <mergeCell ref="B27:D27"/>
    <mergeCell ref="E27:E28"/>
    <mergeCell ref="F27:F28"/>
    <mergeCell ref="G27:G28"/>
    <mergeCell ref="H27:H28"/>
    <mergeCell ref="N21:O21"/>
    <mergeCell ref="T21:U21"/>
    <mergeCell ref="W21:X21"/>
    <mergeCell ref="Z21:AA21"/>
    <mergeCell ref="B23:D23"/>
    <mergeCell ref="E23:E24"/>
    <mergeCell ref="F23:F24"/>
    <mergeCell ref="G23:G24"/>
    <mergeCell ref="B7:C7"/>
    <mergeCell ref="D7:L7"/>
    <mergeCell ref="M7:U7"/>
    <mergeCell ref="B8:C9"/>
    <mergeCell ref="M8:U9"/>
    <mergeCell ref="E13:H13"/>
    <mergeCell ref="I13:L13"/>
    <mergeCell ref="E14:H14"/>
    <mergeCell ref="I14:L14"/>
    <mergeCell ref="D8:L8"/>
    <mergeCell ref="D9:L9"/>
    <mergeCell ref="D10:L10"/>
    <mergeCell ref="D12:L12"/>
    <mergeCell ref="H39:H40"/>
    <mergeCell ref="I39:I40"/>
    <mergeCell ref="J39:J40"/>
    <mergeCell ref="I37:I38"/>
    <mergeCell ref="J37:J38"/>
    <mergeCell ref="H37:H38"/>
    <mergeCell ref="I35:I36"/>
    <mergeCell ref="H33:H34"/>
    <mergeCell ref="I33:I34"/>
    <mergeCell ref="J35:J36"/>
    <mergeCell ref="H35:H36"/>
    <mergeCell ref="J33:J34"/>
    <mergeCell ref="B39:D39"/>
    <mergeCell ref="B33:D33"/>
    <mergeCell ref="E33:E34"/>
    <mergeCell ref="F33:F34"/>
    <mergeCell ref="G33:G34"/>
    <mergeCell ref="B37:D37"/>
    <mergeCell ref="E37:E38"/>
    <mergeCell ref="F37:F38"/>
    <mergeCell ref="G37:G38"/>
    <mergeCell ref="B35:D35"/>
    <mergeCell ref="E39:E40"/>
    <mergeCell ref="F39:F40"/>
    <mergeCell ref="G39:G40"/>
    <mergeCell ref="E35:E36"/>
    <mergeCell ref="F35:F36"/>
    <mergeCell ref="G35:G36"/>
    <mergeCell ref="I29:I30"/>
    <mergeCell ref="J29:J30"/>
    <mergeCell ref="B31:D31"/>
    <mergeCell ref="E31:E32"/>
    <mergeCell ref="F31:F32"/>
    <mergeCell ref="G31:G32"/>
    <mergeCell ref="H31:H32"/>
    <mergeCell ref="J31:J32"/>
    <mergeCell ref="I31:I32"/>
    <mergeCell ref="B29:D29"/>
    <mergeCell ref="E29:E30"/>
    <mergeCell ref="F29:F30"/>
    <mergeCell ref="G29:G30"/>
    <mergeCell ref="H29:H30"/>
    <mergeCell ref="G25:G26"/>
    <mergeCell ref="H25:H26"/>
    <mergeCell ref="I25:I26"/>
    <mergeCell ref="J25:J26"/>
    <mergeCell ref="B25:D25"/>
    <mergeCell ref="E25:E26"/>
    <mergeCell ref="F25:F26"/>
    <mergeCell ref="B10:C11"/>
    <mergeCell ref="M10:U11"/>
    <mergeCell ref="D11:L11"/>
    <mergeCell ref="B12:C15"/>
    <mergeCell ref="M12:U15"/>
    <mergeCell ref="H23:H24"/>
    <mergeCell ref="I23:I24"/>
    <mergeCell ref="J23:J24"/>
    <mergeCell ref="B21:D21"/>
    <mergeCell ref="E21:E22"/>
    <mergeCell ref="F21:F22"/>
    <mergeCell ref="I21:J21"/>
    <mergeCell ref="K21:M21"/>
    <mergeCell ref="E15:H15"/>
    <mergeCell ref="I15:L15"/>
  </mergeCells>
  <phoneticPr fontId="4" type="noConversion"/>
  <printOptions horizontalCentered="1"/>
  <pageMargins left="0.15748031496062992" right="0.15748031496062992" top="0.35433070866141736" bottom="0.19685039370078741" header="0.31496062992125984" footer="0.31496062992125984"/>
  <pageSetup paperSize="9" scale="54"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F64"/>
  <sheetViews>
    <sheetView workbookViewId="0"/>
  </sheetViews>
  <sheetFormatPr defaultRowHeight="16.5"/>
  <cols>
    <col min="1" max="1" width="1" style="358" customWidth="1"/>
    <col min="2" max="2" width="15.125" style="358" customWidth="1"/>
    <col min="3" max="3" width="13.375" style="106" customWidth="1"/>
    <col min="4" max="4" width="13.375" style="357" customWidth="1"/>
    <col min="5" max="5" width="8" style="357" customWidth="1"/>
    <col min="6" max="6" width="8.25" style="358" customWidth="1"/>
    <col min="7" max="9" width="9.25" style="358" customWidth="1"/>
    <col min="10" max="10" width="8.625" style="358" customWidth="1"/>
    <col min="11" max="11" width="6.625" style="358" customWidth="1"/>
    <col min="12" max="13" width="7.125" style="358" customWidth="1"/>
    <col min="14" max="14" width="6.625" style="358" customWidth="1"/>
    <col min="15" max="29" width="8.125" style="358" customWidth="1"/>
    <col min="30" max="16384" width="9" style="36"/>
  </cols>
  <sheetData>
    <row r="1" spans="1:32" ht="30" customHeight="1" thickBot="1">
      <c r="A1" s="197"/>
      <c r="B1" s="663" t="s">
        <v>732</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row>
    <row r="2" spans="1:32" ht="18" customHeight="1" thickTop="1">
      <c r="A2" s="357"/>
      <c r="B2" s="25"/>
      <c r="C2" s="81"/>
      <c r="N2" s="357"/>
      <c r="O2" s="357"/>
      <c r="P2" s="357"/>
      <c r="Q2" s="357"/>
      <c r="R2" s="357"/>
      <c r="S2" s="357"/>
      <c r="T2" s="357"/>
      <c r="U2" s="357"/>
      <c r="V2" s="357"/>
      <c r="W2" s="357"/>
      <c r="X2" s="357"/>
      <c r="Y2" s="357"/>
      <c r="Z2" s="357"/>
      <c r="AA2" s="357"/>
      <c r="AB2" s="357"/>
      <c r="AC2" s="357"/>
    </row>
    <row r="3" spans="1:32" ht="18" customHeight="1" thickBot="1">
      <c r="A3" s="357"/>
      <c r="B3" s="359" t="s">
        <v>615</v>
      </c>
      <c r="C3" s="357"/>
      <c r="E3" s="82"/>
      <c r="L3" s="357"/>
      <c r="M3" s="357"/>
      <c r="N3" s="357"/>
      <c r="O3" s="357"/>
      <c r="P3" s="357"/>
      <c r="Q3" s="357"/>
      <c r="R3" s="357"/>
      <c r="S3" s="357"/>
      <c r="T3" s="357"/>
      <c r="U3" s="357"/>
      <c r="V3" s="357"/>
      <c r="W3" s="357"/>
      <c r="X3" s="357"/>
      <c r="Y3" s="357"/>
      <c r="Z3" s="357"/>
      <c r="AA3" s="357"/>
      <c r="AB3" s="357"/>
      <c r="AC3" s="357"/>
    </row>
    <row r="4" spans="1:32" ht="18" customHeight="1">
      <c r="A4" s="83"/>
      <c r="B4" s="701" t="s">
        <v>616</v>
      </c>
      <c r="C4" s="706"/>
      <c r="D4" s="702" t="s">
        <v>617</v>
      </c>
      <c r="E4" s="702"/>
      <c r="F4" s="702"/>
      <c r="G4" s="702"/>
      <c r="H4" s="702"/>
      <c r="I4" s="702"/>
      <c r="J4" s="702"/>
      <c r="K4" s="702"/>
      <c r="L4" s="702"/>
      <c r="M4" s="702"/>
      <c r="N4" s="1202" t="s">
        <v>618</v>
      </c>
      <c r="O4" s="1203"/>
      <c r="P4" s="1203"/>
      <c r="Q4" s="1203"/>
      <c r="R4" s="1203"/>
      <c r="S4" s="1203"/>
      <c r="T4" s="1203"/>
      <c r="U4" s="1203"/>
      <c r="V4" s="1204"/>
      <c r="W4" s="357"/>
      <c r="X4" s="357"/>
      <c r="Y4" s="357"/>
      <c r="Z4" s="357"/>
      <c r="AA4" s="357"/>
      <c r="AB4" s="357"/>
      <c r="AC4" s="357"/>
    </row>
    <row r="5" spans="1:32" ht="25.5" customHeight="1">
      <c r="A5" s="83"/>
      <c r="B5" s="709" t="s">
        <v>619</v>
      </c>
      <c r="C5" s="1201"/>
      <c r="D5" s="716" t="s">
        <v>620</v>
      </c>
      <c r="E5" s="716"/>
      <c r="F5" s="716"/>
      <c r="G5" s="716"/>
      <c r="H5" s="716"/>
      <c r="I5" s="716"/>
      <c r="J5" s="716"/>
      <c r="K5" s="716"/>
      <c r="L5" s="716"/>
      <c r="M5" s="716"/>
      <c r="N5" s="1208" t="s">
        <v>621</v>
      </c>
      <c r="O5" s="1209"/>
      <c r="P5" s="1209"/>
      <c r="Q5" s="1209"/>
      <c r="R5" s="1209"/>
      <c r="S5" s="1209"/>
      <c r="T5" s="1209"/>
      <c r="U5" s="1209"/>
      <c r="V5" s="1210"/>
      <c r="W5" s="357"/>
      <c r="X5" s="357"/>
      <c r="Y5" s="357"/>
      <c r="Z5" s="357"/>
      <c r="AA5" s="357"/>
      <c r="AB5" s="357"/>
      <c r="AC5" s="357"/>
    </row>
    <row r="6" spans="1:32" ht="25.5" customHeight="1">
      <c r="A6" s="83"/>
      <c r="B6" s="1039"/>
      <c r="C6" s="1040"/>
      <c r="D6" s="718" t="s">
        <v>622</v>
      </c>
      <c r="E6" s="718"/>
      <c r="F6" s="718"/>
      <c r="G6" s="718"/>
      <c r="H6" s="718"/>
      <c r="I6" s="718"/>
      <c r="J6" s="718"/>
      <c r="K6" s="718"/>
      <c r="L6" s="718"/>
      <c r="M6" s="718"/>
      <c r="N6" s="1211"/>
      <c r="O6" s="1212"/>
      <c r="P6" s="1212"/>
      <c r="Q6" s="1212"/>
      <c r="R6" s="1212"/>
      <c r="S6" s="1212"/>
      <c r="T6" s="1212"/>
      <c r="U6" s="1212"/>
      <c r="V6" s="1213"/>
      <c r="W6" s="357"/>
      <c r="X6" s="357"/>
      <c r="Y6" s="357"/>
      <c r="Z6" s="357"/>
      <c r="AA6" s="357"/>
      <c r="AB6" s="357"/>
      <c r="AC6" s="357"/>
    </row>
    <row r="7" spans="1:32" ht="22.5" customHeight="1">
      <c r="A7" s="83"/>
      <c r="B7" s="707" t="s">
        <v>623</v>
      </c>
      <c r="C7" s="1038"/>
      <c r="D7" s="716" t="s">
        <v>624</v>
      </c>
      <c r="E7" s="716"/>
      <c r="F7" s="716"/>
      <c r="G7" s="716"/>
      <c r="H7" s="716"/>
      <c r="I7" s="716"/>
      <c r="J7" s="716"/>
      <c r="K7" s="716"/>
      <c r="L7" s="716"/>
      <c r="M7" s="716"/>
      <c r="N7" s="1214" t="s">
        <v>716</v>
      </c>
      <c r="O7" s="1215"/>
      <c r="P7" s="1215"/>
      <c r="Q7" s="1215"/>
      <c r="R7" s="1215"/>
      <c r="S7" s="1215"/>
      <c r="T7" s="1215"/>
      <c r="U7" s="1215"/>
      <c r="V7" s="1216"/>
      <c r="W7" s="357"/>
      <c r="X7" s="357"/>
      <c r="Y7" s="357"/>
      <c r="Z7" s="357"/>
      <c r="AA7" s="357"/>
      <c r="AB7" s="357"/>
      <c r="AC7" s="357"/>
    </row>
    <row r="8" spans="1:32" ht="22.5" customHeight="1">
      <c r="A8" s="83"/>
      <c r="B8" s="709"/>
      <c r="C8" s="1201"/>
      <c r="D8" s="1192" t="s">
        <v>625</v>
      </c>
      <c r="E8" s="716"/>
      <c r="F8" s="716"/>
      <c r="G8" s="716"/>
      <c r="H8" s="716"/>
      <c r="I8" s="716"/>
      <c r="J8" s="716"/>
      <c r="K8" s="716"/>
      <c r="L8" s="716"/>
      <c r="M8" s="717"/>
      <c r="N8" s="1214"/>
      <c r="O8" s="1215"/>
      <c r="P8" s="1215"/>
      <c r="Q8" s="1215"/>
      <c r="R8" s="1215"/>
      <c r="S8" s="1215"/>
      <c r="T8" s="1215"/>
      <c r="U8" s="1215"/>
      <c r="V8" s="1216"/>
      <c r="W8" s="357"/>
      <c r="X8" s="357"/>
      <c r="Y8" s="357"/>
      <c r="Z8" s="357"/>
      <c r="AA8" s="357"/>
      <c r="AB8" s="357"/>
      <c r="AC8" s="357"/>
    </row>
    <row r="9" spans="1:32" ht="22.5" customHeight="1" thickBot="1">
      <c r="A9" s="83"/>
      <c r="B9" s="709"/>
      <c r="C9" s="1201"/>
      <c r="D9" s="1220" t="s">
        <v>626</v>
      </c>
      <c r="E9" s="1220"/>
      <c r="F9" s="1220"/>
      <c r="G9" s="1220"/>
      <c r="H9" s="1220"/>
      <c r="I9" s="1220"/>
      <c r="J9" s="1220"/>
      <c r="K9" s="1220"/>
      <c r="L9" s="1220"/>
      <c r="M9" s="1221"/>
      <c r="N9" s="1217"/>
      <c r="O9" s="1218"/>
      <c r="P9" s="1218"/>
      <c r="Q9" s="1218"/>
      <c r="R9" s="1218"/>
      <c r="S9" s="1218"/>
      <c r="T9" s="1218"/>
      <c r="U9" s="1218"/>
      <c r="V9" s="1219"/>
      <c r="W9" s="357"/>
      <c r="X9" s="357"/>
      <c r="Y9" s="357"/>
      <c r="Z9" s="357"/>
      <c r="AA9" s="357"/>
      <c r="AB9" s="357"/>
      <c r="AC9" s="357"/>
    </row>
    <row r="10" spans="1:32" ht="22.5" customHeight="1">
      <c r="A10" s="83"/>
      <c r="B10" s="709"/>
      <c r="C10" s="1201"/>
      <c r="D10" s="1222" t="s">
        <v>627</v>
      </c>
      <c r="E10" s="1223"/>
      <c r="F10" s="625" t="s">
        <v>628</v>
      </c>
      <c r="G10" s="625" t="s">
        <v>629</v>
      </c>
      <c r="H10" s="625" t="s">
        <v>630</v>
      </c>
      <c r="I10" s="625" t="s">
        <v>631</v>
      </c>
      <c r="J10" s="625" t="s">
        <v>632</v>
      </c>
      <c r="K10" s="625" t="s">
        <v>633</v>
      </c>
      <c r="L10" s="626" t="s">
        <v>634</v>
      </c>
      <c r="M10" s="627" t="s">
        <v>635</v>
      </c>
      <c r="N10" s="1224" t="s">
        <v>636</v>
      </c>
      <c r="O10" s="1223"/>
      <c r="P10" s="628" t="s">
        <v>637</v>
      </c>
      <c r="Q10" s="628" t="s">
        <v>638</v>
      </c>
      <c r="R10" s="628" t="s">
        <v>639</v>
      </c>
      <c r="S10" s="628" t="s">
        <v>640</v>
      </c>
      <c r="T10" s="629" t="s">
        <v>641</v>
      </c>
      <c r="U10" s="630" t="s">
        <v>642</v>
      </c>
      <c r="V10" s="631" t="s">
        <v>643</v>
      </c>
      <c r="W10" s="357"/>
      <c r="X10" s="357"/>
      <c r="Y10" s="357"/>
      <c r="Z10" s="357"/>
      <c r="AA10" s="357"/>
      <c r="AB10" s="357"/>
      <c r="AC10" s="357"/>
    </row>
    <row r="11" spans="1:32" ht="22.5" customHeight="1" thickBot="1">
      <c r="A11" s="83"/>
      <c r="B11" s="1039"/>
      <c r="C11" s="1040"/>
      <c r="D11" s="1225" t="s">
        <v>50</v>
      </c>
      <c r="E11" s="1226"/>
      <c r="F11" s="632">
        <v>10</v>
      </c>
      <c r="G11" s="322">
        <v>15</v>
      </c>
      <c r="H11" s="322">
        <v>20</v>
      </c>
      <c r="I11" s="322">
        <v>25</v>
      </c>
      <c r="J11" s="322">
        <v>30</v>
      </c>
      <c r="K11" s="322">
        <v>35</v>
      </c>
      <c r="L11" s="633">
        <v>45</v>
      </c>
      <c r="M11" s="313">
        <v>55</v>
      </c>
      <c r="N11" s="1227" t="s">
        <v>644</v>
      </c>
      <c r="O11" s="1228"/>
      <c r="P11" s="314" t="s">
        <v>645</v>
      </c>
      <c r="Q11" s="314" t="s">
        <v>613</v>
      </c>
      <c r="R11" s="314" t="s">
        <v>646</v>
      </c>
      <c r="S11" s="314" t="s">
        <v>647</v>
      </c>
      <c r="T11" s="315" t="s">
        <v>648</v>
      </c>
      <c r="U11" s="419" t="s">
        <v>649</v>
      </c>
      <c r="V11" s="634" t="s">
        <v>650</v>
      </c>
      <c r="W11" s="357"/>
      <c r="X11" s="357"/>
      <c r="Y11" s="357"/>
      <c r="Z11" s="357"/>
      <c r="AA11" s="357"/>
      <c r="AB11" s="357"/>
      <c r="AC11" s="357"/>
    </row>
    <row r="12" spans="1:32" ht="18" customHeight="1">
      <c r="A12" s="83"/>
      <c r="B12" s="707" t="s">
        <v>651</v>
      </c>
      <c r="C12" s="1038"/>
      <c r="D12" s="716" t="s">
        <v>652</v>
      </c>
      <c r="E12" s="716"/>
      <c r="F12" s="716"/>
      <c r="G12" s="716"/>
      <c r="H12" s="716"/>
      <c r="I12" s="716"/>
      <c r="J12" s="716"/>
      <c r="K12" s="716"/>
      <c r="L12" s="716"/>
      <c r="M12" s="717"/>
      <c r="N12" s="1229" t="s">
        <v>653</v>
      </c>
      <c r="O12" s="316">
        <v>1</v>
      </c>
      <c r="P12" s="1189" t="s">
        <v>654</v>
      </c>
      <c r="Q12" s="317" t="s">
        <v>655</v>
      </c>
      <c r="R12" s="317" t="s">
        <v>61</v>
      </c>
      <c r="S12" s="317" t="s">
        <v>62</v>
      </c>
      <c r="T12" s="427" t="s">
        <v>63</v>
      </c>
      <c r="U12" s="420" t="s">
        <v>64</v>
      </c>
      <c r="V12" s="635" t="s">
        <v>656</v>
      </c>
      <c r="W12" s="357"/>
      <c r="X12" s="357"/>
      <c r="Y12" s="357"/>
      <c r="Z12" s="357"/>
      <c r="AA12" s="357"/>
      <c r="AB12" s="357"/>
      <c r="AC12" s="357"/>
    </row>
    <row r="13" spans="1:32" ht="18" customHeight="1">
      <c r="A13" s="83"/>
      <c r="B13" s="709"/>
      <c r="C13" s="1201"/>
      <c r="D13" s="1192" t="s">
        <v>657</v>
      </c>
      <c r="E13" s="716"/>
      <c r="F13" s="716"/>
      <c r="G13" s="716"/>
      <c r="H13" s="716"/>
      <c r="I13" s="716"/>
      <c r="J13" s="716"/>
      <c r="K13" s="716"/>
      <c r="L13" s="716"/>
      <c r="M13" s="717"/>
      <c r="N13" s="1230"/>
      <c r="O13" s="318">
        <v>0.8</v>
      </c>
      <c r="P13" s="1190"/>
      <c r="Q13" s="317" t="s">
        <v>65</v>
      </c>
      <c r="R13" s="317" t="s">
        <v>66</v>
      </c>
      <c r="S13" s="317" t="s">
        <v>67</v>
      </c>
      <c r="T13" s="319" t="s">
        <v>68</v>
      </c>
      <c r="U13" s="421" t="s">
        <v>69</v>
      </c>
      <c r="V13" s="635" t="s">
        <v>658</v>
      </c>
      <c r="W13" s="357"/>
      <c r="X13" s="357"/>
      <c r="Y13" s="357"/>
      <c r="Z13" s="357"/>
      <c r="AA13" s="357"/>
      <c r="AB13" s="357"/>
      <c r="AC13" s="357"/>
    </row>
    <row r="14" spans="1:32" ht="18" customHeight="1">
      <c r="A14" s="83"/>
      <c r="B14" s="1039"/>
      <c r="C14" s="1040"/>
      <c r="D14" s="718" t="s">
        <v>659</v>
      </c>
      <c r="E14" s="718"/>
      <c r="F14" s="718"/>
      <c r="G14" s="718"/>
      <c r="H14" s="718"/>
      <c r="I14" s="718"/>
      <c r="J14" s="718"/>
      <c r="K14" s="718"/>
      <c r="L14" s="718"/>
      <c r="M14" s="719"/>
      <c r="N14" s="1230"/>
      <c r="O14" s="320">
        <v>0.6</v>
      </c>
      <c r="P14" s="1190"/>
      <c r="Q14" s="317" t="s">
        <v>70</v>
      </c>
      <c r="R14" s="317" t="s">
        <v>71</v>
      </c>
      <c r="S14" s="317" t="s">
        <v>72</v>
      </c>
      <c r="T14" s="319" t="s">
        <v>73</v>
      </c>
      <c r="U14" s="421" t="s">
        <v>74</v>
      </c>
      <c r="V14" s="635" t="s">
        <v>660</v>
      </c>
      <c r="W14" s="357"/>
      <c r="X14" s="357"/>
      <c r="Y14" s="357"/>
      <c r="Z14" s="357"/>
      <c r="AA14" s="357"/>
      <c r="AB14" s="357"/>
      <c r="AC14" s="357"/>
    </row>
    <row r="15" spans="1:32" ht="18" customHeight="1" thickBot="1">
      <c r="A15" s="83"/>
      <c r="B15" s="1193" t="s">
        <v>661</v>
      </c>
      <c r="C15" s="1194"/>
      <c r="D15" s="1195" t="s">
        <v>662</v>
      </c>
      <c r="E15" s="1195"/>
      <c r="F15" s="1195"/>
      <c r="G15" s="1195"/>
      <c r="H15" s="1195"/>
      <c r="I15" s="1195"/>
      <c r="J15" s="1195"/>
      <c r="K15" s="1195"/>
      <c r="L15" s="1195"/>
      <c r="M15" s="1196"/>
      <c r="N15" s="1231"/>
      <c r="O15" s="321">
        <v>0.4</v>
      </c>
      <c r="P15" s="1191"/>
      <c r="Q15" s="322" t="s">
        <v>75</v>
      </c>
      <c r="R15" s="322" t="s">
        <v>76</v>
      </c>
      <c r="S15" s="322" t="s">
        <v>77</v>
      </c>
      <c r="T15" s="426" t="s">
        <v>78</v>
      </c>
      <c r="U15" s="422" t="s">
        <v>79</v>
      </c>
      <c r="V15" s="636" t="s">
        <v>663</v>
      </c>
      <c r="W15" s="357"/>
      <c r="X15" s="357"/>
      <c r="Y15" s="357"/>
      <c r="Z15" s="357"/>
      <c r="AA15" s="357"/>
      <c r="AB15" s="357"/>
      <c r="AC15" s="357"/>
    </row>
    <row r="16" spans="1:32" ht="18" customHeight="1">
      <c r="A16" s="83"/>
      <c r="B16" s="616"/>
      <c r="C16" s="616"/>
      <c r="D16" s="616"/>
      <c r="E16" s="616"/>
      <c r="F16" s="616"/>
      <c r="G16" s="616"/>
      <c r="H16" s="616"/>
      <c r="I16" s="616"/>
      <c r="J16" s="616"/>
      <c r="K16" s="616"/>
      <c r="L16" s="616"/>
      <c r="M16" s="616"/>
      <c r="N16" s="616"/>
      <c r="O16" s="616"/>
      <c r="P16" s="616"/>
      <c r="Q16" s="83"/>
      <c r="R16" s="83"/>
      <c r="S16" s="83"/>
      <c r="T16" s="83"/>
      <c r="U16" s="83"/>
      <c r="V16" s="83"/>
      <c r="W16" s="83"/>
      <c r="X16" s="83"/>
      <c r="Y16" s="83"/>
      <c r="Z16" s="83"/>
      <c r="AA16" s="83"/>
      <c r="AB16" s="83"/>
      <c r="AC16" s="357"/>
    </row>
    <row r="17" spans="1:32" ht="18" customHeight="1">
      <c r="B17" s="35" t="s">
        <v>664</v>
      </c>
      <c r="C17" s="358"/>
      <c r="F17" s="357"/>
      <c r="P17" s="637"/>
      <c r="AC17" s="357"/>
    </row>
    <row r="18" spans="1:32" s="34" customFormat="1" ht="25.5" customHeight="1">
      <c r="B18" s="423" t="s">
        <v>665</v>
      </c>
      <c r="C18" s="423"/>
      <c r="D18" s="423"/>
      <c r="E18" s="423"/>
      <c r="F18" s="423"/>
      <c r="G18" s="423"/>
      <c r="H18" s="424"/>
      <c r="I18" s="424"/>
      <c r="J18" s="424"/>
      <c r="K18" s="425"/>
      <c r="L18" s="425"/>
      <c r="M18" s="425"/>
      <c r="N18" s="424"/>
      <c r="O18" s="424"/>
      <c r="P18" s="424"/>
      <c r="Q18" s="424"/>
      <c r="R18" s="424"/>
      <c r="S18" s="424"/>
      <c r="T18" s="424"/>
      <c r="U18" s="424"/>
      <c r="V18" s="424"/>
      <c r="W18" s="424"/>
      <c r="X18" s="424"/>
      <c r="Y18" s="424"/>
      <c r="Z18" s="424"/>
    </row>
    <row r="19" spans="1:32" s="34" customFormat="1" ht="24" customHeight="1">
      <c r="A19" s="29"/>
      <c r="B19" s="30" t="s">
        <v>666</v>
      </c>
      <c r="C19" s="31"/>
      <c r="D19" s="31"/>
      <c r="E19" s="31"/>
      <c r="F19" s="31"/>
      <c r="G19" s="31"/>
      <c r="H19" s="32"/>
      <c r="I19" s="32"/>
      <c r="J19" s="32"/>
      <c r="K19" s="33"/>
      <c r="L19" s="33"/>
      <c r="M19" s="33"/>
      <c r="N19" s="32"/>
      <c r="O19" s="32"/>
      <c r="P19" s="32"/>
      <c r="Q19" s="32"/>
      <c r="R19" s="32"/>
      <c r="S19" s="32"/>
      <c r="T19" s="32"/>
      <c r="U19" s="32"/>
      <c r="V19" s="32"/>
      <c r="W19" s="32"/>
      <c r="X19" s="32"/>
      <c r="Y19" s="32"/>
      <c r="Z19" s="32"/>
      <c r="AA19" s="29"/>
      <c r="AB19" s="29"/>
    </row>
    <row r="20" spans="1:32" ht="7.5" customHeight="1" thickBot="1">
      <c r="B20" s="35"/>
      <c r="C20" s="358"/>
      <c r="F20" s="357"/>
      <c r="AC20" s="357"/>
    </row>
    <row r="21" spans="1:32" ht="18" customHeight="1">
      <c r="A21" s="84"/>
      <c r="B21" s="1197" t="s">
        <v>667</v>
      </c>
      <c r="C21" s="1198"/>
      <c r="D21" s="1199"/>
      <c r="E21" s="1179" t="s">
        <v>668</v>
      </c>
      <c r="F21" s="803"/>
      <c r="G21" s="1180" t="s">
        <v>619</v>
      </c>
      <c r="H21" s="484" t="s">
        <v>669</v>
      </c>
      <c r="I21" s="1200" t="s">
        <v>670</v>
      </c>
      <c r="J21" s="1180" t="s">
        <v>651</v>
      </c>
      <c r="K21" s="804" t="s">
        <v>80</v>
      </c>
      <c r="L21" s="754"/>
      <c r="M21" s="754"/>
      <c r="N21" s="755"/>
      <c r="O21" s="691" t="s">
        <v>671</v>
      </c>
      <c r="P21" s="754"/>
      <c r="Q21" s="755"/>
      <c r="R21" s="689" t="s">
        <v>672</v>
      </c>
      <c r="S21" s="690"/>
      <c r="T21" s="617">
        <v>0.93</v>
      </c>
      <c r="U21" s="699" t="s">
        <v>673</v>
      </c>
      <c r="V21" s="700"/>
      <c r="W21" s="539">
        <v>0.86</v>
      </c>
      <c r="X21" s="689" t="s">
        <v>238</v>
      </c>
      <c r="Y21" s="690"/>
      <c r="Z21" s="539">
        <v>0.83</v>
      </c>
      <c r="AA21" s="689" t="s">
        <v>674</v>
      </c>
      <c r="AB21" s="690"/>
      <c r="AC21" s="617">
        <v>0.75</v>
      </c>
      <c r="AD21" s="691" t="s">
        <v>675</v>
      </c>
      <c r="AE21" s="692"/>
      <c r="AF21" s="539">
        <v>0.7</v>
      </c>
    </row>
    <row r="22" spans="1:32" ht="27.75" customHeight="1" thickBot="1">
      <c r="A22" s="84"/>
      <c r="B22" s="638" t="s">
        <v>676</v>
      </c>
      <c r="C22" s="639" t="s">
        <v>43</v>
      </c>
      <c r="D22" s="640" t="s">
        <v>677</v>
      </c>
      <c r="E22" s="326" t="s">
        <v>678</v>
      </c>
      <c r="F22" s="272" t="s">
        <v>627</v>
      </c>
      <c r="G22" s="1181"/>
      <c r="H22" s="273">
        <v>0.55000000000000004</v>
      </c>
      <c r="I22" s="1181"/>
      <c r="J22" s="1181"/>
      <c r="K22" s="272" t="s">
        <v>679</v>
      </c>
      <c r="L22" s="272" t="s">
        <v>680</v>
      </c>
      <c r="M22" s="272" t="s">
        <v>681</v>
      </c>
      <c r="N22" s="327" t="s">
        <v>682</v>
      </c>
      <c r="O22" s="254" t="s">
        <v>679</v>
      </c>
      <c r="P22" s="255" t="s">
        <v>683</v>
      </c>
      <c r="Q22" s="256" t="s">
        <v>684</v>
      </c>
      <c r="R22" s="257" t="s">
        <v>679</v>
      </c>
      <c r="S22" s="255" t="s">
        <v>683</v>
      </c>
      <c r="T22" s="327" t="s">
        <v>684</v>
      </c>
      <c r="U22" s="254" t="s">
        <v>679</v>
      </c>
      <c r="V22" s="255" t="s">
        <v>683</v>
      </c>
      <c r="W22" s="256" t="s">
        <v>684</v>
      </c>
      <c r="X22" s="257" t="s">
        <v>679</v>
      </c>
      <c r="Y22" s="255" t="s">
        <v>683</v>
      </c>
      <c r="Z22" s="256" t="s">
        <v>684</v>
      </c>
      <c r="AA22" s="257" t="s">
        <v>679</v>
      </c>
      <c r="AB22" s="255" t="s">
        <v>683</v>
      </c>
      <c r="AC22" s="256" t="s">
        <v>684</v>
      </c>
      <c r="AD22" s="254" t="s">
        <v>679</v>
      </c>
      <c r="AE22" s="255" t="s">
        <v>683</v>
      </c>
      <c r="AF22" s="256" t="s">
        <v>684</v>
      </c>
    </row>
    <row r="23" spans="1:32" ht="18" customHeight="1">
      <c r="A23" s="84"/>
      <c r="B23" s="1182" t="s">
        <v>685</v>
      </c>
      <c r="C23" s="1183"/>
      <c r="D23" s="1184"/>
      <c r="E23" s="1185">
        <v>1000</v>
      </c>
      <c r="F23" s="1169">
        <f>E23*C24</f>
        <v>2400</v>
      </c>
      <c r="G23" s="1163">
        <f>F23*220%</f>
        <v>5280</v>
      </c>
      <c r="H23" s="1170">
        <f>F23*55%*100%</f>
        <v>1320</v>
      </c>
      <c r="I23" s="1187">
        <f>F23*49.5%</f>
        <v>1188</v>
      </c>
      <c r="J23" s="1170">
        <f>F23*4.5%*11</f>
        <v>1188</v>
      </c>
      <c r="K23" s="1170"/>
      <c r="L23" s="1170"/>
      <c r="M23" s="1170"/>
      <c r="N23" s="1163"/>
      <c r="O23" s="198">
        <f>G23+H23+K23+I23</f>
        <v>7788</v>
      </c>
      <c r="P23" s="199">
        <f>G23+H23+J23+L23+I23</f>
        <v>8976</v>
      </c>
      <c r="Q23" s="200">
        <f>G23+H23+J23+L23+M23+N23+I23</f>
        <v>8976</v>
      </c>
      <c r="R23" s="201">
        <f>O23*$T$21</f>
        <v>7242.84</v>
      </c>
      <c r="S23" s="199">
        <f>P23*$T$21</f>
        <v>8347.68</v>
      </c>
      <c r="T23" s="202">
        <f>Q23*$T$21</f>
        <v>8347.68</v>
      </c>
      <c r="U23" s="198">
        <f>$O23*$W$21</f>
        <v>6697.68</v>
      </c>
      <c r="V23" s="199">
        <f>P23*$W$21</f>
        <v>7719.36</v>
      </c>
      <c r="W23" s="200">
        <f>Q23*$W$21</f>
        <v>7719.36</v>
      </c>
      <c r="X23" s="201">
        <f>O23*$Z$21</f>
        <v>6464.04</v>
      </c>
      <c r="Y23" s="199">
        <f>P23*$Z$21</f>
        <v>7450.08</v>
      </c>
      <c r="Z23" s="200">
        <f>Q23*$Z$21</f>
        <v>7450.08</v>
      </c>
      <c r="AA23" s="201">
        <f>O23*$AC$21</f>
        <v>5841</v>
      </c>
      <c r="AB23" s="199">
        <f>P23*$AC$21</f>
        <v>6732</v>
      </c>
      <c r="AC23" s="202">
        <f>Q23*$AC$21</f>
        <v>6732</v>
      </c>
      <c r="AD23" s="198">
        <f>O23*$AF$21</f>
        <v>5451.5999999999995</v>
      </c>
      <c r="AE23" s="199">
        <f>P23*$AF$21</f>
        <v>6283.2</v>
      </c>
      <c r="AF23" s="200">
        <f>Q23*$AF$21</f>
        <v>6283.2</v>
      </c>
    </row>
    <row r="24" spans="1:32" ht="18" customHeight="1">
      <c r="A24" s="84"/>
      <c r="B24" s="641" t="s">
        <v>686</v>
      </c>
      <c r="C24" s="642">
        <v>2.4</v>
      </c>
      <c r="D24" s="643"/>
      <c r="E24" s="1186"/>
      <c r="F24" s="1160"/>
      <c r="G24" s="1162"/>
      <c r="H24" s="1151"/>
      <c r="I24" s="1188"/>
      <c r="J24" s="1151"/>
      <c r="K24" s="1151"/>
      <c r="L24" s="1151"/>
      <c r="M24" s="1151"/>
      <c r="N24" s="1162"/>
      <c r="O24" s="90">
        <f>O23/E23</f>
        <v>7.7880000000000003</v>
      </c>
      <c r="P24" s="27">
        <f>P23/E23</f>
        <v>8.9760000000000009</v>
      </c>
      <c r="Q24" s="28">
        <f>Q23/E23</f>
        <v>8.9760000000000009</v>
      </c>
      <c r="R24" s="91">
        <f>R23/E23</f>
        <v>7.2428400000000002</v>
      </c>
      <c r="S24" s="27">
        <f>S23/E23</f>
        <v>8.3476800000000004</v>
      </c>
      <c r="T24" s="92">
        <f>T23/E23</f>
        <v>8.3476800000000004</v>
      </c>
      <c r="U24" s="362">
        <f>U23/E23</f>
        <v>6.6976800000000001</v>
      </c>
      <c r="V24" s="27">
        <f>V23/E23</f>
        <v>7.71936</v>
      </c>
      <c r="W24" s="365">
        <f>W23/E23</f>
        <v>7.71936</v>
      </c>
      <c r="X24" s="91">
        <f>X23/E23</f>
        <v>6.4640399999999998</v>
      </c>
      <c r="Y24" s="27">
        <f>Y23/E23</f>
        <v>7.4500799999999998</v>
      </c>
      <c r="Z24" s="365">
        <f>Z23/E23</f>
        <v>7.4500799999999998</v>
      </c>
      <c r="AA24" s="91">
        <f>AA23/E23</f>
        <v>5.8410000000000002</v>
      </c>
      <c r="AB24" s="27">
        <f>AB23/E23</f>
        <v>6.7320000000000002</v>
      </c>
      <c r="AC24" s="92">
        <f>AC23/E23</f>
        <v>6.7320000000000002</v>
      </c>
      <c r="AD24" s="362">
        <f>AD23/E23</f>
        <v>5.4515999999999991</v>
      </c>
      <c r="AE24" s="27">
        <f>AE23/E23</f>
        <v>6.2831999999999999</v>
      </c>
      <c r="AF24" s="365">
        <f>AF23/E23</f>
        <v>6.2831999999999999</v>
      </c>
    </row>
    <row r="25" spans="1:32" ht="26.25" customHeight="1" thickBot="1">
      <c r="A25" s="84"/>
      <c r="B25" s="1205" t="s">
        <v>687</v>
      </c>
      <c r="C25" s="1206"/>
      <c r="D25" s="1206"/>
      <c r="E25" s="1206"/>
      <c r="F25" s="1206"/>
      <c r="G25" s="1206"/>
      <c r="H25" s="1206"/>
      <c r="I25" s="1206"/>
      <c r="J25" s="1206"/>
      <c r="K25" s="1206"/>
      <c r="L25" s="1206"/>
      <c r="M25" s="1206"/>
      <c r="N25" s="1206"/>
      <c r="O25" s="1206"/>
      <c r="P25" s="1206"/>
      <c r="Q25" s="1206"/>
      <c r="R25" s="1206"/>
      <c r="S25" s="1206"/>
      <c r="T25" s="1206"/>
      <c r="U25" s="1206"/>
      <c r="V25" s="1206"/>
      <c r="W25" s="1206"/>
      <c r="X25" s="1206"/>
      <c r="Y25" s="1206"/>
      <c r="Z25" s="1206"/>
      <c r="AA25" s="1206"/>
      <c r="AB25" s="1206"/>
      <c r="AC25" s="1206"/>
      <c r="AD25" s="1206"/>
      <c r="AE25" s="1206"/>
      <c r="AF25" s="1207"/>
    </row>
    <row r="26" spans="1:32" ht="4.5" customHeight="1" thickBot="1">
      <c r="A26" s="84"/>
      <c r="B26" s="650"/>
      <c r="C26" s="644"/>
      <c r="D26" s="644"/>
      <c r="E26" s="644"/>
      <c r="F26" s="644"/>
      <c r="G26" s="644"/>
      <c r="H26" s="644"/>
      <c r="I26" s="644"/>
      <c r="J26" s="644"/>
      <c r="K26" s="644"/>
      <c r="L26" s="644"/>
      <c r="M26" s="644"/>
      <c r="N26" s="644"/>
      <c r="O26" s="644"/>
      <c r="P26" s="644"/>
      <c r="Q26" s="644"/>
      <c r="R26" s="644"/>
      <c r="S26" s="644"/>
      <c r="T26" s="644"/>
      <c r="U26" s="644"/>
      <c r="V26" s="644"/>
      <c r="W26" s="644"/>
      <c r="X26" s="644"/>
      <c r="Y26" s="644"/>
      <c r="Z26" s="644"/>
      <c r="AA26" s="644"/>
      <c r="AB26" s="644"/>
      <c r="AC26" s="644"/>
      <c r="AD26" s="644"/>
      <c r="AE26" s="644"/>
      <c r="AF26" s="650"/>
    </row>
    <row r="27" spans="1:32" ht="18" customHeight="1">
      <c r="A27" s="84"/>
      <c r="B27" s="1164" t="s">
        <v>688</v>
      </c>
      <c r="C27" s="1165"/>
      <c r="D27" s="1166"/>
      <c r="E27" s="1232">
        <v>1000</v>
      </c>
      <c r="F27" s="1169">
        <f>E27*C28</f>
        <v>2350</v>
      </c>
      <c r="G27" s="1163">
        <f>F27*220%</f>
        <v>5170</v>
      </c>
      <c r="H27" s="1170">
        <f>F27*55%*100%</f>
        <v>1292.5</v>
      </c>
      <c r="I27" s="618"/>
      <c r="J27" s="1170">
        <f>F27*9%*11</f>
        <v>2326.5</v>
      </c>
      <c r="K27" s="1170"/>
      <c r="L27" s="1170"/>
      <c r="M27" s="1170"/>
      <c r="N27" s="1177"/>
      <c r="O27" s="198">
        <f>G27+H27+K27</f>
        <v>6462.5</v>
      </c>
      <c r="P27" s="199">
        <f>G27+H27+J27+L27</f>
        <v>8789</v>
      </c>
      <c r="Q27" s="200">
        <f>G27+H27+J27+L27+M27+N27</f>
        <v>8789</v>
      </c>
      <c r="R27" s="201">
        <f>O27*$T$21</f>
        <v>6010.125</v>
      </c>
      <c r="S27" s="199">
        <f>P27*$T$21</f>
        <v>8173.77</v>
      </c>
      <c r="T27" s="202">
        <f>Q27*$T$21</f>
        <v>8173.77</v>
      </c>
      <c r="U27" s="198">
        <f>$O27*$W$21</f>
        <v>5557.75</v>
      </c>
      <c r="V27" s="199">
        <f>P27*$W$21</f>
        <v>7558.54</v>
      </c>
      <c r="W27" s="200">
        <f>Q27*$W$21</f>
        <v>7558.54</v>
      </c>
      <c r="X27" s="201">
        <f>O27*$Z$21</f>
        <v>5363.875</v>
      </c>
      <c r="Y27" s="199">
        <f>P27*$Z$21</f>
        <v>7294.87</v>
      </c>
      <c r="Z27" s="200">
        <f>Q27*$Z$21</f>
        <v>7294.87</v>
      </c>
      <c r="AA27" s="201">
        <f>O27*$AC$21</f>
        <v>4846.875</v>
      </c>
      <c r="AB27" s="199">
        <f>P27*$AC$21</f>
        <v>6591.75</v>
      </c>
      <c r="AC27" s="202">
        <f>Q27*$AC$21</f>
        <v>6591.75</v>
      </c>
      <c r="AD27" s="198">
        <f>O27*$AF$21</f>
        <v>4523.75</v>
      </c>
      <c r="AE27" s="199">
        <f>P27*$AF$21</f>
        <v>6152.2999999999993</v>
      </c>
      <c r="AF27" s="200">
        <f>Q27*$AF$21</f>
        <v>6152.2999999999993</v>
      </c>
    </row>
    <row r="28" spans="1:32" ht="18" customHeight="1" thickBot="1">
      <c r="A28" s="84"/>
      <c r="B28" s="331" t="s">
        <v>689</v>
      </c>
      <c r="C28" s="273">
        <v>2.35</v>
      </c>
      <c r="D28" s="473"/>
      <c r="E28" s="1233"/>
      <c r="F28" s="1152"/>
      <c r="G28" s="1145"/>
      <c r="H28" s="1154"/>
      <c r="I28" s="622"/>
      <c r="J28" s="1154"/>
      <c r="K28" s="1154"/>
      <c r="L28" s="1154"/>
      <c r="M28" s="1154"/>
      <c r="N28" s="1178"/>
      <c r="O28" s="97">
        <f>O27/E27</f>
        <v>6.4625000000000004</v>
      </c>
      <c r="P28" s="144">
        <f>P27/E27</f>
        <v>8.7889999999999997</v>
      </c>
      <c r="Q28" s="99">
        <f>Q27/E27</f>
        <v>8.7889999999999997</v>
      </c>
      <c r="R28" s="100">
        <f>R27/E27</f>
        <v>6.0101250000000004</v>
      </c>
      <c r="S28" s="144">
        <f>S27/E27</f>
        <v>8.1737700000000011</v>
      </c>
      <c r="T28" s="102">
        <f>T27/E27</f>
        <v>8.1737700000000011</v>
      </c>
      <c r="U28" s="103">
        <f>U27/E27</f>
        <v>5.5577500000000004</v>
      </c>
      <c r="V28" s="144">
        <f>V27/E27</f>
        <v>7.5585399999999998</v>
      </c>
      <c r="W28" s="104">
        <f>W27/E27</f>
        <v>7.5585399999999998</v>
      </c>
      <c r="X28" s="100">
        <f>X27/E27</f>
        <v>5.3638750000000002</v>
      </c>
      <c r="Y28" s="144">
        <f>Y27/E27</f>
        <v>7.2948699999999995</v>
      </c>
      <c r="Z28" s="104">
        <f>Z27/E27</f>
        <v>7.2948699999999995</v>
      </c>
      <c r="AA28" s="100">
        <f>AA27/E27</f>
        <v>4.8468749999999998</v>
      </c>
      <c r="AB28" s="144">
        <f>AB27/E27</f>
        <v>6.5917500000000002</v>
      </c>
      <c r="AC28" s="102">
        <f>AC27/E27</f>
        <v>6.5917500000000002</v>
      </c>
      <c r="AD28" s="103">
        <f>AD27/E27</f>
        <v>4.5237499999999997</v>
      </c>
      <c r="AE28" s="144">
        <f>AE27/E27</f>
        <v>6.1522999999999994</v>
      </c>
      <c r="AF28" s="104">
        <f>AF27/E27</f>
        <v>6.1522999999999994</v>
      </c>
    </row>
    <row r="29" spans="1:32" s="646" customFormat="1" ht="10.5" customHeight="1" thickBot="1">
      <c r="A29" s="84"/>
      <c r="B29" s="645"/>
      <c r="C29" s="645"/>
      <c r="D29" s="645"/>
      <c r="E29" s="645"/>
      <c r="F29" s="645"/>
      <c r="G29" s="645"/>
      <c r="H29" s="645"/>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row>
    <row r="30" spans="1:32" ht="18" customHeight="1">
      <c r="A30" s="84"/>
      <c r="B30" s="1197" t="s">
        <v>667</v>
      </c>
      <c r="C30" s="1198"/>
      <c r="D30" s="1199"/>
      <c r="E30" s="1179" t="s">
        <v>668</v>
      </c>
      <c r="F30" s="803"/>
      <c r="G30" s="1180" t="s">
        <v>619</v>
      </c>
      <c r="H30" s="484" t="s">
        <v>669</v>
      </c>
      <c r="I30" s="1200" t="s">
        <v>670</v>
      </c>
      <c r="J30" s="1180" t="s">
        <v>651</v>
      </c>
      <c r="K30" s="804" t="s">
        <v>80</v>
      </c>
      <c r="L30" s="754"/>
      <c r="M30" s="754"/>
      <c r="N30" s="755"/>
      <c r="O30" s="691" t="s">
        <v>671</v>
      </c>
      <c r="P30" s="754"/>
      <c r="Q30" s="755"/>
      <c r="R30" s="689" t="s">
        <v>672</v>
      </c>
      <c r="S30" s="690"/>
      <c r="T30" s="617">
        <v>0.93</v>
      </c>
      <c r="U30" s="699" t="s">
        <v>673</v>
      </c>
      <c r="V30" s="700"/>
      <c r="W30" s="539">
        <v>0.86</v>
      </c>
      <c r="X30" s="689" t="s">
        <v>238</v>
      </c>
      <c r="Y30" s="690"/>
      <c r="Z30" s="539">
        <v>0.83</v>
      </c>
      <c r="AA30" s="689" t="s">
        <v>674</v>
      </c>
      <c r="AB30" s="690"/>
      <c r="AC30" s="617">
        <v>0.75</v>
      </c>
      <c r="AD30" s="691" t="s">
        <v>675</v>
      </c>
      <c r="AE30" s="692"/>
      <c r="AF30" s="539">
        <v>0.7</v>
      </c>
    </row>
    <row r="31" spans="1:32" ht="27.75" customHeight="1" thickBot="1">
      <c r="A31" s="84"/>
      <c r="B31" s="323" t="s">
        <v>676</v>
      </c>
      <c r="C31" s="324" t="s">
        <v>43</v>
      </c>
      <c r="D31" s="325" t="s">
        <v>677</v>
      </c>
      <c r="E31" s="326" t="s">
        <v>678</v>
      </c>
      <c r="F31" s="272" t="s">
        <v>627</v>
      </c>
      <c r="G31" s="1181"/>
      <c r="H31" s="273">
        <v>0.55000000000000004</v>
      </c>
      <c r="I31" s="1181"/>
      <c r="J31" s="1181"/>
      <c r="K31" s="272" t="s">
        <v>679</v>
      </c>
      <c r="L31" s="272" t="s">
        <v>680</v>
      </c>
      <c r="M31" s="272" t="s">
        <v>681</v>
      </c>
      <c r="N31" s="327" t="s">
        <v>682</v>
      </c>
      <c r="O31" s="254" t="s">
        <v>679</v>
      </c>
      <c r="P31" s="255" t="s">
        <v>683</v>
      </c>
      <c r="Q31" s="256" t="s">
        <v>684</v>
      </c>
      <c r="R31" s="257" t="s">
        <v>679</v>
      </c>
      <c r="S31" s="255" t="s">
        <v>683</v>
      </c>
      <c r="T31" s="327" t="s">
        <v>684</v>
      </c>
      <c r="U31" s="254" t="s">
        <v>679</v>
      </c>
      <c r="V31" s="255" t="s">
        <v>683</v>
      </c>
      <c r="W31" s="256" t="s">
        <v>684</v>
      </c>
      <c r="X31" s="257" t="s">
        <v>679</v>
      </c>
      <c r="Y31" s="255" t="s">
        <v>683</v>
      </c>
      <c r="Z31" s="256" t="s">
        <v>684</v>
      </c>
      <c r="AA31" s="257" t="s">
        <v>679</v>
      </c>
      <c r="AB31" s="255" t="s">
        <v>683</v>
      </c>
      <c r="AC31" s="256" t="s">
        <v>684</v>
      </c>
      <c r="AD31" s="254" t="s">
        <v>679</v>
      </c>
      <c r="AE31" s="255" t="s">
        <v>683</v>
      </c>
      <c r="AF31" s="256" t="s">
        <v>684</v>
      </c>
    </row>
    <row r="32" spans="1:32" ht="18" customHeight="1">
      <c r="A32" s="84"/>
      <c r="B32" s="1156" t="s">
        <v>690</v>
      </c>
      <c r="C32" s="1157"/>
      <c r="D32" s="1158"/>
      <c r="E32" s="1159">
        <v>1000</v>
      </c>
      <c r="F32" s="1160">
        <f>E32*C33</f>
        <v>2500</v>
      </c>
      <c r="G32" s="1161">
        <f>F32*220%</f>
        <v>5500</v>
      </c>
      <c r="H32" s="1161">
        <f>F32*55%*100%</f>
        <v>1375</v>
      </c>
      <c r="I32" s="621"/>
      <c r="J32" s="1161">
        <f>F32*9%*11</f>
        <v>2475</v>
      </c>
      <c r="K32" s="1161"/>
      <c r="L32" s="1161"/>
      <c r="M32" s="1161"/>
      <c r="N32" s="1144"/>
      <c r="O32" s="95">
        <f>G32+H32+K32</f>
        <v>6875</v>
      </c>
      <c r="P32" s="366">
        <f>G32+H32+J32+L32</f>
        <v>9350</v>
      </c>
      <c r="Q32" s="96">
        <f>G32+H32+J32+L32+M32+N32</f>
        <v>9350</v>
      </c>
      <c r="R32" s="93">
        <f>O32*$T$21</f>
        <v>6393.75</v>
      </c>
      <c r="S32" s="366">
        <f>P32*$T$21</f>
        <v>8695.5</v>
      </c>
      <c r="T32" s="94">
        <f>Q32*$T$21</f>
        <v>8695.5</v>
      </c>
      <c r="U32" s="85">
        <f>$O32*$W$21</f>
        <v>5912.5</v>
      </c>
      <c r="V32" s="88">
        <f>P32*$W$21</f>
        <v>8041</v>
      </c>
      <c r="W32" s="87">
        <f>Q32*$W$21</f>
        <v>8041</v>
      </c>
      <c r="X32" s="93">
        <f>O32*$Z$21</f>
        <v>5706.25</v>
      </c>
      <c r="Y32" s="366">
        <f>P32*$Z$21</f>
        <v>7760.5</v>
      </c>
      <c r="Z32" s="96">
        <f>Q32*$Z$21</f>
        <v>7760.5</v>
      </c>
      <c r="AA32" s="93">
        <f>O32*$AC$21</f>
        <v>5156.25</v>
      </c>
      <c r="AB32" s="366">
        <f>P32*$AC$21</f>
        <v>7012.5</v>
      </c>
      <c r="AC32" s="94">
        <f>Q32*$AC$21</f>
        <v>7012.5</v>
      </c>
      <c r="AD32" s="95">
        <f>O32*$AF$21</f>
        <v>4812.5</v>
      </c>
      <c r="AE32" s="366">
        <f>P32*$AF$21</f>
        <v>6545</v>
      </c>
      <c r="AF32" s="96">
        <f>Q32*$AF$21</f>
        <v>6545</v>
      </c>
    </row>
    <row r="33" spans="1:32" ht="18" customHeight="1">
      <c r="A33" s="84"/>
      <c r="B33" s="328" t="s">
        <v>691</v>
      </c>
      <c r="C33" s="279">
        <v>2.5</v>
      </c>
      <c r="D33" s="329"/>
      <c r="E33" s="1168"/>
      <c r="F33" s="1160"/>
      <c r="G33" s="1151"/>
      <c r="H33" s="1151"/>
      <c r="I33" s="619"/>
      <c r="J33" s="1151"/>
      <c r="K33" s="1151"/>
      <c r="L33" s="1151"/>
      <c r="M33" s="1151"/>
      <c r="N33" s="1162"/>
      <c r="O33" s="90">
        <f>O32/E32</f>
        <v>6.875</v>
      </c>
      <c r="P33" s="27">
        <f>P32/E32</f>
        <v>9.35</v>
      </c>
      <c r="Q33" s="28">
        <f>Q32/E32</f>
        <v>9.35</v>
      </c>
      <c r="R33" s="91">
        <f>R32/E32</f>
        <v>6.3937499999999998</v>
      </c>
      <c r="S33" s="27">
        <f>S32/E32</f>
        <v>8.6954999999999991</v>
      </c>
      <c r="T33" s="92">
        <f>T32/E32</f>
        <v>8.6954999999999991</v>
      </c>
      <c r="U33" s="362">
        <f>U32/E32</f>
        <v>5.9124999999999996</v>
      </c>
      <c r="V33" s="27">
        <f>V32/E32</f>
        <v>8.0410000000000004</v>
      </c>
      <c r="W33" s="365">
        <f>W32/E32</f>
        <v>8.0410000000000004</v>
      </c>
      <c r="X33" s="91">
        <f>X32/E32</f>
        <v>5.7062499999999998</v>
      </c>
      <c r="Y33" s="27">
        <f>Y32/E32</f>
        <v>7.7605000000000004</v>
      </c>
      <c r="Z33" s="365">
        <f>Z32/E32</f>
        <v>7.7605000000000004</v>
      </c>
      <c r="AA33" s="91">
        <f>AA32/E32</f>
        <v>5.15625</v>
      </c>
      <c r="AB33" s="27">
        <f>AB32/E32</f>
        <v>7.0125000000000002</v>
      </c>
      <c r="AC33" s="92">
        <f>AC32/E32</f>
        <v>7.0125000000000002</v>
      </c>
      <c r="AD33" s="362">
        <f>AD32/E32</f>
        <v>4.8125</v>
      </c>
      <c r="AE33" s="27">
        <f>AE32/E32</f>
        <v>6.5449999999999999</v>
      </c>
      <c r="AF33" s="365">
        <f>AF32/E32</f>
        <v>6.5449999999999999</v>
      </c>
    </row>
    <row r="34" spans="1:32" ht="18" customHeight="1">
      <c r="A34" s="84"/>
      <c r="B34" s="1146" t="s">
        <v>692</v>
      </c>
      <c r="C34" s="1147"/>
      <c r="D34" s="1148"/>
      <c r="E34" s="1168">
        <v>1000</v>
      </c>
      <c r="F34" s="1151">
        <f>E34*C35</f>
        <v>2300</v>
      </c>
      <c r="G34" s="1155">
        <f>F34*220%</f>
        <v>5060</v>
      </c>
      <c r="H34" s="1153">
        <f>F34*55%*100%</f>
        <v>1265</v>
      </c>
      <c r="I34" s="620"/>
      <c r="J34" s="1153">
        <f>F34*9%*11</f>
        <v>2277</v>
      </c>
      <c r="K34" s="1153"/>
      <c r="L34" s="1153"/>
      <c r="M34" s="1153"/>
      <c r="N34" s="1155"/>
      <c r="O34" s="85">
        <f>G34+H34+K34</f>
        <v>6325</v>
      </c>
      <c r="P34" s="88">
        <f>G34+H34+J34+L34</f>
        <v>8602</v>
      </c>
      <c r="Q34" s="87">
        <f>G34+H34+J34+L34+M34+N34</f>
        <v>8602</v>
      </c>
      <c r="R34" s="86">
        <f>O34*$T$21</f>
        <v>5882.25</v>
      </c>
      <c r="S34" s="88">
        <f>P34*$T$21</f>
        <v>7999.8600000000006</v>
      </c>
      <c r="T34" s="89">
        <f>Q34*$T$21</f>
        <v>7999.8600000000006</v>
      </c>
      <c r="U34" s="85">
        <f>$O34*$W$21</f>
        <v>5439.5</v>
      </c>
      <c r="V34" s="88">
        <f>P34*$W$21</f>
        <v>7397.72</v>
      </c>
      <c r="W34" s="87">
        <f>Q34*$W$21</f>
        <v>7397.72</v>
      </c>
      <c r="X34" s="86">
        <f>O34*$Z$21</f>
        <v>5249.75</v>
      </c>
      <c r="Y34" s="88">
        <f>P34*$Z$21</f>
        <v>7139.66</v>
      </c>
      <c r="Z34" s="87">
        <f>Q34*$Z$21</f>
        <v>7139.66</v>
      </c>
      <c r="AA34" s="86">
        <f>O34*$AC$21</f>
        <v>4743.75</v>
      </c>
      <c r="AB34" s="88">
        <f>P34*$AC$21</f>
        <v>6451.5</v>
      </c>
      <c r="AC34" s="89">
        <f>Q34*$AC$21</f>
        <v>6451.5</v>
      </c>
      <c r="AD34" s="85">
        <f>O34*$AF$21</f>
        <v>4427.5</v>
      </c>
      <c r="AE34" s="88">
        <f>P34*$AF$21</f>
        <v>6021.4</v>
      </c>
      <c r="AF34" s="87">
        <f>Q34*$AF$21</f>
        <v>6021.4</v>
      </c>
    </row>
    <row r="35" spans="1:32" ht="18" customHeight="1">
      <c r="A35" s="84"/>
      <c r="B35" s="328" t="s">
        <v>691</v>
      </c>
      <c r="C35" s="279">
        <v>2.2999999999999998</v>
      </c>
      <c r="D35" s="329" t="s">
        <v>693</v>
      </c>
      <c r="E35" s="1186"/>
      <c r="F35" s="1160"/>
      <c r="G35" s="1162"/>
      <c r="H35" s="1151"/>
      <c r="I35" s="619"/>
      <c r="J35" s="1151"/>
      <c r="K35" s="1151"/>
      <c r="L35" s="1151"/>
      <c r="M35" s="1151"/>
      <c r="N35" s="1162"/>
      <c r="O35" s="90">
        <f>O34/E34</f>
        <v>6.3250000000000002</v>
      </c>
      <c r="P35" s="27">
        <f>P34/E34</f>
        <v>8.6020000000000003</v>
      </c>
      <c r="Q35" s="28">
        <f>Q34/E34</f>
        <v>8.6020000000000003</v>
      </c>
      <c r="R35" s="91">
        <f>R34/E34</f>
        <v>5.88225</v>
      </c>
      <c r="S35" s="27">
        <f>S34/E34</f>
        <v>7.9998600000000009</v>
      </c>
      <c r="T35" s="92">
        <f>T34/E34</f>
        <v>7.9998600000000009</v>
      </c>
      <c r="U35" s="362">
        <f>U34/E34</f>
        <v>5.4394999999999998</v>
      </c>
      <c r="V35" s="27">
        <f>V34/E34</f>
        <v>7.3977200000000005</v>
      </c>
      <c r="W35" s="365">
        <f>W34/E34</f>
        <v>7.3977200000000005</v>
      </c>
      <c r="X35" s="91">
        <f>X34/E34</f>
        <v>5.2497499999999997</v>
      </c>
      <c r="Y35" s="27">
        <f>Y34/E34</f>
        <v>7.1396600000000001</v>
      </c>
      <c r="Z35" s="365">
        <f>Z34/E34</f>
        <v>7.1396600000000001</v>
      </c>
      <c r="AA35" s="91">
        <f>AA34/E34</f>
        <v>4.7437500000000004</v>
      </c>
      <c r="AB35" s="27">
        <f>AB34/E34</f>
        <v>6.4515000000000002</v>
      </c>
      <c r="AC35" s="92">
        <f>AC34/E34</f>
        <v>6.4515000000000002</v>
      </c>
      <c r="AD35" s="362">
        <f>AD34/E34</f>
        <v>4.4275000000000002</v>
      </c>
      <c r="AE35" s="27">
        <f>AE34/E34</f>
        <v>6.0213999999999999</v>
      </c>
      <c r="AF35" s="365">
        <f>AF34/E34</f>
        <v>6.0213999999999999</v>
      </c>
    </row>
    <row r="36" spans="1:32" ht="18" customHeight="1">
      <c r="A36" s="84"/>
      <c r="B36" s="1146" t="s">
        <v>694</v>
      </c>
      <c r="C36" s="1147"/>
      <c r="D36" s="1148"/>
      <c r="E36" s="1168">
        <v>1000</v>
      </c>
      <c r="F36" s="1151">
        <f>E36*C37</f>
        <v>2400</v>
      </c>
      <c r="G36" s="1155">
        <f>F36*220%</f>
        <v>5280</v>
      </c>
      <c r="H36" s="1153">
        <f>F36*55%*100%</f>
        <v>1320</v>
      </c>
      <c r="I36" s="620"/>
      <c r="J36" s="1153">
        <f>F36*9%*11</f>
        <v>2376</v>
      </c>
      <c r="K36" s="1153"/>
      <c r="L36" s="1153"/>
      <c r="M36" s="1153"/>
      <c r="N36" s="1155"/>
      <c r="O36" s="85">
        <f>G36+H36+K36</f>
        <v>6600</v>
      </c>
      <c r="P36" s="88">
        <f>G36+H36+J36+L36</f>
        <v>8976</v>
      </c>
      <c r="Q36" s="87">
        <f>G36+H36+J36+L36+M36+N36</f>
        <v>8976</v>
      </c>
      <c r="R36" s="86">
        <f>O36*$T$21</f>
        <v>6138</v>
      </c>
      <c r="S36" s="88">
        <f>P36*$T$21</f>
        <v>8347.68</v>
      </c>
      <c r="T36" s="89">
        <f>Q36*$T$21</f>
        <v>8347.68</v>
      </c>
      <c r="U36" s="85">
        <f>$O36*$W$21</f>
        <v>5676</v>
      </c>
      <c r="V36" s="88">
        <f>P36*$W$21</f>
        <v>7719.36</v>
      </c>
      <c r="W36" s="87">
        <f>Q36*$W$21</f>
        <v>7719.36</v>
      </c>
      <c r="X36" s="86">
        <f>O36*$Z$21</f>
        <v>5478</v>
      </c>
      <c r="Y36" s="88">
        <f>P36*$Z$21</f>
        <v>7450.08</v>
      </c>
      <c r="Z36" s="87">
        <f>Q36*$Z$21</f>
        <v>7450.08</v>
      </c>
      <c r="AA36" s="86">
        <f>O36*$AC$21</f>
        <v>4950</v>
      </c>
      <c r="AB36" s="88">
        <f>P36*$AC$21</f>
        <v>6732</v>
      </c>
      <c r="AC36" s="89">
        <f>Q36*$AC$21</f>
        <v>6732</v>
      </c>
      <c r="AD36" s="85">
        <f>O36*$AF$21</f>
        <v>4620</v>
      </c>
      <c r="AE36" s="88">
        <f>P36*$AF$21</f>
        <v>6283.2</v>
      </c>
      <c r="AF36" s="87">
        <f>Q36*$AF$21</f>
        <v>6283.2</v>
      </c>
    </row>
    <row r="37" spans="1:32" ht="18" customHeight="1" thickBot="1">
      <c r="A37" s="84"/>
      <c r="B37" s="331" t="s">
        <v>689</v>
      </c>
      <c r="C37" s="273">
        <v>2.4</v>
      </c>
      <c r="D37" s="473"/>
      <c r="E37" s="1234"/>
      <c r="F37" s="1152"/>
      <c r="G37" s="1145"/>
      <c r="H37" s="1154"/>
      <c r="I37" s="622"/>
      <c r="J37" s="1154"/>
      <c r="K37" s="1154"/>
      <c r="L37" s="1154"/>
      <c r="M37" s="1154"/>
      <c r="N37" s="1145"/>
      <c r="O37" s="97">
        <f>O36/E36</f>
        <v>6.6</v>
      </c>
      <c r="P37" s="144">
        <f>P36/E36</f>
        <v>8.9760000000000009</v>
      </c>
      <c r="Q37" s="99">
        <f>Q36/E36</f>
        <v>8.9760000000000009</v>
      </c>
      <c r="R37" s="100">
        <f>R36/E36</f>
        <v>6.1379999999999999</v>
      </c>
      <c r="S37" s="144">
        <f>S36/E36</f>
        <v>8.3476800000000004</v>
      </c>
      <c r="T37" s="102">
        <f>T36/E36</f>
        <v>8.3476800000000004</v>
      </c>
      <c r="U37" s="103">
        <f>U36/E36</f>
        <v>5.6760000000000002</v>
      </c>
      <c r="V37" s="144">
        <f>V36/E36</f>
        <v>7.71936</v>
      </c>
      <c r="W37" s="104">
        <f>W36/E36</f>
        <v>7.71936</v>
      </c>
      <c r="X37" s="100">
        <f>X36/E36</f>
        <v>5.4779999999999998</v>
      </c>
      <c r="Y37" s="144">
        <f>Y36/E36</f>
        <v>7.4500799999999998</v>
      </c>
      <c r="Z37" s="104">
        <f>Z36/E36</f>
        <v>7.4500799999999998</v>
      </c>
      <c r="AA37" s="100">
        <f>AA36/E36</f>
        <v>4.95</v>
      </c>
      <c r="AB37" s="144">
        <f>AB36/E36</f>
        <v>6.7320000000000002</v>
      </c>
      <c r="AC37" s="102">
        <f>AC36/E36</f>
        <v>6.7320000000000002</v>
      </c>
      <c r="AD37" s="103">
        <f>AD36/E36</f>
        <v>4.62</v>
      </c>
      <c r="AE37" s="144">
        <f>AE36/E36</f>
        <v>6.2831999999999999</v>
      </c>
      <c r="AF37" s="104">
        <f>AF36/E36</f>
        <v>6.2831999999999999</v>
      </c>
    </row>
    <row r="38" spans="1:32" ht="18" customHeight="1">
      <c r="A38" s="84"/>
      <c r="B38" s="1164" t="s">
        <v>695</v>
      </c>
      <c r="C38" s="1165"/>
      <c r="D38" s="1166"/>
      <c r="E38" s="1235">
        <v>1000</v>
      </c>
      <c r="F38" s="1171">
        <f>E38*C39</f>
        <v>480</v>
      </c>
      <c r="G38" s="1173">
        <f>F38*220%</f>
        <v>1056</v>
      </c>
      <c r="H38" s="1175">
        <v>0</v>
      </c>
      <c r="I38" s="1175"/>
      <c r="J38" s="1175">
        <f>F38*9%*11</f>
        <v>475.19999999999993</v>
      </c>
      <c r="K38" s="1175">
        <f>E38*D39</f>
        <v>19.099999999999998</v>
      </c>
      <c r="L38" s="1175">
        <f>K38*12</f>
        <v>229.2</v>
      </c>
      <c r="M38" s="1170">
        <f>K38*12</f>
        <v>229.2</v>
      </c>
      <c r="N38" s="1163">
        <f>K38*12</f>
        <v>229.2</v>
      </c>
      <c r="O38" s="198">
        <f>G38+H38+K38</f>
        <v>1075.0999999999999</v>
      </c>
      <c r="P38" s="199">
        <f>G38+H38+J38+L38</f>
        <v>1760.3999999999999</v>
      </c>
      <c r="Q38" s="200">
        <f>G38+H38+J38+L38+M38+N38</f>
        <v>2218.7999999999997</v>
      </c>
      <c r="R38" s="201">
        <f>O38*$T$21</f>
        <v>999.84299999999996</v>
      </c>
      <c r="S38" s="199">
        <f>P38*$T$21</f>
        <v>1637.172</v>
      </c>
      <c r="T38" s="202">
        <f>Q38*$T$21</f>
        <v>2063.4839999999999</v>
      </c>
      <c r="U38" s="198">
        <f>$O38*$W$21</f>
        <v>924.5859999999999</v>
      </c>
      <c r="V38" s="199">
        <f>P38*$W$21</f>
        <v>1513.944</v>
      </c>
      <c r="W38" s="200">
        <f>Q38*$W$21</f>
        <v>1908.1679999999997</v>
      </c>
      <c r="X38" s="201">
        <f>O38*$Z$21</f>
        <v>892.33299999999986</v>
      </c>
      <c r="Y38" s="199">
        <f>P38*$Z$21</f>
        <v>1461.1319999999998</v>
      </c>
      <c r="Z38" s="200">
        <f>Q38*$Z$21</f>
        <v>1841.6039999999996</v>
      </c>
      <c r="AA38" s="201">
        <f>O38*$AC$21</f>
        <v>806.32499999999993</v>
      </c>
      <c r="AB38" s="199">
        <f>P38*$AC$21</f>
        <v>1320.3</v>
      </c>
      <c r="AC38" s="202">
        <f>Q38*$AC$21</f>
        <v>1664.1</v>
      </c>
      <c r="AD38" s="198">
        <f>O38*$AF$21</f>
        <v>752.56999999999994</v>
      </c>
      <c r="AE38" s="199">
        <f>P38*$AF$21</f>
        <v>1232.2799999999997</v>
      </c>
      <c r="AF38" s="200">
        <f>Q38*$AF$21</f>
        <v>1553.1599999999996</v>
      </c>
    </row>
    <row r="39" spans="1:32" ht="18" customHeight="1">
      <c r="A39" s="84"/>
      <c r="B39" s="328" t="s">
        <v>46</v>
      </c>
      <c r="C39" s="279">
        <v>0.48</v>
      </c>
      <c r="D39" s="330">
        <v>1.9099999999999999E-2</v>
      </c>
      <c r="E39" s="1236"/>
      <c r="F39" s="1172"/>
      <c r="G39" s="1174"/>
      <c r="H39" s="1176"/>
      <c r="I39" s="1176"/>
      <c r="J39" s="1176"/>
      <c r="K39" s="1176"/>
      <c r="L39" s="1176"/>
      <c r="M39" s="1151"/>
      <c r="N39" s="1162"/>
      <c r="O39" s="90">
        <f>O38/E38</f>
        <v>1.0750999999999999</v>
      </c>
      <c r="P39" s="27">
        <f>P38/E38</f>
        <v>1.7604</v>
      </c>
      <c r="Q39" s="28">
        <f>Q38/E38</f>
        <v>2.2187999999999999</v>
      </c>
      <c r="R39" s="91">
        <f>R38/E38</f>
        <v>0.99984299999999993</v>
      </c>
      <c r="S39" s="27">
        <f>S38/E38</f>
        <v>1.6371720000000001</v>
      </c>
      <c r="T39" s="92">
        <f>T38/E38</f>
        <v>2.0634839999999999</v>
      </c>
      <c r="U39" s="362">
        <f>U38/E38</f>
        <v>0.92458599999999991</v>
      </c>
      <c r="V39" s="27">
        <f>V38/E38</f>
        <v>1.513944</v>
      </c>
      <c r="W39" s="365">
        <f>W38/E38</f>
        <v>1.9081679999999996</v>
      </c>
      <c r="X39" s="91">
        <f>X38/E38</f>
        <v>0.89233299999999982</v>
      </c>
      <c r="Y39" s="27">
        <f>Y38/E38</f>
        <v>1.4611319999999999</v>
      </c>
      <c r="Z39" s="365">
        <f>Z38/E38</f>
        <v>1.8416039999999996</v>
      </c>
      <c r="AA39" s="91">
        <f>AA38/E38</f>
        <v>0.80632499999999996</v>
      </c>
      <c r="AB39" s="27">
        <f>AB38/E38</f>
        <v>1.3203</v>
      </c>
      <c r="AC39" s="92">
        <f>AC38/E38</f>
        <v>1.6640999999999999</v>
      </c>
      <c r="AD39" s="362">
        <f>AD38/E38</f>
        <v>0.75256999999999996</v>
      </c>
      <c r="AE39" s="27">
        <f>AE38/E38</f>
        <v>1.2322799999999998</v>
      </c>
      <c r="AF39" s="365">
        <f>AF38/E38</f>
        <v>1.5531599999999997</v>
      </c>
    </row>
    <row r="40" spans="1:32" ht="18" customHeight="1">
      <c r="A40" s="84"/>
      <c r="B40" s="1156" t="s">
        <v>696</v>
      </c>
      <c r="C40" s="1157"/>
      <c r="D40" s="1158"/>
      <c r="E40" s="1236">
        <v>1000</v>
      </c>
      <c r="F40" s="1176">
        <f>E40*C41</f>
        <v>230</v>
      </c>
      <c r="G40" s="1238">
        <f>F40*28%</f>
        <v>64.400000000000006</v>
      </c>
      <c r="H40" s="1240">
        <v>0</v>
      </c>
      <c r="I40" s="1240"/>
      <c r="J40" s="1240">
        <f>F40*28%*11</f>
        <v>708.40000000000009</v>
      </c>
      <c r="K40" s="1240">
        <f>E40*D41</f>
        <v>9</v>
      </c>
      <c r="L40" s="1240">
        <f>K40*12</f>
        <v>108</v>
      </c>
      <c r="M40" s="1161">
        <f>K40*12</f>
        <v>108</v>
      </c>
      <c r="N40" s="1144">
        <f>K40*12</f>
        <v>108</v>
      </c>
      <c r="O40" s="85">
        <f>G40+H40+K40</f>
        <v>73.400000000000006</v>
      </c>
      <c r="P40" s="88">
        <f>G40+H40+J40+L40</f>
        <v>880.80000000000007</v>
      </c>
      <c r="Q40" s="87">
        <f>G40+H40+J40+L40+M40+N40</f>
        <v>1096.8000000000002</v>
      </c>
      <c r="R40" s="86">
        <f>O40*$T$21</f>
        <v>68.262000000000015</v>
      </c>
      <c r="S40" s="88">
        <f>P40*$T$21</f>
        <v>819.14400000000012</v>
      </c>
      <c r="T40" s="89">
        <f>Q40*$T$21</f>
        <v>1020.0240000000002</v>
      </c>
      <c r="U40" s="85">
        <f>$O40*$W$21</f>
        <v>63.124000000000002</v>
      </c>
      <c r="V40" s="88">
        <f>P40*$W$21</f>
        <v>757.48800000000006</v>
      </c>
      <c r="W40" s="87">
        <f>Q40*$W$21</f>
        <v>943.24800000000016</v>
      </c>
      <c r="X40" s="93">
        <f>O40*$Z$21</f>
        <v>60.922000000000004</v>
      </c>
      <c r="Y40" s="88">
        <f>P40*$Z$21</f>
        <v>731.06400000000008</v>
      </c>
      <c r="Z40" s="96">
        <f>Q40*$Z$21</f>
        <v>910.34400000000005</v>
      </c>
      <c r="AA40" s="93">
        <f>O40*$AC$21</f>
        <v>55.050000000000004</v>
      </c>
      <c r="AB40" s="88">
        <f>P40*$AC$21</f>
        <v>660.6</v>
      </c>
      <c r="AC40" s="94">
        <f>Q40*$AC$21</f>
        <v>822.60000000000014</v>
      </c>
      <c r="AD40" s="95">
        <f>O40*$AF$21</f>
        <v>51.38</v>
      </c>
      <c r="AE40" s="88">
        <f>P40*$AF$21</f>
        <v>616.56000000000006</v>
      </c>
      <c r="AF40" s="96">
        <f>Q40*$AF$21</f>
        <v>767.7600000000001</v>
      </c>
    </row>
    <row r="41" spans="1:32" ht="18" customHeight="1" thickBot="1">
      <c r="A41" s="84"/>
      <c r="B41" s="331" t="s">
        <v>697</v>
      </c>
      <c r="C41" s="273">
        <v>0.23</v>
      </c>
      <c r="D41" s="417">
        <v>8.9999999999999993E-3</v>
      </c>
      <c r="E41" s="1242"/>
      <c r="F41" s="1237"/>
      <c r="G41" s="1239"/>
      <c r="H41" s="1241"/>
      <c r="I41" s="1241"/>
      <c r="J41" s="1241"/>
      <c r="K41" s="1241"/>
      <c r="L41" s="1241"/>
      <c r="M41" s="1154"/>
      <c r="N41" s="1145"/>
      <c r="O41" s="97">
        <f>O40/E40</f>
        <v>7.3400000000000007E-2</v>
      </c>
      <c r="P41" s="144">
        <f>P40/E40</f>
        <v>0.88080000000000003</v>
      </c>
      <c r="Q41" s="99">
        <f>Q40/E40</f>
        <v>1.0968000000000002</v>
      </c>
      <c r="R41" s="100">
        <f>R40/E40</f>
        <v>6.8262000000000017E-2</v>
      </c>
      <c r="S41" s="144">
        <f>S40/E40</f>
        <v>0.81914400000000009</v>
      </c>
      <c r="T41" s="102">
        <f>T40/E40</f>
        <v>1.0200240000000003</v>
      </c>
      <c r="U41" s="103">
        <f>U40/E40</f>
        <v>6.3124E-2</v>
      </c>
      <c r="V41" s="144">
        <f>V40/E40</f>
        <v>0.75748800000000005</v>
      </c>
      <c r="W41" s="104">
        <f>W40/E40</f>
        <v>0.9432480000000002</v>
      </c>
      <c r="X41" s="100">
        <f>X40/E40</f>
        <v>6.0922000000000004E-2</v>
      </c>
      <c r="Y41" s="144">
        <f>Y40/E40</f>
        <v>0.73106400000000005</v>
      </c>
      <c r="Z41" s="104">
        <f>Z40/E40</f>
        <v>0.91034400000000004</v>
      </c>
      <c r="AA41" s="100">
        <f>AA40/E40</f>
        <v>5.5050000000000002E-2</v>
      </c>
      <c r="AB41" s="144">
        <f>AB40/E40</f>
        <v>0.66060000000000008</v>
      </c>
      <c r="AC41" s="102">
        <f>AC40/E40</f>
        <v>0.82260000000000011</v>
      </c>
      <c r="AD41" s="103">
        <f>AD40/E40</f>
        <v>5.1380000000000002E-2</v>
      </c>
      <c r="AE41" s="144">
        <f>AE40/E40</f>
        <v>0.61656000000000011</v>
      </c>
      <c r="AF41" s="104">
        <f>AF40/E40</f>
        <v>0.76776000000000011</v>
      </c>
    </row>
    <row r="42" spans="1:32" ht="18" customHeight="1">
      <c r="A42" s="84"/>
      <c r="B42" s="1164" t="s">
        <v>698</v>
      </c>
      <c r="C42" s="1165"/>
      <c r="D42" s="1166"/>
      <c r="E42" s="1167">
        <v>1000</v>
      </c>
      <c r="F42" s="1169">
        <f>E42*C43</f>
        <v>1100</v>
      </c>
      <c r="G42" s="1170">
        <f>F42*220%</f>
        <v>2420</v>
      </c>
      <c r="H42" s="1170">
        <f>F42*55%*100%</f>
        <v>605</v>
      </c>
      <c r="I42" s="618"/>
      <c r="J42" s="1170">
        <f>F42*9%*11</f>
        <v>1089</v>
      </c>
      <c r="K42" s="1170"/>
      <c r="L42" s="1170"/>
      <c r="M42" s="1170"/>
      <c r="N42" s="1163"/>
      <c r="O42" s="198">
        <f>G42+H42+K42</f>
        <v>3025</v>
      </c>
      <c r="P42" s="199">
        <f>G42+H42+J42+L42</f>
        <v>4114</v>
      </c>
      <c r="Q42" s="200">
        <f>G42+H42+J42+L42+M42+N42</f>
        <v>4114</v>
      </c>
      <c r="R42" s="201">
        <f>O42*$T$21</f>
        <v>2813.25</v>
      </c>
      <c r="S42" s="199">
        <f>P42*$T$21</f>
        <v>3826.02</v>
      </c>
      <c r="T42" s="202">
        <f>Q42*$T$21</f>
        <v>3826.02</v>
      </c>
      <c r="U42" s="198">
        <f>$O42*$W$21</f>
        <v>2601.5</v>
      </c>
      <c r="V42" s="199">
        <f>P42*$W$21</f>
        <v>3538.04</v>
      </c>
      <c r="W42" s="200">
        <f>Q42*$W$21</f>
        <v>3538.04</v>
      </c>
      <c r="X42" s="201">
        <f>O42*$Z$21</f>
        <v>2510.75</v>
      </c>
      <c r="Y42" s="199">
        <f>P42*$Z$21</f>
        <v>3414.62</v>
      </c>
      <c r="Z42" s="200">
        <f>Q42*$Z$21</f>
        <v>3414.62</v>
      </c>
      <c r="AA42" s="201">
        <f>O42*$AC$21</f>
        <v>2268.75</v>
      </c>
      <c r="AB42" s="199">
        <f>P42*$AC$21</f>
        <v>3085.5</v>
      </c>
      <c r="AC42" s="202">
        <f>Q42*$AC$21</f>
        <v>3085.5</v>
      </c>
      <c r="AD42" s="198">
        <f>O42*$AF$21</f>
        <v>2117.5</v>
      </c>
      <c r="AE42" s="199">
        <f>P42*$AF$21</f>
        <v>2879.7999999999997</v>
      </c>
      <c r="AF42" s="200">
        <f>Q42*$AF$21</f>
        <v>2879.7999999999997</v>
      </c>
    </row>
    <row r="43" spans="1:32" ht="18" customHeight="1">
      <c r="A43" s="84"/>
      <c r="B43" s="328" t="s">
        <v>699</v>
      </c>
      <c r="C43" s="279">
        <v>1.1000000000000001</v>
      </c>
      <c r="D43" s="329" t="s">
        <v>700</v>
      </c>
      <c r="E43" s="1168"/>
      <c r="F43" s="1160"/>
      <c r="G43" s="1151"/>
      <c r="H43" s="1151"/>
      <c r="I43" s="619"/>
      <c r="J43" s="1151"/>
      <c r="K43" s="1151"/>
      <c r="L43" s="1151"/>
      <c r="M43" s="1151"/>
      <c r="N43" s="1162"/>
      <c r="O43" s="90">
        <f>O42/E42</f>
        <v>3.0249999999999999</v>
      </c>
      <c r="P43" s="27">
        <f>P42/E42</f>
        <v>4.1139999999999999</v>
      </c>
      <c r="Q43" s="28">
        <f>Q42/E42</f>
        <v>4.1139999999999999</v>
      </c>
      <c r="R43" s="91">
        <f>R42/E42</f>
        <v>2.81325</v>
      </c>
      <c r="S43" s="27">
        <f>S42/E42</f>
        <v>3.8260200000000002</v>
      </c>
      <c r="T43" s="92">
        <f>T42/E42</f>
        <v>3.8260200000000002</v>
      </c>
      <c r="U43" s="362">
        <f>U42/E42</f>
        <v>2.6015000000000001</v>
      </c>
      <c r="V43" s="27">
        <f>V42/E42</f>
        <v>3.5380400000000001</v>
      </c>
      <c r="W43" s="365">
        <f>W42/E42</f>
        <v>3.5380400000000001</v>
      </c>
      <c r="X43" s="91">
        <f>X42/E42</f>
        <v>2.5107499999999998</v>
      </c>
      <c r="Y43" s="27">
        <f>Y42/E42</f>
        <v>3.4146199999999998</v>
      </c>
      <c r="Z43" s="365">
        <f>Z42/E42</f>
        <v>3.4146199999999998</v>
      </c>
      <c r="AA43" s="91">
        <f>AA42/E42</f>
        <v>2.2687499999999998</v>
      </c>
      <c r="AB43" s="27">
        <f>AB42/E42</f>
        <v>3.0855000000000001</v>
      </c>
      <c r="AC43" s="92">
        <f>AC42/E42</f>
        <v>3.0855000000000001</v>
      </c>
      <c r="AD43" s="362">
        <f>AD42/E42</f>
        <v>2.1175000000000002</v>
      </c>
      <c r="AE43" s="27">
        <f>AE42/E42</f>
        <v>2.8797999999999999</v>
      </c>
      <c r="AF43" s="365">
        <f>AF42/E42</f>
        <v>2.8797999999999999</v>
      </c>
    </row>
    <row r="44" spans="1:32" ht="18" customHeight="1">
      <c r="A44" s="84"/>
      <c r="B44" s="1156" t="s">
        <v>701</v>
      </c>
      <c r="C44" s="1157"/>
      <c r="D44" s="1158"/>
      <c r="E44" s="1159">
        <v>1000</v>
      </c>
      <c r="F44" s="1160">
        <f>E44*C45</f>
        <v>2400</v>
      </c>
      <c r="G44" s="1161">
        <f>F44*220%</f>
        <v>5280</v>
      </c>
      <c r="H44" s="1161">
        <f>F44*55%*100%</f>
        <v>1320</v>
      </c>
      <c r="I44" s="621"/>
      <c r="J44" s="1161">
        <f>F44*9%*11</f>
        <v>2376</v>
      </c>
      <c r="K44" s="1161"/>
      <c r="L44" s="1161"/>
      <c r="M44" s="1161"/>
      <c r="N44" s="1144"/>
      <c r="O44" s="95">
        <f>G44+H44+K44</f>
        <v>6600</v>
      </c>
      <c r="P44" s="366">
        <f>G44+H44+J44+L44</f>
        <v>8976</v>
      </c>
      <c r="Q44" s="96">
        <f>G44+H44+J44+L44+M44+N44</f>
        <v>8976</v>
      </c>
      <c r="R44" s="93">
        <f>O44*$T$21</f>
        <v>6138</v>
      </c>
      <c r="S44" s="366">
        <f>P44*$T$21</f>
        <v>8347.68</v>
      </c>
      <c r="T44" s="94">
        <f>Q44*$T$21</f>
        <v>8347.68</v>
      </c>
      <c r="U44" s="85">
        <f>$O44*$W$21</f>
        <v>5676</v>
      </c>
      <c r="V44" s="88">
        <f>P44*$W$21</f>
        <v>7719.36</v>
      </c>
      <c r="W44" s="87">
        <f>Q44*$W$21</f>
        <v>7719.36</v>
      </c>
      <c r="X44" s="93">
        <f>O44*$Z$21</f>
        <v>5478</v>
      </c>
      <c r="Y44" s="366">
        <f>P44*$Z$21</f>
        <v>7450.08</v>
      </c>
      <c r="Z44" s="96">
        <f>Q44*$Z$21</f>
        <v>7450.08</v>
      </c>
      <c r="AA44" s="93">
        <f>O44*$AC$21</f>
        <v>4950</v>
      </c>
      <c r="AB44" s="366">
        <f>P44*$AC$21</f>
        <v>6732</v>
      </c>
      <c r="AC44" s="94">
        <f>Q44*$AC$21</f>
        <v>6732</v>
      </c>
      <c r="AD44" s="95">
        <f>O44*$AF$21</f>
        <v>4620</v>
      </c>
      <c r="AE44" s="366">
        <f>P44*$AF$21</f>
        <v>6283.2</v>
      </c>
      <c r="AF44" s="96">
        <f>Q44*$AF$21</f>
        <v>6283.2</v>
      </c>
    </row>
    <row r="45" spans="1:32" ht="18" customHeight="1" thickBot="1">
      <c r="A45" s="84"/>
      <c r="B45" s="331" t="s">
        <v>691</v>
      </c>
      <c r="C45" s="273">
        <v>2.4</v>
      </c>
      <c r="D45" s="289" t="s">
        <v>702</v>
      </c>
      <c r="E45" s="1150"/>
      <c r="F45" s="1152"/>
      <c r="G45" s="1154"/>
      <c r="H45" s="1154"/>
      <c r="I45" s="622"/>
      <c r="J45" s="1154"/>
      <c r="K45" s="1154"/>
      <c r="L45" s="1154"/>
      <c r="M45" s="1154"/>
      <c r="N45" s="1145"/>
      <c r="O45" s="97">
        <f>O44/E44</f>
        <v>6.6</v>
      </c>
      <c r="P45" s="144">
        <f>P44/E44</f>
        <v>8.9760000000000009</v>
      </c>
      <c r="Q45" s="99">
        <f>Q44/E44</f>
        <v>8.9760000000000009</v>
      </c>
      <c r="R45" s="100">
        <f>R44/E44</f>
        <v>6.1379999999999999</v>
      </c>
      <c r="S45" s="144">
        <f>S44/E44</f>
        <v>8.3476800000000004</v>
      </c>
      <c r="T45" s="102">
        <f>T44/E44</f>
        <v>8.3476800000000004</v>
      </c>
      <c r="U45" s="103">
        <f>U44/E44</f>
        <v>5.6760000000000002</v>
      </c>
      <c r="V45" s="144">
        <f>V44/E44</f>
        <v>7.71936</v>
      </c>
      <c r="W45" s="104">
        <f>W44/E44</f>
        <v>7.71936</v>
      </c>
      <c r="X45" s="100">
        <f>X44/E44</f>
        <v>5.4779999999999998</v>
      </c>
      <c r="Y45" s="144">
        <f>Y44/E44</f>
        <v>7.4500799999999998</v>
      </c>
      <c r="Z45" s="104">
        <f>Z44/E44</f>
        <v>7.4500799999999998</v>
      </c>
      <c r="AA45" s="100">
        <f>AA44/E44</f>
        <v>4.95</v>
      </c>
      <c r="AB45" s="144">
        <f>AB44/E44</f>
        <v>6.7320000000000002</v>
      </c>
      <c r="AC45" s="102">
        <f>AC44/E44</f>
        <v>6.7320000000000002</v>
      </c>
      <c r="AD45" s="103">
        <f>AD44/E44</f>
        <v>4.62</v>
      </c>
      <c r="AE45" s="144">
        <f>AE44/E44</f>
        <v>6.2831999999999999</v>
      </c>
      <c r="AF45" s="104">
        <f>AF44/E44</f>
        <v>6.2831999999999999</v>
      </c>
    </row>
    <row r="46" spans="1:32" ht="18" customHeight="1">
      <c r="A46" s="84"/>
      <c r="B46" s="1146" t="s">
        <v>703</v>
      </c>
      <c r="C46" s="1147"/>
      <c r="D46" s="1148"/>
      <c r="E46" s="1149">
        <v>1000</v>
      </c>
      <c r="F46" s="1151">
        <f>E46*C47</f>
        <v>300</v>
      </c>
      <c r="G46" s="1153">
        <f>F46*220%</f>
        <v>660</v>
      </c>
      <c r="H46" s="1153">
        <f>F46*55%*100%</f>
        <v>165</v>
      </c>
      <c r="I46" s="620"/>
      <c r="J46" s="1153">
        <f>F46*9%*11</f>
        <v>297</v>
      </c>
      <c r="K46" s="1153"/>
      <c r="L46" s="1153"/>
      <c r="M46" s="1153"/>
      <c r="N46" s="1155"/>
      <c r="O46" s="85">
        <f>G46+H46+K46</f>
        <v>825</v>
      </c>
      <c r="P46" s="88">
        <f>G46+H46+J46+L46</f>
        <v>1122</v>
      </c>
      <c r="Q46" s="87">
        <f>G46+H46+J46+L46+M46+N46</f>
        <v>1122</v>
      </c>
      <c r="R46" s="86">
        <f>O46*$T$21</f>
        <v>767.25</v>
      </c>
      <c r="S46" s="88">
        <f>P46*$T$21</f>
        <v>1043.46</v>
      </c>
      <c r="T46" s="89">
        <f>Q46*$T$21</f>
        <v>1043.46</v>
      </c>
      <c r="U46" s="85">
        <f>$O46*$W$21</f>
        <v>709.5</v>
      </c>
      <c r="V46" s="88">
        <f>P46*$W$21</f>
        <v>964.92</v>
      </c>
      <c r="W46" s="87">
        <f>Q46*$W$21</f>
        <v>964.92</v>
      </c>
      <c r="X46" s="86">
        <f>O46*$Z$21</f>
        <v>684.75</v>
      </c>
      <c r="Y46" s="88">
        <f>P46*$Z$21</f>
        <v>931.26</v>
      </c>
      <c r="Z46" s="87">
        <f>Q46*$Z$21</f>
        <v>931.26</v>
      </c>
      <c r="AA46" s="86">
        <f>O46*$AC$21</f>
        <v>618.75</v>
      </c>
      <c r="AB46" s="88">
        <f>P46*$AC$21</f>
        <v>841.5</v>
      </c>
      <c r="AC46" s="89">
        <f>Q46*$AC$21</f>
        <v>841.5</v>
      </c>
      <c r="AD46" s="85">
        <f>O46*$AF$21</f>
        <v>577.5</v>
      </c>
      <c r="AE46" s="88">
        <f>P46*$AF$21</f>
        <v>785.4</v>
      </c>
      <c r="AF46" s="87">
        <f>Q46*$AF$21</f>
        <v>785.4</v>
      </c>
    </row>
    <row r="47" spans="1:32" ht="18" customHeight="1" thickBot="1">
      <c r="A47" s="84"/>
      <c r="B47" s="331" t="s">
        <v>704</v>
      </c>
      <c r="C47" s="273">
        <v>0.3</v>
      </c>
      <c r="D47" s="289"/>
      <c r="E47" s="1150"/>
      <c r="F47" s="1152"/>
      <c r="G47" s="1154"/>
      <c r="H47" s="1154"/>
      <c r="I47" s="622"/>
      <c r="J47" s="1154"/>
      <c r="K47" s="1154"/>
      <c r="L47" s="1154"/>
      <c r="M47" s="1154"/>
      <c r="N47" s="1145"/>
      <c r="O47" s="97">
        <f>O46/E46</f>
        <v>0.82499999999999996</v>
      </c>
      <c r="P47" s="144">
        <f>P46/E46</f>
        <v>1.1220000000000001</v>
      </c>
      <c r="Q47" s="99">
        <f>Q46/E46</f>
        <v>1.1220000000000001</v>
      </c>
      <c r="R47" s="100">
        <f>R46/E46</f>
        <v>0.76724999999999999</v>
      </c>
      <c r="S47" s="144">
        <f>S46/E46</f>
        <v>1.0434600000000001</v>
      </c>
      <c r="T47" s="102">
        <f>T46/E46</f>
        <v>1.0434600000000001</v>
      </c>
      <c r="U47" s="103">
        <f>U46/E46</f>
        <v>0.70950000000000002</v>
      </c>
      <c r="V47" s="144">
        <f>V46/E46</f>
        <v>0.96492</v>
      </c>
      <c r="W47" s="104">
        <f>W46/E46</f>
        <v>0.96492</v>
      </c>
      <c r="X47" s="100">
        <f>X46/E46</f>
        <v>0.68474999999999997</v>
      </c>
      <c r="Y47" s="144">
        <f>Y46/E46</f>
        <v>0.93125999999999998</v>
      </c>
      <c r="Z47" s="104">
        <f>Z46/E46</f>
        <v>0.93125999999999998</v>
      </c>
      <c r="AA47" s="100">
        <f>AA46/E46</f>
        <v>0.61875000000000002</v>
      </c>
      <c r="AB47" s="144">
        <f>AB46/E46</f>
        <v>0.84150000000000003</v>
      </c>
      <c r="AC47" s="102">
        <f>AC46/E46</f>
        <v>0.84150000000000003</v>
      </c>
      <c r="AD47" s="103">
        <f>AD46/E46</f>
        <v>0.57750000000000001</v>
      </c>
      <c r="AE47" s="144">
        <f>AE46/E46</f>
        <v>0.78539999999999999</v>
      </c>
      <c r="AF47" s="104">
        <f>AF46/E46</f>
        <v>0.78539999999999999</v>
      </c>
    </row>
    <row r="48" spans="1:32" ht="18" customHeight="1">
      <c r="A48" s="84"/>
      <c r="B48" s="1135" t="s">
        <v>705</v>
      </c>
      <c r="C48" s="1136"/>
      <c r="D48" s="1137"/>
      <c r="E48" s="1138">
        <v>100000</v>
      </c>
      <c r="F48" s="1140"/>
      <c r="G48" s="1142">
        <f>E48*C49</f>
        <v>1600</v>
      </c>
      <c r="H48" s="1142"/>
      <c r="I48" s="623"/>
      <c r="J48" s="1142"/>
      <c r="K48" s="1142"/>
      <c r="L48" s="1142"/>
      <c r="M48" s="1142"/>
      <c r="N48" s="1132"/>
      <c r="O48" s="85">
        <f>G48+H48+K48</f>
        <v>1600</v>
      </c>
      <c r="P48" s="88">
        <f>G48+H48+J48+L48</f>
        <v>1600</v>
      </c>
      <c r="Q48" s="87">
        <f>G48+H48+J48+L48+M48+N48</f>
        <v>1600</v>
      </c>
      <c r="R48" s="86">
        <f>O48*$T$21</f>
        <v>1488</v>
      </c>
      <c r="S48" s="88">
        <f>P48*$T$21</f>
        <v>1488</v>
      </c>
      <c r="T48" s="89">
        <f>Q48*$T$21</f>
        <v>1488</v>
      </c>
      <c r="U48" s="85">
        <f>$O48*$W$21</f>
        <v>1376</v>
      </c>
      <c r="V48" s="88">
        <f>P48*$W$21</f>
        <v>1376</v>
      </c>
      <c r="W48" s="87">
        <f>Q48*$W$21</f>
        <v>1376</v>
      </c>
      <c r="X48" s="86">
        <f>O48*$Z$21</f>
        <v>1328</v>
      </c>
      <c r="Y48" s="88">
        <f>P48*$Z$21</f>
        <v>1328</v>
      </c>
      <c r="Z48" s="87">
        <f>Q48*$Z$21</f>
        <v>1328</v>
      </c>
      <c r="AA48" s="86">
        <f>O48*$AC$21</f>
        <v>1200</v>
      </c>
      <c r="AB48" s="88">
        <f>P48*$AC$21</f>
        <v>1200</v>
      </c>
      <c r="AC48" s="89">
        <f>Q48*$AC$21</f>
        <v>1200</v>
      </c>
      <c r="AD48" s="85">
        <f>O48*$AF$21</f>
        <v>1120</v>
      </c>
      <c r="AE48" s="88">
        <f>P48*$AF$21</f>
        <v>1120</v>
      </c>
      <c r="AF48" s="87">
        <f>Q48*$AF$21</f>
        <v>1120</v>
      </c>
    </row>
    <row r="49" spans="1:32" ht="18" customHeight="1" thickBot="1">
      <c r="A49" s="84"/>
      <c r="B49" s="612" t="s">
        <v>706</v>
      </c>
      <c r="C49" s="613">
        <v>1.6E-2</v>
      </c>
      <c r="D49" s="614"/>
      <c r="E49" s="1139"/>
      <c r="F49" s="1141"/>
      <c r="G49" s="1143"/>
      <c r="H49" s="1143"/>
      <c r="I49" s="624"/>
      <c r="J49" s="1143"/>
      <c r="K49" s="1143"/>
      <c r="L49" s="1143"/>
      <c r="M49" s="1143"/>
      <c r="N49" s="1133"/>
      <c r="O49" s="97">
        <f>O48/E48</f>
        <v>1.6E-2</v>
      </c>
      <c r="P49" s="144">
        <f>P48/E48</f>
        <v>1.6E-2</v>
      </c>
      <c r="Q49" s="99">
        <f>Q48/E48</f>
        <v>1.6E-2</v>
      </c>
      <c r="R49" s="100">
        <f>R48/E48</f>
        <v>1.4880000000000001E-2</v>
      </c>
      <c r="S49" s="144">
        <f>S48/E48</f>
        <v>1.4880000000000001E-2</v>
      </c>
      <c r="T49" s="102">
        <f>T48/E48</f>
        <v>1.4880000000000001E-2</v>
      </c>
      <c r="U49" s="103">
        <f>U48/E48</f>
        <v>1.376E-2</v>
      </c>
      <c r="V49" s="144">
        <f>V48/E48</f>
        <v>1.376E-2</v>
      </c>
      <c r="W49" s="104">
        <f>W48/E48</f>
        <v>1.376E-2</v>
      </c>
      <c r="X49" s="100">
        <f>X48/E48</f>
        <v>1.328E-2</v>
      </c>
      <c r="Y49" s="144">
        <f>Y48/E48</f>
        <v>1.328E-2</v>
      </c>
      <c r="Z49" s="104">
        <f>Z48/E48</f>
        <v>1.328E-2</v>
      </c>
      <c r="AA49" s="100">
        <f>AA48/E48</f>
        <v>1.2E-2</v>
      </c>
      <c r="AB49" s="144">
        <f>AB48/E48</f>
        <v>1.2E-2</v>
      </c>
      <c r="AC49" s="102">
        <f>AC48/E48</f>
        <v>1.2E-2</v>
      </c>
      <c r="AD49" s="103">
        <f>AD48/E48</f>
        <v>1.12E-2</v>
      </c>
      <c r="AE49" s="144">
        <f>AE48/E48</f>
        <v>1.12E-2</v>
      </c>
      <c r="AF49" s="104">
        <f>AF48/E48</f>
        <v>1.12E-2</v>
      </c>
    </row>
    <row r="50" spans="1:32" ht="18" customHeight="1"/>
    <row r="51" spans="1:32" ht="18" customHeight="1">
      <c r="B51" s="359" t="s">
        <v>707</v>
      </c>
      <c r="O51" s="107"/>
    </row>
    <row r="52" spans="1:32" ht="18" customHeight="1">
      <c r="B52" s="360" t="s">
        <v>708</v>
      </c>
      <c r="O52" s="107"/>
    </row>
    <row r="53" spans="1:32" ht="18" customHeight="1">
      <c r="B53" s="203" t="s">
        <v>709</v>
      </c>
      <c r="O53" s="107"/>
    </row>
    <row r="54" spans="1:32" ht="18" customHeight="1">
      <c r="A54" s="616"/>
      <c r="B54" s="1134" t="s">
        <v>710</v>
      </c>
      <c r="C54" s="1134"/>
      <c r="D54" s="1134"/>
      <c r="E54" s="1134"/>
      <c r="F54" s="1134"/>
      <c r="G54" s="1134"/>
      <c r="H54" s="1134"/>
      <c r="I54" s="1134"/>
      <c r="J54" s="1134"/>
      <c r="K54" s="1134"/>
      <c r="L54" s="1134"/>
      <c r="M54" s="616"/>
      <c r="N54" s="616"/>
      <c r="O54" s="616"/>
      <c r="P54" s="616"/>
      <c r="Q54" s="616"/>
      <c r="R54" s="616"/>
      <c r="S54" s="616"/>
      <c r="T54" s="616"/>
      <c r="U54" s="616"/>
      <c r="V54" s="616"/>
      <c r="W54" s="616"/>
      <c r="X54" s="616"/>
      <c r="Y54" s="616"/>
      <c r="Z54" s="616"/>
      <c r="AA54" s="616"/>
      <c r="AB54" s="616"/>
      <c r="AC54" s="616"/>
    </row>
    <row r="55" spans="1:32" ht="18" customHeight="1">
      <c r="A55" s="616"/>
      <c r="B55" s="204" t="s">
        <v>711</v>
      </c>
      <c r="C55" s="616"/>
      <c r="D55" s="616"/>
      <c r="E55" s="616"/>
      <c r="F55" s="616"/>
      <c r="G55" s="616"/>
      <c r="H55" s="616"/>
      <c r="I55" s="616"/>
      <c r="J55" s="616"/>
      <c r="K55" s="616"/>
      <c r="L55" s="616"/>
      <c r="M55" s="616"/>
      <c r="N55" s="616"/>
      <c r="O55" s="616"/>
      <c r="P55" s="616"/>
      <c r="Q55" s="616"/>
      <c r="R55" s="616"/>
      <c r="S55" s="616"/>
      <c r="T55" s="616"/>
      <c r="U55" s="616"/>
      <c r="V55" s="616"/>
      <c r="W55" s="616"/>
      <c r="X55" s="616"/>
      <c r="Y55" s="616"/>
      <c r="Z55" s="616"/>
      <c r="AA55" s="616"/>
      <c r="AB55" s="616"/>
      <c r="AC55" s="616"/>
    </row>
    <row r="56" spans="1:32" ht="15.95" customHeight="1">
      <c r="A56" s="616"/>
      <c r="B56" s="110" t="s">
        <v>722</v>
      </c>
      <c r="C56" s="616"/>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row>
    <row r="57" spans="1:32">
      <c r="A57" s="84"/>
      <c r="B57" s="110" t="s">
        <v>49</v>
      </c>
      <c r="C57" s="111"/>
      <c r="D57" s="616"/>
      <c r="E57" s="616"/>
      <c r="F57" s="84"/>
      <c r="G57" s="84"/>
      <c r="H57" s="84"/>
      <c r="I57" s="84"/>
      <c r="J57" s="84"/>
      <c r="K57" s="84"/>
      <c r="L57" s="84"/>
      <c r="M57" s="84"/>
      <c r="N57" s="84"/>
      <c r="O57" s="84"/>
      <c r="P57" s="84"/>
      <c r="Q57" s="84"/>
      <c r="R57" s="84"/>
      <c r="S57" s="84"/>
      <c r="T57" s="84"/>
      <c r="U57" s="84"/>
      <c r="V57" s="84"/>
      <c r="W57" s="84"/>
      <c r="X57" s="84"/>
      <c r="Y57" s="84"/>
      <c r="Z57" s="84"/>
      <c r="AA57" s="84"/>
      <c r="AB57" s="84"/>
      <c r="AC57" s="84"/>
    </row>
    <row r="58" spans="1:32" s="209" customFormat="1">
      <c r="A58" s="205"/>
      <c r="B58" s="206" t="s">
        <v>720</v>
      </c>
      <c r="C58" s="207"/>
      <c r="D58" s="208"/>
      <c r="E58" s="208"/>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row>
    <row r="59" spans="1:32" s="209" customFormat="1">
      <c r="A59" s="205"/>
      <c r="B59" s="206" t="s">
        <v>712</v>
      </c>
      <c r="C59" s="207"/>
      <c r="D59" s="208"/>
      <c r="E59" s="208"/>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row>
    <row r="60" spans="1:32">
      <c r="A60" s="84"/>
      <c r="B60" s="647" t="s">
        <v>713</v>
      </c>
      <c r="C60" s="111"/>
      <c r="D60" s="616"/>
      <c r="E60" s="616"/>
      <c r="F60" s="84"/>
      <c r="G60" s="84"/>
      <c r="H60" s="84"/>
      <c r="I60" s="84"/>
      <c r="J60" s="84"/>
      <c r="K60" s="84"/>
      <c r="L60" s="84"/>
      <c r="M60" s="84"/>
      <c r="N60" s="84"/>
      <c r="O60" s="84"/>
      <c r="P60" s="84"/>
      <c r="Q60" s="84"/>
      <c r="R60" s="84"/>
      <c r="S60" s="84"/>
      <c r="T60" s="84"/>
      <c r="U60" s="84"/>
      <c r="V60" s="84"/>
      <c r="W60" s="84"/>
      <c r="X60" s="84"/>
      <c r="Y60" s="84"/>
      <c r="Z60" s="84"/>
      <c r="AA60" s="84"/>
      <c r="AB60" s="84"/>
      <c r="AC60" s="84"/>
    </row>
    <row r="61" spans="1:32">
      <c r="B61" s="360" t="s">
        <v>714</v>
      </c>
    </row>
    <row r="62" spans="1:32" s="21" customFormat="1" ht="18" customHeight="1">
      <c r="B62" s="388" t="s">
        <v>715</v>
      </c>
    </row>
    <row r="63" spans="1:32" customFormat="1" ht="18" customHeight="1">
      <c r="A63" s="18"/>
      <c r="B63" s="389" t="s">
        <v>130</v>
      </c>
      <c r="C63" s="369"/>
      <c r="D63" s="368"/>
      <c r="E63" s="377"/>
      <c r="F63" s="370"/>
      <c r="G63" s="370"/>
      <c r="H63" s="370"/>
      <c r="I63" s="370"/>
    </row>
    <row r="64" spans="1:32">
      <c r="C64" s="648"/>
    </row>
  </sheetData>
  <mergeCells count="164">
    <mergeCell ref="M38:M39"/>
    <mergeCell ref="B38:D38"/>
    <mergeCell ref="E38:E39"/>
    <mergeCell ref="F40:F41"/>
    <mergeCell ref="G40:G41"/>
    <mergeCell ref="H40:H41"/>
    <mergeCell ref="I40:I41"/>
    <mergeCell ref="J40:J41"/>
    <mergeCell ref="K40:K41"/>
    <mergeCell ref="L40:L41"/>
    <mergeCell ref="M40:M41"/>
    <mergeCell ref="B40:D40"/>
    <mergeCell ref="E40:E41"/>
    <mergeCell ref="B36:D36"/>
    <mergeCell ref="E36:E37"/>
    <mergeCell ref="F36:F37"/>
    <mergeCell ref="G36:G37"/>
    <mergeCell ref="H36:H37"/>
    <mergeCell ref="J36:J37"/>
    <mergeCell ref="K36:K37"/>
    <mergeCell ref="L36:L37"/>
    <mergeCell ref="M36:M37"/>
    <mergeCell ref="B30:D30"/>
    <mergeCell ref="G30:G31"/>
    <mergeCell ref="I30:I31"/>
    <mergeCell ref="J32:J33"/>
    <mergeCell ref="K32:K33"/>
    <mergeCell ref="L32:L33"/>
    <mergeCell ref="J34:J35"/>
    <mergeCell ref="K34:K35"/>
    <mergeCell ref="L34:L35"/>
    <mergeCell ref="B32:D32"/>
    <mergeCell ref="E32:E33"/>
    <mergeCell ref="F32:F33"/>
    <mergeCell ref="G32:G33"/>
    <mergeCell ref="H32:H33"/>
    <mergeCell ref="B34:D34"/>
    <mergeCell ref="E34:E35"/>
    <mergeCell ref="F34:F35"/>
    <mergeCell ref="G34:G35"/>
    <mergeCell ref="H34:H35"/>
    <mergeCell ref="B27:D27"/>
    <mergeCell ref="E27:E28"/>
    <mergeCell ref="F27:F28"/>
    <mergeCell ref="G27:G28"/>
    <mergeCell ref="H27:H28"/>
    <mergeCell ref="J27:J28"/>
    <mergeCell ref="K27:K28"/>
    <mergeCell ref="L27:L28"/>
    <mergeCell ref="M27:M28"/>
    <mergeCell ref="B4:C4"/>
    <mergeCell ref="B5:C6"/>
    <mergeCell ref="B1:AF1"/>
    <mergeCell ref="D4:M4"/>
    <mergeCell ref="N4:V4"/>
    <mergeCell ref="R21:S21"/>
    <mergeCell ref="U21:V21"/>
    <mergeCell ref="X21:Y21"/>
    <mergeCell ref="B25:AF25"/>
    <mergeCell ref="D5:M5"/>
    <mergeCell ref="N5:V6"/>
    <mergeCell ref="D6:M6"/>
    <mergeCell ref="B7:C11"/>
    <mergeCell ref="D7:M7"/>
    <mergeCell ref="N7:V9"/>
    <mergeCell ref="D8:M8"/>
    <mergeCell ref="D9:M9"/>
    <mergeCell ref="D10:E10"/>
    <mergeCell ref="N10:O10"/>
    <mergeCell ref="D11:E11"/>
    <mergeCell ref="N11:O11"/>
    <mergeCell ref="B12:C14"/>
    <mergeCell ref="D12:M12"/>
    <mergeCell ref="N12:N15"/>
    <mergeCell ref="P12:P15"/>
    <mergeCell ref="D13:M13"/>
    <mergeCell ref="D14:M14"/>
    <mergeCell ref="B15:C15"/>
    <mergeCell ref="D15:M15"/>
    <mergeCell ref="B21:D21"/>
    <mergeCell ref="E21:F21"/>
    <mergeCell ref="G21:G22"/>
    <mergeCell ref="I21:I22"/>
    <mergeCell ref="J21:J22"/>
    <mergeCell ref="K21:N21"/>
    <mergeCell ref="O21:Q21"/>
    <mergeCell ref="AA21:AB21"/>
    <mergeCell ref="AD21:AE21"/>
    <mergeCell ref="B23:D23"/>
    <mergeCell ref="E23:E24"/>
    <mergeCell ref="F23:F24"/>
    <mergeCell ref="G23:G24"/>
    <mergeCell ref="H23:H24"/>
    <mergeCell ref="I23:I24"/>
    <mergeCell ref="J23:J24"/>
    <mergeCell ref="K23:K24"/>
    <mergeCell ref="L23:L24"/>
    <mergeCell ref="M23:M24"/>
    <mergeCell ref="N23:N24"/>
    <mergeCell ref="N27:N28"/>
    <mergeCell ref="E30:F30"/>
    <mergeCell ref="K30:N30"/>
    <mergeCell ref="O30:Q30"/>
    <mergeCell ref="R30:S30"/>
    <mergeCell ref="U30:V30"/>
    <mergeCell ref="X30:Y30"/>
    <mergeCell ref="AA30:AB30"/>
    <mergeCell ref="AD30:AE30"/>
    <mergeCell ref="J30:J31"/>
    <mergeCell ref="N32:N33"/>
    <mergeCell ref="N34:N35"/>
    <mergeCell ref="N36:N37"/>
    <mergeCell ref="N38:N39"/>
    <mergeCell ref="N40:N41"/>
    <mergeCell ref="B42:D42"/>
    <mergeCell ref="E42:E43"/>
    <mergeCell ref="F42:F43"/>
    <mergeCell ref="G42:G43"/>
    <mergeCell ref="H42:H43"/>
    <mergeCell ref="J42:J43"/>
    <mergeCell ref="K42:K43"/>
    <mergeCell ref="L42:L43"/>
    <mergeCell ref="M42:M43"/>
    <mergeCell ref="N42:N43"/>
    <mergeCell ref="M32:M33"/>
    <mergeCell ref="F38:F39"/>
    <mergeCell ref="G38:G39"/>
    <mergeCell ref="H38:H39"/>
    <mergeCell ref="I38:I39"/>
    <mergeCell ref="J38:J39"/>
    <mergeCell ref="K38:K39"/>
    <mergeCell ref="L38:L39"/>
    <mergeCell ref="M34:M35"/>
    <mergeCell ref="N44:N45"/>
    <mergeCell ref="B46:D46"/>
    <mergeCell ref="E46:E47"/>
    <mergeCell ref="F46:F47"/>
    <mergeCell ref="G46:G47"/>
    <mergeCell ref="H46:H47"/>
    <mergeCell ref="J46:J47"/>
    <mergeCell ref="K46:K47"/>
    <mergeCell ref="L46:L47"/>
    <mergeCell ref="M46:M47"/>
    <mergeCell ref="N46:N47"/>
    <mergeCell ref="B44:D44"/>
    <mergeCell ref="E44:E45"/>
    <mergeCell ref="F44:F45"/>
    <mergeCell ref="G44:G45"/>
    <mergeCell ref="H44:H45"/>
    <mergeCell ref="J44:J45"/>
    <mergeCell ref="K44:K45"/>
    <mergeCell ref="L44:L45"/>
    <mergeCell ref="M44:M45"/>
    <mergeCell ref="N48:N49"/>
    <mergeCell ref="B54:L54"/>
    <mergeCell ref="B48:D48"/>
    <mergeCell ref="E48:E49"/>
    <mergeCell ref="F48:F49"/>
    <mergeCell ref="G48:G49"/>
    <mergeCell ref="H48:H49"/>
    <mergeCell ref="J48:J49"/>
    <mergeCell ref="K48:K49"/>
    <mergeCell ref="L48:L49"/>
    <mergeCell ref="M48:M49"/>
  </mergeCells>
  <phoneticPr fontId="4" type="noConversion"/>
  <printOptions horizontalCentered="1"/>
  <pageMargins left="0.15748031496062992" right="0.15748031496062992" top="0.35433070866141736" bottom="0.19685039370078741" header="0.31496062992125984" footer="0.31496062992125984"/>
  <pageSetup paperSize="9" scale="4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1</vt:i4>
      </vt:variant>
    </vt:vector>
  </HeadingPairs>
  <TitlesOfParts>
    <vt:vector size="14" baseType="lpstr">
      <vt:lpstr>표지</vt:lpstr>
      <vt:lpstr>공통사항</vt:lpstr>
      <vt:lpstr>10월변동사항</vt:lpstr>
      <vt:lpstr>LIG손해</vt:lpstr>
      <vt:lpstr>MG손해</vt:lpstr>
      <vt:lpstr>동부화재</vt:lpstr>
      <vt:lpstr>롯데손해</vt:lpstr>
      <vt:lpstr>메리츠화재</vt:lpstr>
      <vt:lpstr>삼성화재</vt:lpstr>
      <vt:lpstr>한화손해</vt:lpstr>
      <vt:lpstr>현대해상</vt:lpstr>
      <vt:lpstr>흥국화재</vt:lpstr>
      <vt:lpstr>실손상품</vt:lpstr>
      <vt:lpstr>실손상품!Print_Area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무녕</dc:creator>
  <cp:lastModifiedBy>이문영</cp:lastModifiedBy>
  <cp:lastPrinted>2014-09-12T00:13:47Z</cp:lastPrinted>
  <dcterms:created xsi:type="dcterms:W3CDTF">2013-06-05T00:34:26Z</dcterms:created>
  <dcterms:modified xsi:type="dcterms:W3CDTF">2014-12-08T01:57:11Z</dcterms:modified>
</cp:coreProperties>
</file>